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tables/table1.xml" ContentType="application/vnd.openxmlformats-officedocument.spreadsheetml.table+xml"/>
  <Override PartName="/xl/comments1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.xml" ContentType="application/vnd.ms-excel.person+xml"/>
  <Override PartName="/xl/persons/person0.xml" ContentType="application/vnd.ms-excel.person+xml"/>
  <Override PartName="/xl/persons/person3.xml" ContentType="application/vnd.ms-excel.person+xml"/>
  <Override PartName="/xl/persons/person2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uent\OneDrive\Desktop\"/>
    </mc:Choice>
  </mc:AlternateContent>
  <xr:revisionPtr revIDLastSave="0" documentId="13_ncr:1_{988BF328-C6B8-4CDD-8E31-6E9F6C4DD9E4}" xr6:coauthVersionLast="47" xr6:coauthVersionMax="47" xr10:uidLastSave="{00000000-0000-0000-0000-000000000000}"/>
  <bookViews>
    <workbookView xWindow="-120" yWindow="-120" windowWidth="29040" windowHeight="16440" tabRatio="834" activeTab="16" xr2:uid="{F1A55350-622C-45FC-9065-CDEC254FFFF9}"/>
  </bookViews>
  <sheets>
    <sheet name="PP" sheetId="1" r:id="rId1"/>
    <sheet name="RE-COS" sheetId="18" r:id="rId2"/>
    <sheet name="NUQUERAS" sheetId="33" r:id="rId3"/>
    <sheet name="NUQUERAS (2)" sheetId="69" state="hidden" r:id="rId4"/>
    <sheet name="R.M" sheetId="32" r:id="rId5"/>
    <sheet name="RECEPCION (2)" sheetId="31" state="hidden" r:id="rId6"/>
    <sheet name="T.EMV" sheetId="23" r:id="rId7"/>
    <sheet name="T1" sheetId="10" r:id="rId8"/>
    <sheet name="T1 (2)" sheetId="65" r:id="rId9"/>
    <sheet name="T2" sheetId="26" r:id="rId10"/>
    <sheet name="T2 (2)" sheetId="71" r:id="rId11"/>
    <sheet name="T3" sheetId="12" r:id="rId12"/>
    <sheet name="T3 (2)" sheetId="72" r:id="rId13"/>
    <sheet name="T4" sheetId="13" r:id="rId14"/>
    <sheet name="T4 (2)" sheetId="73" r:id="rId15"/>
    <sheet name="T5" sheetId="14" r:id="rId16"/>
    <sheet name="T5 (2)" sheetId="75" r:id="rId17"/>
    <sheet name="T6" sheetId="30" r:id="rId18"/>
    <sheet name="T6 (2)" sheetId="76" r:id="rId19"/>
    <sheet name="RES-EN" sheetId="16" r:id="rId20"/>
    <sheet name="ENV. PLACAS" sheetId="29" r:id="rId21"/>
    <sheet name="EM-PLA" sheetId="28" r:id="rId22"/>
    <sheet name="EM-TUN" sheetId="9" r:id="rId23"/>
    <sheet name="COLORES" sheetId="2" r:id="rId24"/>
    <sheet name="R-G" sheetId="7" r:id="rId25"/>
    <sheet name="EMPAQUE (RESUMEN)" sheetId="27" state="hidden" r:id="rId26"/>
    <sheet name="PROYECTADO" sheetId="50" r:id="rId27"/>
    <sheet name="RENDIMIENTO" sheetId="17" r:id="rId28"/>
  </sheets>
  <definedNames>
    <definedName name="_xlnm._FilterDatabase" localSheetId="21" hidden="1">'EM-PLA'!$D$5:$D$54</definedName>
    <definedName name="_xlnm._FilterDatabase" localSheetId="22" hidden="1">'EM-TUN'!$C$5:$C$54</definedName>
    <definedName name="_xlnm._FilterDatabase" localSheetId="20" hidden="1">'ENV. PLACAS'!$D$6:$D$54</definedName>
    <definedName name="_xlnm._FilterDatabase" localSheetId="0" hidden="1">PP!$M$23:$M$71</definedName>
    <definedName name="_xlnm._FilterDatabase" localSheetId="4" hidden="1">'R.M'!$X$15:$X$16</definedName>
    <definedName name="_xlnm._FilterDatabase" localSheetId="5" hidden="1">'RECEPCION (2)'!$B$10:$T$15</definedName>
    <definedName name="_xlnm._FilterDatabase" localSheetId="19" hidden="1">'RES-EN'!$C$5:$S$54</definedName>
    <definedName name="_xlnm._FilterDatabase" localSheetId="24" hidden="1">'R-G'!$H$3:$R$53</definedName>
    <definedName name="_xlnm._FilterDatabase" localSheetId="7" hidden="1">'T1'!$D$5:$D$54</definedName>
    <definedName name="_xlnm._FilterDatabase" localSheetId="8" hidden="1">'T1 (2)'!$D$5:$D$54</definedName>
    <definedName name="_xlnm._FilterDatabase" localSheetId="9" hidden="1">'T2'!$D$5:$D$54</definedName>
    <definedName name="_xlnm._FilterDatabase" localSheetId="10" hidden="1">'T2 (2)'!$D$5:$D$54</definedName>
    <definedName name="_xlnm._FilterDatabase" localSheetId="13" hidden="1">'T4'!$D$5:$D$54</definedName>
    <definedName name="_xlnm._FilterDatabase" localSheetId="14" hidden="1">'T4 (2)'!$D$5:$D$54</definedName>
    <definedName name="_xlnm._FilterDatabase" localSheetId="15" hidden="1">'T5'!$D$5:$D$56</definedName>
    <definedName name="_xlnm._FilterDatabase" localSheetId="16" hidden="1">'T5 (2)'!$D$5:$D$56</definedName>
    <definedName name="_xlnm._FilterDatabase" localSheetId="17" hidden="1">'T6'!$C$5:$C$54</definedName>
    <definedName name="_xlnm._FilterDatabase" localSheetId="18" hidden="1">'T6 (2)'!$C$5:$C$54</definedName>
    <definedName name="_xleta.SUM" hidden="1" xlm="1">#NAME?</definedName>
    <definedName name="_xlnm.Print_Area" localSheetId="23">COLORES!$H$3:$M$44</definedName>
    <definedName name="_xlnm.Print_Area" localSheetId="25">'EMPAQUE (RESUMEN)'!$A$2:$V$68</definedName>
    <definedName name="_xlnm.Print_Area" localSheetId="22">'EM-TUN'!$CG$5:$EW$27</definedName>
    <definedName name="_xlnm.Print_Area" localSheetId="20">'ENV. PLACAS'!$E$59:$P$72</definedName>
    <definedName name="_xlnm.Print_Area" localSheetId="2">NUQUERAS!$A$1:$R$87</definedName>
    <definedName name="_xlnm.Print_Area" localSheetId="3">'NUQUERAS (2)'!$A$1:$Q$87</definedName>
    <definedName name="_xlnm.Print_Area" localSheetId="0">PP!$B$1:$K$97</definedName>
    <definedName name="_xlnm.Print_Area" localSheetId="26">PROYECTADO!$BB$2:$BL$73</definedName>
    <definedName name="_xlnm.Print_Area" localSheetId="4">'R.M'!$A$2:$Y$90</definedName>
    <definedName name="_xlnm.Print_Area" localSheetId="5">'RECEPCION (2)'!$A$2:$W$65</definedName>
    <definedName name="_xlnm.Print_Area" localSheetId="1">'RE-COS'!$A$1:$S$116</definedName>
    <definedName name="_xlnm.Print_Area" localSheetId="27">RENDIMIENTO!$A$1:$M$66</definedName>
    <definedName name="_xlnm.Print_Area" localSheetId="24">'R-G'!$A$2:$Q$53</definedName>
    <definedName name="_xlnm.Print_Area" localSheetId="6">T.EMV!$A$1:$Z$202</definedName>
    <definedName name="CODIGOS" localSheetId="2">#REF!</definedName>
    <definedName name="CODIGOS" localSheetId="3">#REF!</definedName>
    <definedName name="CODIGOS" localSheetId="4">#REF!</definedName>
    <definedName name="CODIGOS" localSheetId="1">#REF!</definedName>
    <definedName name="CODIGOS" localSheetId="27">#REF!</definedName>
    <definedName name="CODIGOS" localSheetId="6">#REF!</definedName>
    <definedName name="CODIGOS">COLORES!$B$3:$D$51</definedName>
    <definedName name="LISTA" localSheetId="4">#REF!</definedName>
    <definedName name="LISTA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3" i="16" l="1"/>
  <c r="P52" i="16"/>
  <c r="P51" i="16"/>
  <c r="P50" i="16"/>
  <c r="P49" i="16"/>
  <c r="P48" i="16"/>
  <c r="P47" i="16"/>
  <c r="P46" i="16"/>
  <c r="P45" i="16"/>
  <c r="P44" i="16"/>
  <c r="P43" i="16"/>
  <c r="P42" i="16"/>
  <c r="P41" i="16"/>
  <c r="P40" i="16"/>
  <c r="P39" i="16"/>
  <c r="P38" i="16"/>
  <c r="P37" i="16"/>
  <c r="P36" i="16"/>
  <c r="P35" i="16"/>
  <c r="P34" i="16"/>
  <c r="P33" i="16"/>
  <c r="P32" i="16"/>
  <c r="P31" i="16"/>
  <c r="P30" i="16"/>
  <c r="P29" i="16"/>
  <c r="P28" i="16"/>
  <c r="P27" i="16"/>
  <c r="P26" i="16"/>
  <c r="P25" i="16"/>
  <c r="P24" i="16"/>
  <c r="P23" i="16"/>
  <c r="P22" i="16"/>
  <c r="P21" i="16"/>
  <c r="P20" i="16"/>
  <c r="P19" i="16"/>
  <c r="P18" i="16"/>
  <c r="P17" i="16"/>
  <c r="P16" i="16"/>
  <c r="P15" i="16"/>
  <c r="P14" i="16"/>
  <c r="P13" i="16"/>
  <c r="P12" i="16"/>
  <c r="P11" i="16"/>
  <c r="P10" i="16"/>
  <c r="P9" i="16"/>
  <c r="P8" i="16"/>
  <c r="P7" i="16"/>
  <c r="P6" i="16"/>
  <c r="N53" i="16"/>
  <c r="N52" i="16"/>
  <c r="N51" i="16"/>
  <c r="N50" i="16"/>
  <c r="N49" i="16"/>
  <c r="N48" i="16"/>
  <c r="N47" i="16"/>
  <c r="N46" i="16"/>
  <c r="N45" i="16"/>
  <c r="N44" i="16"/>
  <c r="N43" i="16"/>
  <c r="N42" i="16"/>
  <c r="N41" i="16"/>
  <c r="N40" i="16"/>
  <c r="N39" i="16"/>
  <c r="N38" i="16"/>
  <c r="N3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N22" i="16"/>
  <c r="N21" i="16"/>
  <c r="N20" i="16"/>
  <c r="N19" i="16"/>
  <c r="N18" i="16"/>
  <c r="N17" i="16"/>
  <c r="N16" i="16"/>
  <c r="N15" i="16"/>
  <c r="N14" i="16"/>
  <c r="N13" i="16"/>
  <c r="N12" i="16"/>
  <c r="N11" i="16"/>
  <c r="N10" i="16"/>
  <c r="N9" i="16"/>
  <c r="N54" i="16" s="1"/>
  <c r="N8" i="16"/>
  <c r="N7" i="16"/>
  <c r="N6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54" i="16" s="1"/>
  <c r="L8" i="16"/>
  <c r="L7" i="16"/>
  <c r="L6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54" i="16" s="1"/>
  <c r="J6" i="16"/>
  <c r="H53" i="16"/>
  <c r="H52" i="16"/>
  <c r="H51" i="16"/>
  <c r="H50" i="16"/>
  <c r="H49" i="16"/>
  <c r="H48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1" i="16"/>
  <c r="H30" i="16"/>
  <c r="H29" i="16"/>
  <c r="H28" i="16"/>
  <c r="H27" i="16"/>
  <c r="H26" i="16"/>
  <c r="H25" i="16"/>
  <c r="H24" i="16"/>
  <c r="H23" i="16"/>
  <c r="H22" i="16"/>
  <c r="H54" i="16" s="1"/>
  <c r="H21" i="16"/>
  <c r="H20" i="16"/>
  <c r="H19" i="16"/>
  <c r="H18" i="16"/>
  <c r="H17" i="16"/>
  <c r="H16" i="16"/>
  <c r="H15" i="16"/>
  <c r="H14" i="16"/>
  <c r="H13" i="16"/>
  <c r="H12" i="16"/>
  <c r="H11" i="16"/>
  <c r="H10" i="16"/>
  <c r="H9" i="16"/>
  <c r="H8" i="16"/>
  <c r="H7" i="16"/>
  <c r="H6" i="16"/>
  <c r="K73" i="76"/>
  <c r="J73" i="76"/>
  <c r="I73" i="76"/>
  <c r="L72" i="76"/>
  <c r="H72" i="76"/>
  <c r="L71" i="76"/>
  <c r="H71" i="76"/>
  <c r="L70" i="76"/>
  <c r="H70" i="76"/>
  <c r="L69" i="76"/>
  <c r="H69" i="76"/>
  <c r="L68" i="76"/>
  <c r="H68" i="76"/>
  <c r="L67" i="76"/>
  <c r="H67" i="76"/>
  <c r="L66" i="76"/>
  <c r="H66" i="76"/>
  <c r="L65" i="76"/>
  <c r="H65" i="76"/>
  <c r="L64" i="76"/>
  <c r="H64" i="76"/>
  <c r="L63" i="76"/>
  <c r="H63" i="76"/>
  <c r="L62" i="76"/>
  <c r="L73" i="76" s="1"/>
  <c r="S62" i="76" s="1"/>
  <c r="H62" i="76"/>
  <c r="V54" i="76"/>
  <c r="U54" i="76"/>
  <c r="T54" i="76"/>
  <c r="S54" i="76"/>
  <c r="R54" i="76"/>
  <c r="Q54" i="76"/>
  <c r="P54" i="76"/>
  <c r="O54" i="76"/>
  <c r="N54" i="76"/>
  <c r="M54" i="76"/>
  <c r="L54" i="76"/>
  <c r="K54" i="76"/>
  <c r="J54" i="76"/>
  <c r="I54" i="76"/>
  <c r="H54" i="76"/>
  <c r="G54" i="76"/>
  <c r="F54" i="76"/>
  <c r="E54" i="76"/>
  <c r="D54" i="76"/>
  <c r="AU53" i="76"/>
  <c r="AT53" i="76"/>
  <c r="AS53" i="76"/>
  <c r="AR53" i="76"/>
  <c r="AQ53" i="76"/>
  <c r="AP53" i="76"/>
  <c r="AO53" i="76"/>
  <c r="AN53" i="76"/>
  <c r="AM53" i="76"/>
  <c r="AL53" i="76"/>
  <c r="AK53" i="76"/>
  <c r="AJ53" i="76"/>
  <c r="AI53" i="76"/>
  <c r="AH53" i="76"/>
  <c r="AG53" i="76"/>
  <c r="AF53" i="76"/>
  <c r="AE53" i="76"/>
  <c r="AD53" i="76"/>
  <c r="AC53" i="76"/>
  <c r="W53" i="76"/>
  <c r="Y53" i="76" s="1"/>
  <c r="C53" i="76"/>
  <c r="B53" i="76"/>
  <c r="AU52" i="76"/>
  <c r="AT52" i="76"/>
  <c r="AS52" i="76"/>
  <c r="AR52" i="76"/>
  <c r="AQ52" i="76"/>
  <c r="AP52" i="76"/>
  <c r="AO52" i="76"/>
  <c r="AN52" i="76"/>
  <c r="AM52" i="76"/>
  <c r="AL52" i="76"/>
  <c r="AK52" i="76"/>
  <c r="AJ52" i="76"/>
  <c r="AI52" i="76"/>
  <c r="AH52" i="76"/>
  <c r="AG52" i="76"/>
  <c r="AF52" i="76"/>
  <c r="AE52" i="76"/>
  <c r="AD52" i="76"/>
  <c r="AC52" i="76"/>
  <c r="W52" i="76"/>
  <c r="Y52" i="76" s="1"/>
  <c r="C52" i="76"/>
  <c r="B52" i="76"/>
  <c r="AU51" i="76"/>
  <c r="AT51" i="76"/>
  <c r="AS51" i="76"/>
  <c r="AR51" i="76"/>
  <c r="AQ51" i="76"/>
  <c r="AP51" i="76"/>
  <c r="AO51" i="76"/>
  <c r="AN51" i="76"/>
  <c r="AM51" i="76"/>
  <c r="AL51" i="76"/>
  <c r="AK51" i="76"/>
  <c r="AJ51" i="76"/>
  <c r="AI51" i="76"/>
  <c r="AH51" i="76"/>
  <c r="AG51" i="76"/>
  <c r="AF51" i="76"/>
  <c r="AE51" i="76"/>
  <c r="AD51" i="76"/>
  <c r="AC51" i="76"/>
  <c r="Y51" i="76"/>
  <c r="W51" i="76"/>
  <c r="X51" i="76" s="1"/>
  <c r="C51" i="76"/>
  <c r="B51" i="76"/>
  <c r="AU50" i="76"/>
  <c r="AT50" i="76"/>
  <c r="AS50" i="76"/>
  <c r="AR50" i="76"/>
  <c r="AQ50" i="76"/>
  <c r="AP50" i="76"/>
  <c r="AO50" i="76"/>
  <c r="AN50" i="76"/>
  <c r="AM50" i="76"/>
  <c r="AL50" i="76"/>
  <c r="AK50" i="76"/>
  <c r="AJ50" i="76"/>
  <c r="AI50" i="76"/>
  <c r="AH50" i="76"/>
  <c r="AG50" i="76"/>
  <c r="AF50" i="76"/>
  <c r="AE50" i="76"/>
  <c r="AD50" i="76"/>
  <c r="AC50" i="76"/>
  <c r="W50" i="76"/>
  <c r="Y50" i="76" s="1"/>
  <c r="C50" i="76"/>
  <c r="B50" i="76"/>
  <c r="AU49" i="76"/>
  <c r="AT49" i="76"/>
  <c r="AS49" i="76"/>
  <c r="AR49" i="76"/>
  <c r="AQ49" i="76"/>
  <c r="AP49" i="76"/>
  <c r="AO49" i="76"/>
  <c r="AN49" i="76"/>
  <c r="AM49" i="76"/>
  <c r="AL49" i="76"/>
  <c r="AK49" i="76"/>
  <c r="AJ49" i="76"/>
  <c r="AI49" i="76"/>
  <c r="AH49" i="76"/>
  <c r="AG49" i="76"/>
  <c r="AF49" i="76"/>
  <c r="AE49" i="76"/>
  <c r="AD49" i="76"/>
  <c r="AC49" i="76"/>
  <c r="Y49" i="76"/>
  <c r="W49" i="76"/>
  <c r="X49" i="76" s="1"/>
  <c r="C49" i="76"/>
  <c r="B49" i="76"/>
  <c r="AU48" i="76"/>
  <c r="AT48" i="76"/>
  <c r="AS48" i="76"/>
  <c r="AR48" i="76"/>
  <c r="AQ48" i="76"/>
  <c r="AP48" i="76"/>
  <c r="AO48" i="76"/>
  <c r="AN48" i="76"/>
  <c r="AM48" i="76"/>
  <c r="AL48" i="76"/>
  <c r="AK48" i="76"/>
  <c r="AJ48" i="76"/>
  <c r="AI48" i="76"/>
  <c r="AH48" i="76"/>
  <c r="AG48" i="76"/>
  <c r="AF48" i="76"/>
  <c r="AE48" i="76"/>
  <c r="AD48" i="76"/>
  <c r="AC48" i="76"/>
  <c r="W48" i="76"/>
  <c r="Y48" i="76" s="1"/>
  <c r="C48" i="76"/>
  <c r="B48" i="76"/>
  <c r="AU47" i="76"/>
  <c r="AT47" i="76"/>
  <c r="AS47" i="76"/>
  <c r="AR47" i="76"/>
  <c r="AQ47" i="76"/>
  <c r="AP47" i="76"/>
  <c r="AO47" i="76"/>
  <c r="AN47" i="76"/>
  <c r="AM47" i="76"/>
  <c r="AL47" i="76"/>
  <c r="AK47" i="76"/>
  <c r="AJ47" i="76"/>
  <c r="AI47" i="76"/>
  <c r="AH47" i="76"/>
  <c r="AG47" i="76"/>
  <c r="AF47" i="76"/>
  <c r="AE47" i="76"/>
  <c r="AD47" i="76"/>
  <c r="AC47" i="76"/>
  <c r="Y47" i="76"/>
  <c r="W47" i="76"/>
  <c r="X47" i="76" s="1"/>
  <c r="C47" i="76"/>
  <c r="B47" i="76"/>
  <c r="AU46" i="76"/>
  <c r="AT46" i="76"/>
  <c r="AS46" i="76"/>
  <c r="AR46" i="76"/>
  <c r="AQ46" i="76"/>
  <c r="AP46" i="76"/>
  <c r="AO46" i="76"/>
  <c r="AN46" i="76"/>
  <c r="AM46" i="76"/>
  <c r="AL46" i="76"/>
  <c r="AK46" i="76"/>
  <c r="AJ46" i="76"/>
  <c r="AI46" i="76"/>
  <c r="AH46" i="76"/>
  <c r="AG46" i="76"/>
  <c r="AF46" i="76"/>
  <c r="AE46" i="76"/>
  <c r="AD46" i="76"/>
  <c r="AC46" i="76"/>
  <c r="W46" i="76"/>
  <c r="Y46" i="76" s="1"/>
  <c r="C46" i="76"/>
  <c r="B46" i="76"/>
  <c r="AU45" i="76"/>
  <c r="AT45" i="76"/>
  <c r="AS45" i="76"/>
  <c r="AR45" i="76"/>
  <c r="AQ45" i="76"/>
  <c r="AP45" i="76"/>
  <c r="AO45" i="76"/>
  <c r="AN45" i="76"/>
  <c r="AM45" i="76"/>
  <c r="AL45" i="76"/>
  <c r="AK45" i="76"/>
  <c r="AJ45" i="76"/>
  <c r="AI45" i="76"/>
  <c r="AH45" i="76"/>
  <c r="AG45" i="76"/>
  <c r="AF45" i="76"/>
  <c r="AE45" i="76"/>
  <c r="AD45" i="76"/>
  <c r="AC45" i="76"/>
  <c r="Y45" i="76"/>
  <c r="W45" i="76"/>
  <c r="X45" i="76" s="1"/>
  <c r="C45" i="76"/>
  <c r="B45" i="76"/>
  <c r="AU44" i="76"/>
  <c r="AT44" i="76"/>
  <c r="AS44" i="76"/>
  <c r="AR44" i="76"/>
  <c r="AQ44" i="76"/>
  <c r="AP44" i="76"/>
  <c r="AO44" i="76"/>
  <c r="AN44" i="76"/>
  <c r="AM44" i="76"/>
  <c r="AL44" i="76"/>
  <c r="AK44" i="76"/>
  <c r="AJ44" i="76"/>
  <c r="AI44" i="76"/>
  <c r="AH44" i="76"/>
  <c r="AG44" i="76"/>
  <c r="AF44" i="76"/>
  <c r="AE44" i="76"/>
  <c r="AD44" i="76"/>
  <c r="AC44" i="76"/>
  <c r="W44" i="76"/>
  <c r="Y44" i="76" s="1"/>
  <c r="C44" i="76"/>
  <c r="B44" i="76"/>
  <c r="AU43" i="76"/>
  <c r="AT43" i="76"/>
  <c r="AS43" i="76"/>
  <c r="AR43" i="76"/>
  <c r="AQ43" i="76"/>
  <c r="AP43" i="76"/>
  <c r="AO43" i="76"/>
  <c r="AN43" i="76"/>
  <c r="AM43" i="76"/>
  <c r="AL43" i="76"/>
  <c r="AK43" i="76"/>
  <c r="AJ43" i="76"/>
  <c r="AI43" i="76"/>
  <c r="AH43" i="76"/>
  <c r="AG43" i="76"/>
  <c r="AF43" i="76"/>
  <c r="AE43" i="76"/>
  <c r="AD43" i="76"/>
  <c r="AC43" i="76"/>
  <c r="Y43" i="76"/>
  <c r="W43" i="76"/>
  <c r="X43" i="76" s="1"/>
  <c r="C43" i="76"/>
  <c r="B43" i="76"/>
  <c r="AU42" i="76"/>
  <c r="AT42" i="76"/>
  <c r="AS42" i="76"/>
  <c r="AR42" i="76"/>
  <c r="AQ42" i="76"/>
  <c r="AP42" i="76"/>
  <c r="AO42" i="76"/>
  <c r="AN42" i="76"/>
  <c r="AM42" i="76"/>
  <c r="AL42" i="76"/>
  <c r="AK42" i="76"/>
  <c r="AJ42" i="76"/>
  <c r="AI42" i="76"/>
  <c r="AH42" i="76"/>
  <c r="AG42" i="76"/>
  <c r="AF42" i="76"/>
  <c r="AE42" i="76"/>
  <c r="AD42" i="76"/>
  <c r="AC42" i="76"/>
  <c r="W42" i="76"/>
  <c r="Y42" i="76" s="1"/>
  <c r="C42" i="76"/>
  <c r="B42" i="76"/>
  <c r="AU41" i="76"/>
  <c r="AT41" i="76"/>
  <c r="AS41" i="76"/>
  <c r="AR41" i="76"/>
  <c r="AQ41" i="76"/>
  <c r="AP41" i="76"/>
  <c r="AO41" i="76"/>
  <c r="AN41" i="76"/>
  <c r="AM41" i="76"/>
  <c r="AL41" i="76"/>
  <c r="AK41" i="76"/>
  <c r="AJ41" i="76"/>
  <c r="AI41" i="76"/>
  <c r="AH41" i="76"/>
  <c r="AG41" i="76"/>
  <c r="AF41" i="76"/>
  <c r="AE41" i="76"/>
  <c r="AD41" i="76"/>
  <c r="AC41" i="76"/>
  <c r="Y41" i="76"/>
  <c r="W41" i="76"/>
  <c r="X41" i="76" s="1"/>
  <c r="C41" i="76"/>
  <c r="B41" i="76"/>
  <c r="AU40" i="76"/>
  <c r="AT40" i="76"/>
  <c r="AS40" i="76"/>
  <c r="AR40" i="76"/>
  <c r="AQ40" i="76"/>
  <c r="AP40" i="76"/>
  <c r="AO40" i="76"/>
  <c r="AN40" i="76"/>
  <c r="AM40" i="76"/>
  <c r="AL40" i="76"/>
  <c r="AK40" i="76"/>
  <c r="AJ40" i="76"/>
  <c r="AI40" i="76"/>
  <c r="AH40" i="76"/>
  <c r="AG40" i="76"/>
  <c r="AF40" i="76"/>
  <c r="AE40" i="76"/>
  <c r="AD40" i="76"/>
  <c r="AC40" i="76"/>
  <c r="W40" i="76"/>
  <c r="Y40" i="76" s="1"/>
  <c r="C40" i="76"/>
  <c r="B40" i="76"/>
  <c r="AU39" i="76"/>
  <c r="AT39" i="76"/>
  <c r="AS39" i="76"/>
  <c r="AR39" i="76"/>
  <c r="AQ39" i="76"/>
  <c r="AP39" i="76"/>
  <c r="AO39" i="76"/>
  <c r="AN39" i="76"/>
  <c r="AM39" i="76"/>
  <c r="AL39" i="76"/>
  <c r="AK39" i="76"/>
  <c r="AJ39" i="76"/>
  <c r="AI39" i="76"/>
  <c r="AH39" i="76"/>
  <c r="AG39" i="76"/>
  <c r="AF39" i="76"/>
  <c r="AE39" i="76"/>
  <c r="AD39" i="76"/>
  <c r="AC39" i="76"/>
  <c r="Y39" i="76"/>
  <c r="W39" i="76"/>
  <c r="X39" i="76" s="1"/>
  <c r="C39" i="76"/>
  <c r="B39" i="76"/>
  <c r="AU38" i="76"/>
  <c r="AT38" i="76"/>
  <c r="AS38" i="76"/>
  <c r="AR38" i="76"/>
  <c r="AQ38" i="76"/>
  <c r="AP38" i="76"/>
  <c r="AO38" i="76"/>
  <c r="AN38" i="76"/>
  <c r="AM38" i="76"/>
  <c r="AL38" i="76"/>
  <c r="AK38" i="76"/>
  <c r="AJ38" i="76"/>
  <c r="AI38" i="76"/>
  <c r="AH38" i="76"/>
  <c r="AG38" i="76"/>
  <c r="AF38" i="76"/>
  <c r="AE38" i="76"/>
  <c r="AD38" i="76"/>
  <c r="AC38" i="76"/>
  <c r="W38" i="76"/>
  <c r="Y38" i="76" s="1"/>
  <c r="C38" i="76"/>
  <c r="B38" i="76"/>
  <c r="AU37" i="76"/>
  <c r="AT37" i="76"/>
  <c r="AS37" i="76"/>
  <c r="AR37" i="76"/>
  <c r="AQ37" i="76"/>
  <c r="AP37" i="76"/>
  <c r="AO37" i="76"/>
  <c r="AN37" i="76"/>
  <c r="AM37" i="76"/>
  <c r="AL37" i="76"/>
  <c r="AK37" i="76"/>
  <c r="AJ37" i="76"/>
  <c r="AI37" i="76"/>
  <c r="AH37" i="76"/>
  <c r="AG37" i="76"/>
  <c r="AF37" i="76"/>
  <c r="AE37" i="76"/>
  <c r="AD37" i="76"/>
  <c r="AC37" i="76"/>
  <c r="Y37" i="76"/>
  <c r="W37" i="76"/>
  <c r="X37" i="76" s="1"/>
  <c r="C37" i="76"/>
  <c r="B37" i="76"/>
  <c r="AU36" i="76"/>
  <c r="AT36" i="76"/>
  <c r="AS36" i="76"/>
  <c r="AR36" i="76"/>
  <c r="AQ36" i="76"/>
  <c r="AP36" i="76"/>
  <c r="AO36" i="76"/>
  <c r="AN36" i="76"/>
  <c r="AM36" i="76"/>
  <c r="AL36" i="76"/>
  <c r="AK36" i="76"/>
  <c r="AJ36" i="76"/>
  <c r="AI36" i="76"/>
  <c r="AH36" i="76"/>
  <c r="AG36" i="76"/>
  <c r="AF36" i="76"/>
  <c r="AE36" i="76"/>
  <c r="AD36" i="76"/>
  <c r="AC36" i="76"/>
  <c r="W36" i="76"/>
  <c r="Y36" i="76" s="1"/>
  <c r="C36" i="76"/>
  <c r="B36" i="76"/>
  <c r="AU35" i="76"/>
  <c r="AT35" i="76"/>
  <c r="AS35" i="76"/>
  <c r="AR35" i="76"/>
  <c r="AQ35" i="76"/>
  <c r="AP35" i="76"/>
  <c r="AO35" i="76"/>
  <c r="AN35" i="76"/>
  <c r="AM35" i="76"/>
  <c r="AL35" i="76"/>
  <c r="AK35" i="76"/>
  <c r="AJ35" i="76"/>
  <c r="AI35" i="76"/>
  <c r="AH35" i="76"/>
  <c r="AG35" i="76"/>
  <c r="AF35" i="76"/>
  <c r="AE35" i="76"/>
  <c r="AD35" i="76"/>
  <c r="AC35" i="76"/>
  <c r="W35" i="76"/>
  <c r="Y35" i="76" s="1"/>
  <c r="C35" i="76"/>
  <c r="B35" i="76"/>
  <c r="W34" i="76"/>
  <c r="Y34" i="76" s="1"/>
  <c r="C34" i="76"/>
  <c r="B34" i="76"/>
  <c r="Y33" i="76"/>
  <c r="X33" i="76"/>
  <c r="W33" i="76"/>
  <c r="C33" i="76"/>
  <c r="B33" i="76"/>
  <c r="Y32" i="76"/>
  <c r="X32" i="76"/>
  <c r="W32" i="76"/>
  <c r="C32" i="76"/>
  <c r="B32" i="76"/>
  <c r="W31" i="76"/>
  <c r="Y31" i="76" s="1"/>
  <c r="C31" i="76"/>
  <c r="B31" i="76"/>
  <c r="Y30" i="76"/>
  <c r="X30" i="76"/>
  <c r="W30" i="76"/>
  <c r="C30" i="76"/>
  <c r="B30" i="76"/>
  <c r="X29" i="76"/>
  <c r="W29" i="76"/>
  <c r="Y29" i="76" s="1"/>
  <c r="C29" i="76"/>
  <c r="B29" i="76"/>
  <c r="X28" i="76"/>
  <c r="W28" i="76"/>
  <c r="Y28" i="76" s="1"/>
  <c r="C28" i="76"/>
  <c r="B28" i="76"/>
  <c r="BC27" i="76"/>
  <c r="BF27" i="76" s="1"/>
  <c r="Y27" i="76"/>
  <c r="X27" i="76"/>
  <c r="W27" i="76"/>
  <c r="C27" i="76"/>
  <c r="B27" i="76"/>
  <c r="BF26" i="76"/>
  <c r="BC26" i="76"/>
  <c r="BE26" i="76" s="1"/>
  <c r="W26" i="76"/>
  <c r="Y26" i="76" s="1"/>
  <c r="C26" i="76"/>
  <c r="B26" i="76"/>
  <c r="BC25" i="76"/>
  <c r="BF25" i="76" s="1"/>
  <c r="W25" i="76"/>
  <c r="Y25" i="76" s="1"/>
  <c r="C25" i="76"/>
  <c r="B25" i="76"/>
  <c r="BC24" i="76"/>
  <c r="BF24" i="76" s="1"/>
  <c r="W24" i="76"/>
  <c r="Y24" i="76" s="1"/>
  <c r="C24" i="76"/>
  <c r="B24" i="76"/>
  <c r="BF23" i="76"/>
  <c r="BC23" i="76"/>
  <c r="BE23" i="76" s="1"/>
  <c r="W23" i="76"/>
  <c r="Y23" i="76" s="1"/>
  <c r="C23" i="76"/>
  <c r="B23" i="76"/>
  <c r="BF22" i="76"/>
  <c r="BE22" i="76"/>
  <c r="BC22" i="76"/>
  <c r="BD22" i="76" s="1"/>
  <c r="W22" i="76"/>
  <c r="Y22" i="76" s="1"/>
  <c r="C22" i="76"/>
  <c r="B22" i="76"/>
  <c r="BF21" i="76"/>
  <c r="BE21" i="76"/>
  <c r="BC21" i="76"/>
  <c r="BD21" i="76" s="1"/>
  <c r="Y21" i="76"/>
  <c r="W21" i="76"/>
  <c r="X21" i="76" s="1"/>
  <c r="C21" i="76"/>
  <c r="B21" i="76"/>
  <c r="BE20" i="76"/>
  <c r="BC20" i="76"/>
  <c r="BF20" i="76" s="1"/>
  <c r="Y20" i="76"/>
  <c r="W20" i="76"/>
  <c r="X20" i="76" s="1"/>
  <c r="C20" i="76"/>
  <c r="B20" i="76"/>
  <c r="BF19" i="76"/>
  <c r="BE19" i="76"/>
  <c r="BC19" i="76"/>
  <c r="BD19" i="76" s="1"/>
  <c r="Y19" i="76"/>
  <c r="W19" i="76"/>
  <c r="X19" i="76" s="1"/>
  <c r="C19" i="76"/>
  <c r="B19" i="76"/>
  <c r="BC18" i="76"/>
  <c r="BF18" i="76" s="1"/>
  <c r="Y18" i="76"/>
  <c r="W18" i="76"/>
  <c r="X18" i="76" s="1"/>
  <c r="C18" i="76"/>
  <c r="B18" i="76"/>
  <c r="BF17" i="76"/>
  <c r="BE17" i="76"/>
  <c r="BD17" i="76"/>
  <c r="BC17" i="76"/>
  <c r="W17" i="76"/>
  <c r="C17" i="76"/>
  <c r="B17" i="76"/>
  <c r="BF16" i="76"/>
  <c r="BE16" i="76"/>
  <c r="BD16" i="76"/>
  <c r="BC16" i="76"/>
  <c r="AA16" i="76"/>
  <c r="Y16" i="76"/>
  <c r="X16" i="76"/>
  <c r="W16" i="76"/>
  <c r="C16" i="76"/>
  <c r="B16" i="76"/>
  <c r="BE15" i="76"/>
  <c r="BD15" i="76"/>
  <c r="BC15" i="76"/>
  <c r="BF15" i="76" s="1"/>
  <c r="Y15" i="76"/>
  <c r="X15" i="76"/>
  <c r="W15" i="76"/>
  <c r="C15" i="76"/>
  <c r="B15" i="76"/>
  <c r="BF14" i="76"/>
  <c r="BE14" i="76"/>
  <c r="BD14" i="76"/>
  <c r="BC14" i="76"/>
  <c r="Y14" i="76"/>
  <c r="X14" i="76"/>
  <c r="W14" i="76"/>
  <c r="C14" i="76"/>
  <c r="B14" i="76"/>
  <c r="BC13" i="76"/>
  <c r="BF13" i="76" s="1"/>
  <c r="Y13" i="76"/>
  <c r="X13" i="76"/>
  <c r="W13" i="76"/>
  <c r="C13" i="76"/>
  <c r="B13" i="76"/>
  <c r="BF12" i="76"/>
  <c r="BE12" i="76"/>
  <c r="BD12" i="76"/>
  <c r="BC12" i="76"/>
  <c r="W12" i="76"/>
  <c r="C12" i="76"/>
  <c r="B12" i="76"/>
  <c r="BF11" i="76"/>
  <c r="BE11" i="76"/>
  <c r="BC11" i="76"/>
  <c r="BD11" i="76" s="1"/>
  <c r="W11" i="76"/>
  <c r="Y11" i="76" s="1"/>
  <c r="C11" i="76"/>
  <c r="B11" i="76"/>
  <c r="BC10" i="76"/>
  <c r="BE10" i="76" s="1"/>
  <c r="Y10" i="76"/>
  <c r="W10" i="76"/>
  <c r="X10" i="76" s="1"/>
  <c r="C10" i="76"/>
  <c r="B10" i="76"/>
  <c r="BC9" i="76"/>
  <c r="W9" i="76"/>
  <c r="Y9" i="76" s="1"/>
  <c r="C9" i="76"/>
  <c r="B9" i="76"/>
  <c r="BF8" i="76"/>
  <c r="BC8" i="76"/>
  <c r="BE8" i="76" s="1"/>
  <c r="W8" i="76"/>
  <c r="C8" i="76"/>
  <c r="B8" i="76"/>
  <c r="BC7" i="76"/>
  <c r="BE7" i="76" s="1"/>
  <c r="W7" i="76"/>
  <c r="C7" i="76"/>
  <c r="B7" i="76"/>
  <c r="BF6" i="76"/>
  <c r="BE6" i="76"/>
  <c r="BD6" i="76"/>
  <c r="BC6" i="76"/>
  <c r="W6" i="76"/>
  <c r="AA7" i="76" s="1"/>
  <c r="C6" i="76"/>
  <c r="B6" i="76"/>
  <c r="D2" i="76"/>
  <c r="L73" i="75"/>
  <c r="K73" i="75"/>
  <c r="J73" i="75"/>
  <c r="I73" i="75"/>
  <c r="M72" i="75"/>
  <c r="H72" i="75"/>
  <c r="M71" i="75"/>
  <c r="H71" i="75"/>
  <c r="M70" i="75"/>
  <c r="H70" i="75"/>
  <c r="M69" i="75"/>
  <c r="H69" i="75"/>
  <c r="M68" i="75"/>
  <c r="H68" i="75"/>
  <c r="M67" i="75"/>
  <c r="H67" i="75"/>
  <c r="M66" i="75"/>
  <c r="H66" i="75"/>
  <c r="M65" i="75"/>
  <c r="H65" i="75"/>
  <c r="M64" i="75"/>
  <c r="H64" i="75"/>
  <c r="M63" i="75"/>
  <c r="H63" i="75"/>
  <c r="M62" i="75"/>
  <c r="M73" i="75" s="1"/>
  <c r="S62" i="75" s="1"/>
  <c r="H62" i="75"/>
  <c r="CO56" i="75"/>
  <c r="AA54" i="75"/>
  <c r="Z54" i="75"/>
  <c r="Y54" i="75"/>
  <c r="X54" i="75"/>
  <c r="W54" i="75"/>
  <c r="V54" i="75"/>
  <c r="U54" i="75"/>
  <c r="T54" i="75"/>
  <c r="S54" i="75"/>
  <c r="R54" i="75"/>
  <c r="Q54" i="75"/>
  <c r="P54" i="75"/>
  <c r="O54" i="75"/>
  <c r="N54" i="75"/>
  <c r="M54" i="75"/>
  <c r="L54" i="75"/>
  <c r="K54" i="75"/>
  <c r="J54" i="75"/>
  <c r="I54" i="75"/>
  <c r="H54" i="75"/>
  <c r="G54" i="75"/>
  <c r="F54" i="75"/>
  <c r="E54" i="75"/>
  <c r="BC53" i="75"/>
  <c r="BB53" i="75"/>
  <c r="BA53" i="75"/>
  <c r="AZ53" i="75"/>
  <c r="AY53" i="75"/>
  <c r="AX53" i="75"/>
  <c r="AW53" i="75"/>
  <c r="AV53" i="75"/>
  <c r="AU53" i="75"/>
  <c r="AT53" i="75"/>
  <c r="AS53" i="75"/>
  <c r="AR53" i="75"/>
  <c r="AQ53" i="75"/>
  <c r="AP53" i="75"/>
  <c r="AO53" i="75"/>
  <c r="AN53" i="75"/>
  <c r="AM53" i="75"/>
  <c r="AL53" i="75"/>
  <c r="AK53" i="75"/>
  <c r="AJ53" i="75"/>
  <c r="AI53" i="75"/>
  <c r="AH53" i="75"/>
  <c r="AC53" i="75"/>
  <c r="AB53" i="75"/>
  <c r="AD53" i="75" s="1"/>
  <c r="D53" i="75"/>
  <c r="C53" i="75"/>
  <c r="BC52" i="75"/>
  <c r="BB52" i="75"/>
  <c r="BA52" i="75"/>
  <c r="AZ52" i="75"/>
  <c r="AY52" i="75"/>
  <c r="AX52" i="75"/>
  <c r="AW52" i="75"/>
  <c r="AV52" i="75"/>
  <c r="AU52" i="75"/>
  <c r="AT52" i="75"/>
  <c r="AS52" i="75"/>
  <c r="AR52" i="75"/>
  <c r="AQ52" i="75"/>
  <c r="AP52" i="75"/>
  <c r="AO52" i="75"/>
  <c r="AN52" i="75"/>
  <c r="AM52" i="75"/>
  <c r="AL52" i="75"/>
  <c r="AK52" i="75"/>
  <c r="AJ52" i="75"/>
  <c r="AI52" i="75"/>
  <c r="AH52" i="75"/>
  <c r="AD52" i="75"/>
  <c r="AB52" i="75"/>
  <c r="AC52" i="75" s="1"/>
  <c r="D52" i="75"/>
  <c r="C52" i="75"/>
  <c r="BC51" i="75"/>
  <c r="BB51" i="75"/>
  <c r="BA51" i="75"/>
  <c r="AZ51" i="75"/>
  <c r="AY51" i="75"/>
  <c r="AX51" i="75"/>
  <c r="AW51" i="75"/>
  <c r="AV51" i="75"/>
  <c r="AU51" i="75"/>
  <c r="AT51" i="75"/>
  <c r="AS51" i="75"/>
  <c r="AR51" i="75"/>
  <c r="AQ51" i="75"/>
  <c r="AP51" i="75"/>
  <c r="AO51" i="75"/>
  <c r="AN51" i="75"/>
  <c r="AM51" i="75"/>
  <c r="AL51" i="75"/>
  <c r="AK51" i="75"/>
  <c r="AJ51" i="75"/>
  <c r="AI51" i="75"/>
  <c r="AH51" i="75"/>
  <c r="AB51" i="75"/>
  <c r="AD51" i="75" s="1"/>
  <c r="D51" i="75"/>
  <c r="C51" i="75"/>
  <c r="BC50" i="75"/>
  <c r="BB50" i="75"/>
  <c r="BA50" i="75"/>
  <c r="AZ50" i="75"/>
  <c r="AY50" i="75"/>
  <c r="AX50" i="75"/>
  <c r="AW50" i="75"/>
  <c r="AV50" i="75"/>
  <c r="AU50" i="75"/>
  <c r="AT50" i="75"/>
  <c r="AS50" i="75"/>
  <c r="AR50" i="75"/>
  <c r="AQ50" i="75"/>
  <c r="AP50" i="75"/>
  <c r="AO50" i="75"/>
  <c r="AN50" i="75"/>
  <c r="AM50" i="75"/>
  <c r="AL50" i="75"/>
  <c r="AK50" i="75"/>
  <c r="AJ50" i="75"/>
  <c r="AI50" i="75"/>
  <c r="AH50" i="75"/>
  <c r="AD50" i="75"/>
  <c r="AC50" i="75"/>
  <c r="AB50" i="75"/>
  <c r="D50" i="75"/>
  <c r="C50" i="75"/>
  <c r="BC49" i="75"/>
  <c r="BB49" i="75"/>
  <c r="BA49" i="75"/>
  <c r="AZ49" i="75"/>
  <c r="AY49" i="75"/>
  <c r="AX49" i="75"/>
  <c r="AW49" i="75"/>
  <c r="AV49" i="75"/>
  <c r="AU49" i="75"/>
  <c r="AT49" i="75"/>
  <c r="AS49" i="75"/>
  <c r="AR49" i="75"/>
  <c r="AQ49" i="75"/>
  <c r="AP49" i="75"/>
  <c r="AO49" i="75"/>
  <c r="AN49" i="75"/>
  <c r="AM49" i="75"/>
  <c r="AL49" i="75"/>
  <c r="AK49" i="75"/>
  <c r="AJ49" i="75"/>
  <c r="AI49" i="75"/>
  <c r="AH49" i="75"/>
  <c r="AB49" i="75"/>
  <c r="AD49" i="75" s="1"/>
  <c r="D49" i="75"/>
  <c r="C49" i="75"/>
  <c r="BC48" i="75"/>
  <c r="BB48" i="75"/>
  <c r="BA48" i="75"/>
  <c r="AZ48" i="75"/>
  <c r="AY48" i="75"/>
  <c r="AX48" i="75"/>
  <c r="AW48" i="75"/>
  <c r="AV48" i="75"/>
  <c r="AU48" i="75"/>
  <c r="AT48" i="75"/>
  <c r="AS48" i="75"/>
  <c r="AR48" i="75"/>
  <c r="AQ48" i="75"/>
  <c r="AP48" i="75"/>
  <c r="AO48" i="75"/>
  <c r="AN48" i="75"/>
  <c r="AM48" i="75"/>
  <c r="AL48" i="75"/>
  <c r="AK48" i="75"/>
  <c r="AJ48" i="75"/>
  <c r="AI48" i="75"/>
  <c r="AH48" i="75"/>
  <c r="AD48" i="75"/>
  <c r="AC48" i="75"/>
  <c r="AB48" i="75"/>
  <c r="D48" i="75"/>
  <c r="C48" i="75"/>
  <c r="BC47" i="75"/>
  <c r="BB47" i="75"/>
  <c r="BA47" i="75"/>
  <c r="AZ47" i="75"/>
  <c r="AY47" i="75"/>
  <c r="AX47" i="75"/>
  <c r="AW47" i="75"/>
  <c r="AV47" i="75"/>
  <c r="AU47" i="75"/>
  <c r="AT47" i="75"/>
  <c r="AS47" i="75"/>
  <c r="AR47" i="75"/>
  <c r="AQ47" i="75"/>
  <c r="AP47" i="75"/>
  <c r="AO47" i="75"/>
  <c r="AN47" i="75"/>
  <c r="AM47" i="75"/>
  <c r="AL47" i="75"/>
  <c r="AK47" i="75"/>
  <c r="AJ47" i="75"/>
  <c r="AI47" i="75"/>
  <c r="AH47" i="75"/>
  <c r="AD47" i="75"/>
  <c r="AB47" i="75"/>
  <c r="AC47" i="75" s="1"/>
  <c r="D47" i="75"/>
  <c r="C47" i="75"/>
  <c r="BC46" i="75"/>
  <c r="BB46" i="75"/>
  <c r="BA46" i="75"/>
  <c r="AZ46" i="75"/>
  <c r="AY46" i="75"/>
  <c r="AX46" i="75"/>
  <c r="AW46" i="75"/>
  <c r="AV46" i="75"/>
  <c r="AU46" i="75"/>
  <c r="AT46" i="75"/>
  <c r="AS46" i="75"/>
  <c r="AR46" i="75"/>
  <c r="AQ46" i="75"/>
  <c r="AP46" i="75"/>
  <c r="AO46" i="75"/>
  <c r="AN46" i="75"/>
  <c r="AM46" i="75"/>
  <c r="AL46" i="75"/>
  <c r="AK46" i="75"/>
  <c r="AJ46" i="75"/>
  <c r="AI46" i="75"/>
  <c r="AH46" i="75"/>
  <c r="AD46" i="75"/>
  <c r="AC46" i="75"/>
  <c r="AB46" i="75"/>
  <c r="D46" i="75"/>
  <c r="C46" i="75"/>
  <c r="BC45" i="75"/>
  <c r="BB45" i="75"/>
  <c r="BA45" i="75"/>
  <c r="AZ45" i="75"/>
  <c r="AY45" i="75"/>
  <c r="AX45" i="75"/>
  <c r="AW45" i="75"/>
  <c r="AV45" i="75"/>
  <c r="AU45" i="75"/>
  <c r="AT45" i="75"/>
  <c r="AS45" i="75"/>
  <c r="AR45" i="75"/>
  <c r="AQ45" i="75"/>
  <c r="AP45" i="75"/>
  <c r="AO45" i="75"/>
  <c r="AN45" i="75"/>
  <c r="AM45" i="75"/>
  <c r="AL45" i="75"/>
  <c r="AK45" i="75"/>
  <c r="AJ45" i="75"/>
  <c r="AI45" i="75"/>
  <c r="AH45" i="75"/>
  <c r="AD45" i="75"/>
  <c r="AB45" i="75"/>
  <c r="AC45" i="75" s="1"/>
  <c r="D45" i="75"/>
  <c r="C45" i="75"/>
  <c r="BC44" i="75"/>
  <c r="BB44" i="75"/>
  <c r="BA44" i="75"/>
  <c r="AZ44" i="75"/>
  <c r="AY44" i="75"/>
  <c r="AX44" i="75"/>
  <c r="AW44" i="75"/>
  <c r="AV44" i="75"/>
  <c r="AU44" i="75"/>
  <c r="AT44" i="75"/>
  <c r="AS44" i="75"/>
  <c r="AR44" i="75"/>
  <c r="AQ44" i="75"/>
  <c r="AP44" i="75"/>
  <c r="AO44" i="75"/>
  <c r="AN44" i="75"/>
  <c r="AM44" i="75"/>
  <c r="AL44" i="75"/>
  <c r="AK44" i="75"/>
  <c r="AJ44" i="75"/>
  <c r="AI44" i="75"/>
  <c r="AH44" i="75"/>
  <c r="AB44" i="75"/>
  <c r="AD44" i="75" s="1"/>
  <c r="D44" i="75"/>
  <c r="C44" i="75"/>
  <c r="BC43" i="75"/>
  <c r="BB43" i="75"/>
  <c r="BA43" i="75"/>
  <c r="AZ43" i="75"/>
  <c r="AY43" i="75"/>
  <c r="AX43" i="75"/>
  <c r="AW43" i="75"/>
  <c r="AV43" i="75"/>
  <c r="AU43" i="75"/>
  <c r="AT43" i="75"/>
  <c r="AS43" i="75"/>
  <c r="AR43" i="75"/>
  <c r="AQ43" i="75"/>
  <c r="AP43" i="75"/>
  <c r="AO43" i="75"/>
  <c r="AN43" i="75"/>
  <c r="AM43" i="75"/>
  <c r="AL43" i="75"/>
  <c r="AK43" i="75"/>
  <c r="AJ43" i="75"/>
  <c r="AI43" i="75"/>
  <c r="AH43" i="75"/>
  <c r="AD43" i="75"/>
  <c r="AC43" i="75"/>
  <c r="AB43" i="75"/>
  <c r="D43" i="75"/>
  <c r="C43" i="75"/>
  <c r="BC42" i="75"/>
  <c r="BB42" i="75"/>
  <c r="BA42" i="75"/>
  <c r="AZ42" i="75"/>
  <c r="AY42" i="75"/>
  <c r="AX42" i="75"/>
  <c r="AW42" i="75"/>
  <c r="AV42" i="75"/>
  <c r="AU42" i="75"/>
  <c r="AT42" i="75"/>
  <c r="AS42" i="75"/>
  <c r="AR42" i="75"/>
  <c r="AQ42" i="75"/>
  <c r="AP42" i="75"/>
  <c r="AO42" i="75"/>
  <c r="AN42" i="75"/>
  <c r="AM42" i="75"/>
  <c r="AL42" i="75"/>
  <c r="AK42" i="75"/>
  <c r="AJ42" i="75"/>
  <c r="AI42" i="75"/>
  <c r="AH42" i="75"/>
  <c r="AB42" i="75"/>
  <c r="AD42" i="75" s="1"/>
  <c r="D42" i="75"/>
  <c r="C42" i="75"/>
  <c r="BC41" i="75"/>
  <c r="BB41" i="75"/>
  <c r="BA41" i="75"/>
  <c r="AZ41" i="75"/>
  <c r="AY41" i="75"/>
  <c r="AX41" i="75"/>
  <c r="AW41" i="75"/>
  <c r="AV41" i="75"/>
  <c r="AU41" i="75"/>
  <c r="AT41" i="75"/>
  <c r="AS41" i="75"/>
  <c r="AR41" i="75"/>
  <c r="AQ41" i="75"/>
  <c r="AP41" i="75"/>
  <c r="AO41" i="75"/>
  <c r="AN41" i="75"/>
  <c r="AM41" i="75"/>
  <c r="AL41" i="75"/>
  <c r="AK41" i="75"/>
  <c r="AJ41" i="75"/>
  <c r="AI41" i="75"/>
  <c r="AH41" i="75"/>
  <c r="AB41" i="75"/>
  <c r="AD41" i="75" s="1"/>
  <c r="D41" i="75"/>
  <c r="C41" i="75"/>
  <c r="BC40" i="75"/>
  <c r="BB40" i="75"/>
  <c r="BA40" i="75"/>
  <c r="AZ40" i="75"/>
  <c r="AY40" i="75"/>
  <c r="AX40" i="75"/>
  <c r="AW40" i="75"/>
  <c r="AV40" i="75"/>
  <c r="AU40" i="75"/>
  <c r="AT40" i="75"/>
  <c r="AS40" i="75"/>
  <c r="AR40" i="75"/>
  <c r="AQ40" i="75"/>
  <c r="AP40" i="75"/>
  <c r="AO40" i="75"/>
  <c r="AN40" i="75"/>
  <c r="AM40" i="75"/>
  <c r="AL40" i="75"/>
  <c r="AK40" i="75"/>
  <c r="AJ40" i="75"/>
  <c r="AI40" i="75"/>
  <c r="AH40" i="75"/>
  <c r="AB40" i="75"/>
  <c r="AC40" i="75" s="1"/>
  <c r="D40" i="75"/>
  <c r="C40" i="75"/>
  <c r="BC39" i="75"/>
  <c r="BB39" i="75"/>
  <c r="BA39" i="75"/>
  <c r="AZ39" i="75"/>
  <c r="AY39" i="75"/>
  <c r="AX39" i="75"/>
  <c r="AW39" i="75"/>
  <c r="AV39" i="75"/>
  <c r="AU39" i="75"/>
  <c r="AT39" i="75"/>
  <c r="AS39" i="75"/>
  <c r="AR39" i="75"/>
  <c r="AQ39" i="75"/>
  <c r="AP39" i="75"/>
  <c r="AO39" i="75"/>
  <c r="AN39" i="75"/>
  <c r="AM39" i="75"/>
  <c r="AL39" i="75"/>
  <c r="AK39" i="75"/>
  <c r="AJ39" i="75"/>
  <c r="AI39" i="75"/>
  <c r="AH39" i="75"/>
  <c r="AC39" i="75"/>
  <c r="AB39" i="75"/>
  <c r="AD39" i="75" s="1"/>
  <c r="D39" i="75"/>
  <c r="C39" i="75"/>
  <c r="BC38" i="75"/>
  <c r="BB38" i="75"/>
  <c r="BA38" i="75"/>
  <c r="AZ38" i="75"/>
  <c r="AY38" i="75"/>
  <c r="AX38" i="75"/>
  <c r="AW38" i="75"/>
  <c r="AV38" i="75"/>
  <c r="AU38" i="75"/>
  <c r="AT38" i="75"/>
  <c r="AS38" i="75"/>
  <c r="AR38" i="75"/>
  <c r="AQ38" i="75"/>
  <c r="AP38" i="75"/>
  <c r="AO38" i="75"/>
  <c r="AN38" i="75"/>
  <c r="AM38" i="75"/>
  <c r="AL38" i="75"/>
  <c r="AK38" i="75"/>
  <c r="AJ38" i="75"/>
  <c r="AI38" i="75"/>
  <c r="AH38" i="75"/>
  <c r="AC38" i="75"/>
  <c r="AB38" i="75"/>
  <c r="AD38" i="75" s="1"/>
  <c r="D38" i="75"/>
  <c r="C38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AM37" i="75"/>
  <c r="AL37" i="75"/>
  <c r="AK37" i="75"/>
  <c r="AJ37" i="75"/>
  <c r="AI37" i="75"/>
  <c r="AH37" i="75"/>
  <c r="AC37" i="75"/>
  <c r="AB37" i="75"/>
  <c r="AD37" i="75" s="1"/>
  <c r="D37" i="75"/>
  <c r="C37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AM36" i="75"/>
  <c r="AL36" i="75"/>
  <c r="AK36" i="75"/>
  <c r="AJ36" i="75"/>
  <c r="AI36" i="75"/>
  <c r="AH36" i="75"/>
  <c r="AD36" i="75"/>
  <c r="AB36" i="75"/>
  <c r="AC36" i="75" s="1"/>
  <c r="D36" i="75"/>
  <c r="C36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AM35" i="75"/>
  <c r="AL35" i="75"/>
  <c r="AK35" i="75"/>
  <c r="AJ35" i="75"/>
  <c r="AI35" i="75"/>
  <c r="AH35" i="75"/>
  <c r="AD35" i="75"/>
  <c r="AB35" i="75"/>
  <c r="AC35" i="75" s="1"/>
  <c r="D35" i="75"/>
  <c r="C35" i="75"/>
  <c r="BC34" i="75"/>
  <c r="BB34" i="75"/>
  <c r="BA34" i="75"/>
  <c r="AZ34" i="75"/>
  <c r="AY34" i="75"/>
  <c r="AX34" i="75"/>
  <c r="AW34" i="75"/>
  <c r="AV34" i="75"/>
  <c r="AU34" i="75"/>
  <c r="AT34" i="75"/>
  <c r="AS34" i="75"/>
  <c r="AR34" i="75"/>
  <c r="AQ34" i="75"/>
  <c r="AP34" i="75"/>
  <c r="AO34" i="75"/>
  <c r="AN34" i="75"/>
  <c r="AM34" i="75"/>
  <c r="AL34" i="75"/>
  <c r="AK34" i="75"/>
  <c r="AJ34" i="75"/>
  <c r="AI34" i="75"/>
  <c r="AH34" i="75"/>
  <c r="AB34" i="75"/>
  <c r="AD34" i="75" s="1"/>
  <c r="D34" i="75"/>
  <c r="C34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AM33" i="75"/>
  <c r="AL33" i="75"/>
  <c r="AK33" i="75"/>
  <c r="AJ33" i="75"/>
  <c r="AI33" i="75"/>
  <c r="AH33" i="75"/>
  <c r="AB33" i="75"/>
  <c r="AD33" i="75" s="1"/>
  <c r="D33" i="75"/>
  <c r="C33" i="75"/>
  <c r="BC32" i="75"/>
  <c r="BB32" i="75"/>
  <c r="BA32" i="75"/>
  <c r="AZ32" i="75"/>
  <c r="AY32" i="75"/>
  <c r="AX32" i="75"/>
  <c r="AW32" i="75"/>
  <c r="AV32" i="75"/>
  <c r="AU32" i="75"/>
  <c r="AT32" i="75"/>
  <c r="AS32" i="75"/>
  <c r="AR32" i="75"/>
  <c r="AQ32" i="75"/>
  <c r="AP32" i="75"/>
  <c r="AO32" i="75"/>
  <c r="AN32" i="75"/>
  <c r="AM32" i="75"/>
  <c r="AL32" i="75"/>
  <c r="AK32" i="75"/>
  <c r="AJ32" i="75"/>
  <c r="AI32" i="75"/>
  <c r="AH32" i="75"/>
  <c r="AD32" i="75"/>
  <c r="AC32" i="75"/>
  <c r="AB32" i="75"/>
  <c r="D32" i="75"/>
  <c r="C32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AM31" i="75"/>
  <c r="AL31" i="75"/>
  <c r="AK31" i="75"/>
  <c r="AJ31" i="75"/>
  <c r="AI31" i="75"/>
  <c r="AH31" i="75"/>
  <c r="AD31" i="75"/>
  <c r="AC31" i="75"/>
  <c r="AB31" i="75"/>
  <c r="D31" i="75"/>
  <c r="C31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AM30" i="75"/>
  <c r="AL30" i="75"/>
  <c r="AK30" i="75"/>
  <c r="AJ30" i="75"/>
  <c r="AI30" i="75"/>
  <c r="AH30" i="75"/>
  <c r="AB30" i="75"/>
  <c r="AD30" i="75" s="1"/>
  <c r="D30" i="75"/>
  <c r="C30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AM29" i="75"/>
  <c r="AL29" i="75"/>
  <c r="AK29" i="75"/>
  <c r="AJ29" i="75"/>
  <c r="AI29" i="75"/>
  <c r="AH29" i="75"/>
  <c r="AB29" i="75"/>
  <c r="AD29" i="75" s="1"/>
  <c r="D29" i="75"/>
  <c r="C29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AM28" i="75"/>
  <c r="AL28" i="75"/>
  <c r="AK28" i="75"/>
  <c r="AJ28" i="75"/>
  <c r="AI28" i="75"/>
  <c r="AH28" i="75"/>
  <c r="AC28" i="75"/>
  <c r="AB28" i="75"/>
  <c r="AD28" i="75" s="1"/>
  <c r="D28" i="75"/>
  <c r="C28" i="75"/>
  <c r="BM27" i="75"/>
  <c r="BK27" i="75"/>
  <c r="BL27" i="75" s="1"/>
  <c r="AZ27" i="75"/>
  <c r="AU27" i="75"/>
  <c r="AS27" i="75"/>
  <c r="AJ27" i="75"/>
  <c r="AF27" i="75"/>
  <c r="AT27" i="75" s="1"/>
  <c r="AD27" i="75"/>
  <c r="AB27" i="75"/>
  <c r="AC27" i="75" s="1"/>
  <c r="D27" i="75"/>
  <c r="C27" i="75"/>
  <c r="BK26" i="75"/>
  <c r="BN26" i="75" s="1"/>
  <c r="BF26" i="75"/>
  <c r="BA26" i="75"/>
  <c r="AY26" i="75"/>
  <c r="AP26" i="75"/>
  <c r="AK26" i="75"/>
  <c r="AI26" i="75"/>
  <c r="AF26" i="75"/>
  <c r="AZ26" i="75" s="1"/>
  <c r="AB26" i="75"/>
  <c r="AD26" i="75" s="1"/>
  <c r="D26" i="75"/>
  <c r="C26" i="75"/>
  <c r="BN25" i="75"/>
  <c r="BK25" i="75"/>
  <c r="BM25" i="75" s="1"/>
  <c r="AF25" i="75"/>
  <c r="BF25" i="75" s="1"/>
  <c r="AB25" i="75"/>
  <c r="AD25" i="75" s="1"/>
  <c r="D25" i="75"/>
  <c r="C25" i="75"/>
  <c r="BK24" i="75"/>
  <c r="BN24" i="75" s="1"/>
  <c r="BH24" i="75"/>
  <c r="BE24" i="75"/>
  <c r="BB24" i="75"/>
  <c r="AY24" i="75"/>
  <c r="AW24" i="75"/>
  <c r="AU24" i="75"/>
  <c r="AS24" i="75"/>
  <c r="AR24" i="75"/>
  <c r="AO24" i="75"/>
  <c r="AL24" i="75"/>
  <c r="AI24" i="75"/>
  <c r="AG24" i="75"/>
  <c r="AF24" i="75"/>
  <c r="AV24" i="75" s="1"/>
  <c r="AB24" i="75"/>
  <c r="AD24" i="75" s="1"/>
  <c r="D24" i="75"/>
  <c r="C24" i="75"/>
  <c r="BK23" i="75"/>
  <c r="BN23" i="75" s="1"/>
  <c r="BH23" i="75"/>
  <c r="BE23" i="75"/>
  <c r="BC23" i="75"/>
  <c r="BA23" i="75"/>
  <c r="AY23" i="75"/>
  <c r="AX23" i="75"/>
  <c r="AR23" i="75"/>
  <c r="AO23" i="75"/>
  <c r="AM23" i="75"/>
  <c r="AK23" i="75"/>
  <c r="AI23" i="75"/>
  <c r="AH23" i="75"/>
  <c r="AF23" i="75"/>
  <c r="BB23" i="75" s="1"/>
  <c r="AB23" i="75"/>
  <c r="AD23" i="75" s="1"/>
  <c r="D23" i="75"/>
  <c r="C23" i="75"/>
  <c r="BK22" i="75"/>
  <c r="BN22" i="75" s="1"/>
  <c r="BG22" i="75"/>
  <c r="BE22" i="75"/>
  <c r="BD22" i="75"/>
  <c r="BB22" i="75"/>
  <c r="BA22" i="75"/>
  <c r="AY22" i="75"/>
  <c r="AX22" i="75"/>
  <c r="AU22" i="75"/>
  <c r="AS22" i="75"/>
  <c r="AQ22" i="75"/>
  <c r="AO22" i="75"/>
  <c r="AN22" i="75"/>
  <c r="AL22" i="75"/>
  <c r="AK22" i="75"/>
  <c r="AI22" i="75"/>
  <c r="AH22" i="75"/>
  <c r="AF22" i="75"/>
  <c r="BH22" i="75" s="1"/>
  <c r="AB22" i="75"/>
  <c r="AD22" i="75" s="1"/>
  <c r="D22" i="75"/>
  <c r="C22" i="75"/>
  <c r="BM21" i="75"/>
  <c r="BK21" i="75"/>
  <c r="BN21" i="75" s="1"/>
  <c r="BH21" i="75"/>
  <c r="BG21" i="75"/>
  <c r="BE21" i="75"/>
  <c r="BD21" i="75"/>
  <c r="BA21" i="75"/>
  <c r="AY21" i="75"/>
  <c r="AW21" i="75"/>
  <c r="AU21" i="75"/>
  <c r="AT21" i="75"/>
  <c r="AS21" i="75"/>
  <c r="AR21" i="75"/>
  <c r="AQ21" i="75"/>
  <c r="AO21" i="75"/>
  <c r="AN21" i="75"/>
  <c r="AK21" i="75"/>
  <c r="AI21" i="75"/>
  <c r="AG21" i="75"/>
  <c r="AF21" i="75"/>
  <c r="AX21" i="75" s="1"/>
  <c r="AD21" i="75"/>
  <c r="AB21" i="75"/>
  <c r="AC21" i="75" s="1"/>
  <c r="D21" i="75"/>
  <c r="C21" i="75"/>
  <c r="BL20" i="75"/>
  <c r="BK20" i="75"/>
  <c r="BN20" i="75" s="1"/>
  <c r="BH20" i="75"/>
  <c r="BG20" i="75"/>
  <c r="BF20" i="75"/>
  <c r="BE20" i="75"/>
  <c r="BD20" i="75"/>
  <c r="BC20" i="75"/>
  <c r="BB20" i="75"/>
  <c r="BA20" i="75"/>
  <c r="AZ20" i="75"/>
  <c r="AY20" i="75"/>
  <c r="AX20" i="75"/>
  <c r="AW20" i="75"/>
  <c r="AU20" i="75"/>
  <c r="AT20" i="75"/>
  <c r="AS20" i="75"/>
  <c r="AR20" i="75"/>
  <c r="AQ20" i="75"/>
  <c r="AP20" i="75"/>
  <c r="AO20" i="75"/>
  <c r="AN20" i="75"/>
  <c r="AM20" i="75"/>
  <c r="AL20" i="75"/>
  <c r="AK20" i="75"/>
  <c r="AJ20" i="75"/>
  <c r="AI20" i="75"/>
  <c r="AH20" i="75"/>
  <c r="AG20" i="75"/>
  <c r="AF20" i="75"/>
  <c r="AV20" i="75" s="1"/>
  <c r="AC20" i="75"/>
  <c r="AB20" i="75"/>
  <c r="AD20" i="75" s="1"/>
  <c r="D20" i="75"/>
  <c r="C20" i="75"/>
  <c r="BK19" i="75"/>
  <c r="BL19" i="75" s="1"/>
  <c r="BG19" i="75"/>
  <c r="BE19" i="75"/>
  <c r="AZ19" i="75"/>
  <c r="AW19" i="75"/>
  <c r="AU19" i="75"/>
  <c r="AS19" i="75"/>
  <c r="AQ19" i="75"/>
  <c r="AO19" i="75"/>
  <c r="AJ19" i="75"/>
  <c r="AG19" i="75"/>
  <c r="AF19" i="75"/>
  <c r="AT19" i="75" s="1"/>
  <c r="AD19" i="75"/>
  <c r="AB19" i="75"/>
  <c r="AC19" i="75" s="1"/>
  <c r="D19" i="75"/>
  <c r="C19" i="75"/>
  <c r="BK18" i="75"/>
  <c r="BN18" i="75" s="1"/>
  <c r="BF18" i="75"/>
  <c r="BA18" i="75"/>
  <c r="AY18" i="75"/>
  <c r="AP18" i="75"/>
  <c r="AK18" i="75"/>
  <c r="AI18" i="75"/>
  <c r="AF18" i="75"/>
  <c r="AZ18" i="75" s="1"/>
  <c r="AB18" i="75"/>
  <c r="AD18" i="75" s="1"/>
  <c r="D18" i="75"/>
  <c r="C18" i="75"/>
  <c r="BK17" i="75"/>
  <c r="BN17" i="75" s="1"/>
  <c r="AF17" i="75"/>
  <c r="BF17" i="75" s="1"/>
  <c r="AB17" i="75"/>
  <c r="AD17" i="75" s="1"/>
  <c r="D17" i="75"/>
  <c r="C17" i="75"/>
  <c r="BK16" i="75"/>
  <c r="BN16" i="75" s="1"/>
  <c r="BH16" i="75"/>
  <c r="BG16" i="75"/>
  <c r="BF16" i="75"/>
  <c r="BE16" i="75"/>
  <c r="BC16" i="75"/>
  <c r="BB16" i="75"/>
  <c r="BA16" i="75"/>
  <c r="AY16" i="75"/>
  <c r="AX16" i="75"/>
  <c r="AW16" i="75"/>
  <c r="AU16" i="75"/>
  <c r="AS16" i="75"/>
  <c r="AR16" i="75"/>
  <c r="AQ16" i="75"/>
  <c r="AP16" i="75"/>
  <c r="AO16" i="75"/>
  <c r="AM16" i="75"/>
  <c r="AL16" i="75"/>
  <c r="AK16" i="75"/>
  <c r="AI16" i="75"/>
  <c r="AH16" i="75"/>
  <c r="AG16" i="75"/>
  <c r="AF16" i="75"/>
  <c r="AV16" i="75" s="1"/>
  <c r="AB16" i="75"/>
  <c r="AD16" i="75" s="1"/>
  <c r="D16" i="75"/>
  <c r="C16" i="75"/>
  <c r="BK15" i="75"/>
  <c r="BN15" i="75" s="1"/>
  <c r="BH15" i="75"/>
  <c r="BE15" i="75"/>
  <c r="BC15" i="75"/>
  <c r="BA15" i="75"/>
  <c r="AY15" i="75"/>
  <c r="AX15" i="75"/>
  <c r="AR15" i="75"/>
  <c r="AO15" i="75"/>
  <c r="AM15" i="75"/>
  <c r="AK15" i="75"/>
  <c r="AI15" i="75"/>
  <c r="AH15" i="75"/>
  <c r="AF15" i="75"/>
  <c r="BB15" i="75" s="1"/>
  <c r="AD15" i="75"/>
  <c r="AB15" i="75"/>
  <c r="AC15" i="75" s="1"/>
  <c r="D15" i="75"/>
  <c r="C15" i="75"/>
  <c r="BK14" i="75"/>
  <c r="BN14" i="75" s="1"/>
  <c r="BG14" i="75"/>
  <c r="BE14" i="75"/>
  <c r="BD14" i="75"/>
  <c r="BC14" i="75"/>
  <c r="BB14" i="75"/>
  <c r="BA14" i="75"/>
  <c r="AY14" i="75"/>
  <c r="AX14" i="75"/>
  <c r="AW14" i="75"/>
  <c r="AU14" i="75"/>
  <c r="AT14" i="75"/>
  <c r="AS14" i="75"/>
  <c r="AQ14" i="75"/>
  <c r="AO14" i="75"/>
  <c r="AN14" i="75"/>
  <c r="AM14" i="75"/>
  <c r="AL14" i="75"/>
  <c r="AK14" i="75"/>
  <c r="AI14" i="75"/>
  <c r="AH14" i="75"/>
  <c r="AG14" i="75"/>
  <c r="AF14" i="75"/>
  <c r="BH14" i="75" s="1"/>
  <c r="AB14" i="75"/>
  <c r="AD14" i="75" s="1"/>
  <c r="D14" i="75"/>
  <c r="C14" i="75"/>
  <c r="BM13" i="75"/>
  <c r="BK13" i="75"/>
  <c r="BN13" i="75" s="1"/>
  <c r="BH13" i="75"/>
  <c r="BG13" i="75"/>
  <c r="BD13" i="75"/>
  <c r="BA13" i="75"/>
  <c r="AZ13" i="75"/>
  <c r="AY13" i="75"/>
  <c r="AW13" i="75"/>
  <c r="AU13" i="75"/>
  <c r="AT13" i="75"/>
  <c r="AS13" i="75"/>
  <c r="AR13" i="75"/>
  <c r="AQ13" i="75"/>
  <c r="AN13" i="75"/>
  <c r="AK13" i="75"/>
  <c r="AJ13" i="75"/>
  <c r="AI13" i="75"/>
  <c r="AG13" i="75"/>
  <c r="AF13" i="75"/>
  <c r="AX13" i="75" s="1"/>
  <c r="AD13" i="75"/>
  <c r="AB13" i="75"/>
  <c r="AC13" i="75" s="1"/>
  <c r="D13" i="75"/>
  <c r="C13" i="75"/>
  <c r="BL12" i="75"/>
  <c r="BK12" i="75"/>
  <c r="BN12" i="75" s="1"/>
  <c r="BH12" i="75"/>
  <c r="BG12" i="75"/>
  <c r="BF12" i="75"/>
  <c r="BE12" i="75"/>
  <c r="BD12" i="75"/>
  <c r="BC12" i="75"/>
  <c r="BB12" i="75"/>
  <c r="BA12" i="75"/>
  <c r="AZ12" i="75"/>
  <c r="AY12" i="75"/>
  <c r="AX12" i="75"/>
  <c r="AW12" i="75"/>
  <c r="AU12" i="75"/>
  <c r="AT12" i="75"/>
  <c r="AS12" i="75"/>
  <c r="AR12" i="75"/>
  <c r="AQ12" i="75"/>
  <c r="AP12" i="75"/>
  <c r="AO12" i="75"/>
  <c r="AN12" i="75"/>
  <c r="AM12" i="75"/>
  <c r="AL12" i="75"/>
  <c r="AK12" i="75"/>
  <c r="AJ12" i="75"/>
  <c r="AI12" i="75"/>
  <c r="AH12" i="75"/>
  <c r="AG12" i="75"/>
  <c r="AF12" i="75"/>
  <c r="AV12" i="75" s="1"/>
  <c r="AC12" i="75"/>
  <c r="AB12" i="75"/>
  <c r="AD12" i="75" s="1"/>
  <c r="D12" i="75"/>
  <c r="C12" i="75"/>
  <c r="BK11" i="75"/>
  <c r="BL11" i="75" s="1"/>
  <c r="BG11" i="75"/>
  <c r="BE11" i="75"/>
  <c r="AZ11" i="75"/>
  <c r="AU11" i="75"/>
  <c r="AS11" i="75"/>
  <c r="AQ11" i="75"/>
  <c r="AO11" i="75"/>
  <c r="AJ11" i="75"/>
  <c r="AF11" i="75"/>
  <c r="AT11" i="75" s="1"/>
  <c r="AB11" i="75"/>
  <c r="AC11" i="75" s="1"/>
  <c r="D11" i="75"/>
  <c r="C11" i="75"/>
  <c r="BK10" i="75"/>
  <c r="BN10" i="75" s="1"/>
  <c r="BF10" i="75"/>
  <c r="AY10" i="75"/>
  <c r="AW10" i="75"/>
  <c r="AK10" i="75"/>
  <c r="AI10" i="75"/>
  <c r="AG10" i="75"/>
  <c r="AF10" i="75"/>
  <c r="AZ10" i="75" s="1"/>
  <c r="AB10" i="75"/>
  <c r="AD10" i="75" s="1"/>
  <c r="D10" i="75"/>
  <c r="C10" i="75"/>
  <c r="BK9" i="75"/>
  <c r="BN9" i="75" s="1"/>
  <c r="AF9" i="75"/>
  <c r="BF9" i="75" s="1"/>
  <c r="AB9" i="75"/>
  <c r="AD9" i="75" s="1"/>
  <c r="D9" i="75"/>
  <c r="C9" i="75"/>
  <c r="BK8" i="75"/>
  <c r="BN8" i="75" s="1"/>
  <c r="BH8" i="75"/>
  <c r="BG8" i="75"/>
  <c r="BF8" i="75"/>
  <c r="BE8" i="75"/>
  <c r="BB8" i="75"/>
  <c r="BA8" i="75"/>
  <c r="AY8" i="75"/>
  <c r="AX8" i="75"/>
  <c r="AW8" i="75"/>
  <c r="AU8" i="75"/>
  <c r="AT8" i="75"/>
  <c r="AS8" i="75"/>
  <c r="AR8" i="75"/>
  <c r="AQ8" i="75"/>
  <c r="AP8" i="75"/>
  <c r="AO8" i="75"/>
  <c r="AL8" i="75"/>
  <c r="AK8" i="75"/>
  <c r="AI8" i="75"/>
  <c r="AH8" i="75"/>
  <c r="AG8" i="75"/>
  <c r="AF8" i="75"/>
  <c r="AV8" i="75" s="1"/>
  <c r="AB8" i="75"/>
  <c r="AD8" i="75" s="1"/>
  <c r="D8" i="75"/>
  <c r="C8" i="75"/>
  <c r="BN7" i="75"/>
  <c r="BM7" i="75"/>
  <c r="BK7" i="75"/>
  <c r="BL7" i="75" s="1"/>
  <c r="BH7" i="75"/>
  <c r="BC7" i="75"/>
  <c r="BA7" i="75"/>
  <c r="AY7" i="75"/>
  <c r="AX7" i="75"/>
  <c r="AR7" i="75"/>
  <c r="AM7" i="75"/>
  <c r="AK7" i="75"/>
  <c r="AI7" i="75"/>
  <c r="AH7" i="75"/>
  <c r="AF7" i="75"/>
  <c r="BB7" i="75" s="1"/>
  <c r="AD7" i="75"/>
  <c r="AB7" i="75"/>
  <c r="AC7" i="75" s="1"/>
  <c r="D7" i="75"/>
  <c r="C7" i="75"/>
  <c r="BK6" i="75"/>
  <c r="BM6" i="75" s="1"/>
  <c r="BG6" i="75"/>
  <c r="BE6" i="75"/>
  <c r="BD6" i="75"/>
  <c r="BC6" i="75"/>
  <c r="BB6" i="75"/>
  <c r="BA6" i="75"/>
  <c r="AY6" i="75"/>
  <c r="AX6" i="75"/>
  <c r="AW6" i="75"/>
  <c r="AU6" i="75"/>
  <c r="AT6" i="75"/>
  <c r="AS6" i="75"/>
  <c r="AQ6" i="75"/>
  <c r="AO6" i="75"/>
  <c r="AN6" i="75"/>
  <c r="AM6" i="75"/>
  <c r="AL6" i="75"/>
  <c r="AK6" i="75"/>
  <c r="AI6" i="75"/>
  <c r="AH6" i="75"/>
  <c r="AG6" i="75"/>
  <c r="AF6" i="75"/>
  <c r="BH6" i="75" s="1"/>
  <c r="AB6" i="75"/>
  <c r="AB54" i="75" s="1"/>
  <c r="D6" i="75"/>
  <c r="C6" i="75"/>
  <c r="L73" i="73"/>
  <c r="K73" i="73"/>
  <c r="J73" i="73"/>
  <c r="I73" i="73"/>
  <c r="M72" i="73"/>
  <c r="H72" i="73"/>
  <c r="M71" i="73"/>
  <c r="H71" i="73"/>
  <c r="M70" i="73"/>
  <c r="H70" i="73"/>
  <c r="M69" i="73"/>
  <c r="H69" i="73"/>
  <c r="M68" i="73"/>
  <c r="H68" i="73"/>
  <c r="M67" i="73"/>
  <c r="H67" i="73"/>
  <c r="M66" i="73"/>
  <c r="H66" i="73"/>
  <c r="M65" i="73"/>
  <c r="H65" i="73"/>
  <c r="M64" i="73"/>
  <c r="H64" i="73"/>
  <c r="M63" i="73"/>
  <c r="H63" i="73"/>
  <c r="M62" i="73"/>
  <c r="M73" i="73" s="1"/>
  <c r="S62" i="73" s="1"/>
  <c r="H62" i="73"/>
  <c r="X54" i="73"/>
  <c r="W54" i="73"/>
  <c r="V54" i="73"/>
  <c r="U54" i="73"/>
  <c r="T54" i="73"/>
  <c r="S54" i="73"/>
  <c r="R54" i="73"/>
  <c r="Q54" i="73"/>
  <c r="P54" i="73"/>
  <c r="O54" i="73"/>
  <c r="N54" i="73"/>
  <c r="M54" i="73"/>
  <c r="L54" i="73"/>
  <c r="K54" i="73"/>
  <c r="J54" i="73"/>
  <c r="I54" i="73"/>
  <c r="H54" i="73"/>
  <c r="G54" i="73"/>
  <c r="F54" i="73"/>
  <c r="E54" i="73"/>
  <c r="AX53" i="73"/>
  <c r="AW53" i="73"/>
  <c r="AV53" i="73"/>
  <c r="AU53" i="73"/>
  <c r="AT53" i="73"/>
  <c r="AS53" i="73"/>
  <c r="AR53" i="73"/>
  <c r="AQ53" i="73"/>
  <c r="AP53" i="73"/>
  <c r="AO53" i="73"/>
  <c r="AN53" i="73"/>
  <c r="AM53" i="73"/>
  <c r="AL53" i="73"/>
  <c r="AK53" i="73"/>
  <c r="AJ53" i="73"/>
  <c r="AI53" i="73"/>
  <c r="AH53" i="73"/>
  <c r="AG53" i="73"/>
  <c r="AF53" i="73"/>
  <c r="AA53" i="73"/>
  <c r="Z53" i="73"/>
  <c r="Y53" i="73"/>
  <c r="D53" i="73"/>
  <c r="C53" i="73"/>
  <c r="AX52" i="73"/>
  <c r="AW52" i="73"/>
  <c r="AV52" i="73"/>
  <c r="AU52" i="73"/>
  <c r="AT52" i="73"/>
  <c r="AS52" i="73"/>
  <c r="AR52" i="73"/>
  <c r="AQ52" i="73"/>
  <c r="AP52" i="73"/>
  <c r="AO52" i="73"/>
  <c r="AN52" i="73"/>
  <c r="AM52" i="73"/>
  <c r="AL52" i="73"/>
  <c r="AK52" i="73"/>
  <c r="AJ52" i="73"/>
  <c r="AI52" i="73"/>
  <c r="AH52" i="73"/>
  <c r="AG52" i="73"/>
  <c r="AF52" i="73"/>
  <c r="AA52" i="73"/>
  <c r="Z52" i="73"/>
  <c r="Y52" i="73"/>
  <c r="D52" i="73"/>
  <c r="C52" i="73"/>
  <c r="AX51" i="73"/>
  <c r="AW51" i="73"/>
  <c r="AV51" i="73"/>
  <c r="AU51" i="73"/>
  <c r="AT51" i="73"/>
  <c r="AS51" i="73"/>
  <c r="AR51" i="73"/>
  <c r="AQ51" i="73"/>
  <c r="AP51" i="73"/>
  <c r="AO51" i="73"/>
  <c r="AN51" i="73"/>
  <c r="AM51" i="73"/>
  <c r="AL51" i="73"/>
  <c r="AK51" i="73"/>
  <c r="AJ51" i="73"/>
  <c r="AI51" i="73"/>
  <c r="AH51" i="73"/>
  <c r="AG51" i="73"/>
  <c r="AF51" i="73"/>
  <c r="AA51" i="73"/>
  <c r="Z51" i="73"/>
  <c r="Y51" i="73"/>
  <c r="D51" i="73"/>
  <c r="C51" i="73"/>
  <c r="AX50" i="73"/>
  <c r="AW50" i="73"/>
  <c r="AV50" i="73"/>
  <c r="AU50" i="73"/>
  <c r="AT50" i="73"/>
  <c r="AS50" i="73"/>
  <c r="AR50" i="73"/>
  <c r="AQ50" i="73"/>
  <c r="AP50" i="73"/>
  <c r="AO50" i="73"/>
  <c r="AN50" i="73"/>
  <c r="AM50" i="73"/>
  <c r="AL50" i="73"/>
  <c r="AK50" i="73"/>
  <c r="AJ50" i="73"/>
  <c r="AI50" i="73"/>
  <c r="AH50" i="73"/>
  <c r="AG50" i="73"/>
  <c r="AF50" i="73"/>
  <c r="AA50" i="73"/>
  <c r="Z50" i="73"/>
  <c r="Y50" i="73"/>
  <c r="D50" i="73"/>
  <c r="C50" i="73"/>
  <c r="AX49" i="73"/>
  <c r="AW49" i="73"/>
  <c r="AV49" i="73"/>
  <c r="AU49" i="73"/>
  <c r="AT49" i="73"/>
  <c r="AS49" i="73"/>
  <c r="AR49" i="73"/>
  <c r="AQ49" i="73"/>
  <c r="AP49" i="73"/>
  <c r="AO49" i="73"/>
  <c r="AN49" i="73"/>
  <c r="AM49" i="73"/>
  <c r="AL49" i="73"/>
  <c r="AK49" i="73"/>
  <c r="AJ49" i="73"/>
  <c r="AI49" i="73"/>
  <c r="AH49" i="73"/>
  <c r="AG49" i="73"/>
  <c r="AF49" i="73"/>
  <c r="AA49" i="73"/>
  <c r="Z49" i="73"/>
  <c r="Y49" i="73"/>
  <c r="D49" i="73"/>
  <c r="C49" i="73"/>
  <c r="AX48" i="73"/>
  <c r="AW48" i="73"/>
  <c r="AV48" i="73"/>
  <c r="AU48" i="73"/>
  <c r="AT48" i="73"/>
  <c r="AS48" i="73"/>
  <c r="AR48" i="73"/>
  <c r="AQ48" i="73"/>
  <c r="AP48" i="73"/>
  <c r="AO48" i="73"/>
  <c r="AN48" i="73"/>
  <c r="AM48" i="73"/>
  <c r="AL48" i="73"/>
  <c r="AK48" i="73"/>
  <c r="AJ48" i="73"/>
  <c r="AI48" i="73"/>
  <c r="AH48" i="73"/>
  <c r="AG48" i="73"/>
  <c r="AF48" i="73"/>
  <c r="AA48" i="73"/>
  <c r="Z48" i="73"/>
  <c r="Y48" i="73"/>
  <c r="D48" i="73"/>
  <c r="C48" i="73"/>
  <c r="AX47" i="73"/>
  <c r="AW47" i="73"/>
  <c r="AV47" i="73"/>
  <c r="AU47" i="73"/>
  <c r="AT47" i="73"/>
  <c r="AS47" i="73"/>
  <c r="AR47" i="73"/>
  <c r="AQ47" i="73"/>
  <c r="AP47" i="73"/>
  <c r="AO47" i="73"/>
  <c r="AN47" i="73"/>
  <c r="AM47" i="73"/>
  <c r="AL47" i="73"/>
  <c r="AK47" i="73"/>
  <c r="AJ47" i="73"/>
  <c r="AI47" i="73"/>
  <c r="AH47" i="73"/>
  <c r="AG47" i="73"/>
  <c r="AF47" i="73"/>
  <c r="AA47" i="73"/>
  <c r="Z47" i="73"/>
  <c r="Y47" i="73"/>
  <c r="D47" i="73"/>
  <c r="C47" i="73"/>
  <c r="AX46" i="73"/>
  <c r="AW46" i="73"/>
  <c r="AV46" i="73"/>
  <c r="AU46" i="73"/>
  <c r="AT46" i="73"/>
  <c r="AS46" i="73"/>
  <c r="AR46" i="73"/>
  <c r="AQ46" i="73"/>
  <c r="AP46" i="73"/>
  <c r="AO46" i="73"/>
  <c r="AN46" i="73"/>
  <c r="AM46" i="73"/>
  <c r="AL46" i="73"/>
  <c r="AK46" i="73"/>
  <c r="AJ46" i="73"/>
  <c r="AI46" i="73"/>
  <c r="AH46" i="73"/>
  <c r="AG46" i="73"/>
  <c r="AF46" i="73"/>
  <c r="AA46" i="73"/>
  <c r="Z46" i="73"/>
  <c r="Y46" i="73"/>
  <c r="D46" i="73"/>
  <c r="C46" i="73"/>
  <c r="AX45" i="73"/>
  <c r="AW45" i="73"/>
  <c r="AV45" i="73"/>
  <c r="AU45" i="73"/>
  <c r="AT45" i="73"/>
  <c r="AS45" i="73"/>
  <c r="AR45" i="73"/>
  <c r="AQ45" i="73"/>
  <c r="AP45" i="73"/>
  <c r="AO45" i="73"/>
  <c r="AN45" i="73"/>
  <c r="AM45" i="73"/>
  <c r="AL45" i="73"/>
  <c r="AK45" i="73"/>
  <c r="AJ45" i="73"/>
  <c r="AI45" i="73"/>
  <c r="AH45" i="73"/>
  <c r="AG45" i="73"/>
  <c r="AF45" i="73"/>
  <c r="AA45" i="73"/>
  <c r="Z45" i="73"/>
  <c r="Y45" i="73"/>
  <c r="D45" i="73"/>
  <c r="C45" i="73"/>
  <c r="AX44" i="73"/>
  <c r="AW44" i="73"/>
  <c r="AV44" i="73"/>
  <c r="AU44" i="73"/>
  <c r="AT44" i="73"/>
  <c r="AS44" i="73"/>
  <c r="AR44" i="73"/>
  <c r="AQ44" i="73"/>
  <c r="AP44" i="73"/>
  <c r="AO44" i="73"/>
  <c r="AN44" i="73"/>
  <c r="AM44" i="73"/>
  <c r="AL44" i="73"/>
  <c r="AK44" i="73"/>
  <c r="AJ44" i="73"/>
  <c r="AI44" i="73"/>
  <c r="AH44" i="73"/>
  <c r="AG44" i="73"/>
  <c r="AF44" i="73"/>
  <c r="AA44" i="73"/>
  <c r="Z44" i="73"/>
  <c r="Y44" i="73"/>
  <c r="D44" i="73"/>
  <c r="C44" i="73"/>
  <c r="AX43" i="73"/>
  <c r="AW43" i="73"/>
  <c r="AV43" i="73"/>
  <c r="AU43" i="73"/>
  <c r="AT43" i="73"/>
  <c r="AS43" i="73"/>
  <c r="AR43" i="73"/>
  <c r="AQ43" i="73"/>
  <c r="AP43" i="73"/>
  <c r="AO43" i="73"/>
  <c r="AN43" i="73"/>
  <c r="AM43" i="73"/>
  <c r="AL43" i="73"/>
  <c r="AK43" i="73"/>
  <c r="AJ43" i="73"/>
  <c r="AI43" i="73"/>
  <c r="AH43" i="73"/>
  <c r="AG43" i="73"/>
  <c r="AF43" i="73"/>
  <c r="AA43" i="73"/>
  <c r="Z43" i="73"/>
  <c r="Y43" i="73"/>
  <c r="D43" i="73"/>
  <c r="C43" i="73"/>
  <c r="AX42" i="73"/>
  <c r="AW42" i="73"/>
  <c r="AV42" i="73"/>
  <c r="AU42" i="73"/>
  <c r="AT42" i="73"/>
  <c r="AS42" i="73"/>
  <c r="AR42" i="73"/>
  <c r="AQ42" i="73"/>
  <c r="AP42" i="73"/>
  <c r="AO42" i="73"/>
  <c r="AN42" i="73"/>
  <c r="AM42" i="73"/>
  <c r="AL42" i="73"/>
  <c r="AK42" i="73"/>
  <c r="AJ42" i="73"/>
  <c r="AI42" i="73"/>
  <c r="AH42" i="73"/>
  <c r="AG42" i="73"/>
  <c r="AF42" i="73"/>
  <c r="AA42" i="73"/>
  <c r="Z42" i="73"/>
  <c r="Y42" i="73"/>
  <c r="D42" i="73"/>
  <c r="C42" i="73"/>
  <c r="AX41" i="73"/>
  <c r="AW41" i="73"/>
  <c r="AV41" i="73"/>
  <c r="AU41" i="73"/>
  <c r="AT41" i="73"/>
  <c r="AS41" i="73"/>
  <c r="AR41" i="73"/>
  <c r="AQ41" i="73"/>
  <c r="AP41" i="73"/>
  <c r="AO41" i="73"/>
  <c r="AN41" i="73"/>
  <c r="AM41" i="73"/>
  <c r="AL41" i="73"/>
  <c r="AK41" i="73"/>
  <c r="AJ41" i="73"/>
  <c r="AI41" i="73"/>
  <c r="AH41" i="73"/>
  <c r="AG41" i="73"/>
  <c r="AF41" i="73"/>
  <c r="AA41" i="73"/>
  <c r="Z41" i="73"/>
  <c r="Y41" i="73"/>
  <c r="D41" i="73"/>
  <c r="C41" i="73"/>
  <c r="AX40" i="73"/>
  <c r="AW40" i="73"/>
  <c r="AV40" i="73"/>
  <c r="AU40" i="73"/>
  <c r="AT40" i="73"/>
  <c r="AS40" i="73"/>
  <c r="AR40" i="73"/>
  <c r="AQ40" i="73"/>
  <c r="AP40" i="73"/>
  <c r="AO40" i="73"/>
  <c r="AN40" i="73"/>
  <c r="AM40" i="73"/>
  <c r="AL40" i="73"/>
  <c r="AK40" i="73"/>
  <c r="AJ40" i="73"/>
  <c r="AI40" i="73"/>
  <c r="AH40" i="73"/>
  <c r="AG40" i="73"/>
  <c r="AF40" i="73"/>
  <c r="AA40" i="73"/>
  <c r="Z40" i="73"/>
  <c r="Y40" i="73"/>
  <c r="D40" i="73"/>
  <c r="C40" i="73"/>
  <c r="AX39" i="73"/>
  <c r="AW39" i="73"/>
  <c r="AV39" i="73"/>
  <c r="AU39" i="73"/>
  <c r="AT39" i="73"/>
  <c r="AS39" i="73"/>
  <c r="AR39" i="73"/>
  <c r="AQ39" i="73"/>
  <c r="AP39" i="73"/>
  <c r="AO39" i="73"/>
  <c r="AN39" i="73"/>
  <c r="AM39" i="73"/>
  <c r="AL39" i="73"/>
  <c r="AK39" i="73"/>
  <c r="AJ39" i="73"/>
  <c r="AI39" i="73"/>
  <c r="AH39" i="73"/>
  <c r="AG39" i="73"/>
  <c r="AF39" i="73"/>
  <c r="AA39" i="73"/>
  <c r="Z39" i="73"/>
  <c r="Y39" i="73"/>
  <c r="D39" i="73"/>
  <c r="C39" i="73"/>
  <c r="AX38" i="73"/>
  <c r="AW38" i="73"/>
  <c r="AV38" i="73"/>
  <c r="AU38" i="73"/>
  <c r="AT38" i="73"/>
  <c r="AS38" i="73"/>
  <c r="AR38" i="73"/>
  <c r="AQ38" i="73"/>
  <c r="AP38" i="73"/>
  <c r="AO38" i="73"/>
  <c r="AN38" i="73"/>
  <c r="AM38" i="73"/>
  <c r="AL38" i="73"/>
  <c r="AK38" i="73"/>
  <c r="AJ38" i="73"/>
  <c r="AI38" i="73"/>
  <c r="AH38" i="73"/>
  <c r="AG38" i="73"/>
  <c r="AF38" i="73"/>
  <c r="AA38" i="73"/>
  <c r="Z38" i="73"/>
  <c r="Y38" i="73"/>
  <c r="D38" i="73"/>
  <c r="C38" i="73"/>
  <c r="AX37" i="73"/>
  <c r="AW37" i="73"/>
  <c r="AV37" i="73"/>
  <c r="AU37" i="73"/>
  <c r="AT37" i="73"/>
  <c r="AS37" i="73"/>
  <c r="AR37" i="73"/>
  <c r="AQ37" i="73"/>
  <c r="AP37" i="73"/>
  <c r="AO37" i="73"/>
  <c r="AN37" i="73"/>
  <c r="AM37" i="73"/>
  <c r="AL37" i="73"/>
  <c r="AK37" i="73"/>
  <c r="AJ37" i="73"/>
  <c r="AI37" i="73"/>
  <c r="AH37" i="73"/>
  <c r="AG37" i="73"/>
  <c r="AF37" i="73"/>
  <c r="AA37" i="73"/>
  <c r="Z37" i="73"/>
  <c r="Y37" i="73"/>
  <c r="D37" i="73"/>
  <c r="C37" i="73"/>
  <c r="AX36" i="73"/>
  <c r="AW36" i="73"/>
  <c r="AV36" i="73"/>
  <c r="AU36" i="73"/>
  <c r="AT36" i="73"/>
  <c r="AS36" i="73"/>
  <c r="AR36" i="73"/>
  <c r="AQ36" i="73"/>
  <c r="AP36" i="73"/>
  <c r="AO36" i="73"/>
  <c r="AN36" i="73"/>
  <c r="AM36" i="73"/>
  <c r="AL36" i="73"/>
  <c r="AK36" i="73"/>
  <c r="AJ36" i="73"/>
  <c r="AI36" i="73"/>
  <c r="AH36" i="73"/>
  <c r="AG36" i="73"/>
  <c r="AF36" i="73"/>
  <c r="AA36" i="73"/>
  <c r="Z36" i="73"/>
  <c r="Y36" i="73"/>
  <c r="D36" i="73"/>
  <c r="C36" i="73"/>
  <c r="AX35" i="73"/>
  <c r="AW35" i="73"/>
  <c r="AV35" i="73"/>
  <c r="AU35" i="73"/>
  <c r="AT35" i="73"/>
  <c r="AS35" i="73"/>
  <c r="AR35" i="73"/>
  <c r="AQ35" i="73"/>
  <c r="AP35" i="73"/>
  <c r="AO35" i="73"/>
  <c r="AN35" i="73"/>
  <c r="AM35" i="73"/>
  <c r="AL35" i="73"/>
  <c r="AK35" i="73"/>
  <c r="AJ35" i="73"/>
  <c r="AI35" i="73"/>
  <c r="AH35" i="73"/>
  <c r="AG35" i="73"/>
  <c r="AF35" i="73"/>
  <c r="AA35" i="73"/>
  <c r="Z35" i="73"/>
  <c r="Y35" i="73"/>
  <c r="D35" i="73"/>
  <c r="C35" i="73"/>
  <c r="AX34" i="73"/>
  <c r="AW34" i="73"/>
  <c r="AV34" i="73"/>
  <c r="AU34" i="73"/>
  <c r="AT34" i="73"/>
  <c r="AS34" i="73"/>
  <c r="AR34" i="73"/>
  <c r="AQ34" i="73"/>
  <c r="AP34" i="73"/>
  <c r="AO34" i="73"/>
  <c r="AN34" i="73"/>
  <c r="AM34" i="73"/>
  <c r="AL34" i="73"/>
  <c r="AK34" i="73"/>
  <c r="AJ34" i="73"/>
  <c r="AI34" i="73"/>
  <c r="AH34" i="73"/>
  <c r="AG34" i="73"/>
  <c r="AF34" i="73"/>
  <c r="AA34" i="73"/>
  <c r="Z34" i="73"/>
  <c r="Y34" i="73"/>
  <c r="D34" i="73"/>
  <c r="C34" i="73"/>
  <c r="AX33" i="73"/>
  <c r="AW33" i="73"/>
  <c r="AV33" i="73"/>
  <c r="AU33" i="73"/>
  <c r="AT33" i="73"/>
  <c r="AS33" i="73"/>
  <c r="AR33" i="73"/>
  <c r="AQ33" i="73"/>
  <c r="AP33" i="73"/>
  <c r="AO33" i="73"/>
  <c r="AN33" i="73"/>
  <c r="AM33" i="73"/>
  <c r="AL33" i="73"/>
  <c r="AK33" i="73"/>
  <c r="AJ33" i="73"/>
  <c r="AI33" i="73"/>
  <c r="AH33" i="73"/>
  <c r="AG33" i="73"/>
  <c r="AF33" i="73"/>
  <c r="AA33" i="73"/>
  <c r="Z33" i="73"/>
  <c r="Y33" i="73"/>
  <c r="D33" i="73"/>
  <c r="C33" i="73"/>
  <c r="AX32" i="73"/>
  <c r="AW32" i="73"/>
  <c r="AV32" i="73"/>
  <c r="AU32" i="73"/>
  <c r="AT32" i="73"/>
  <c r="AS32" i="73"/>
  <c r="AR32" i="73"/>
  <c r="AQ32" i="73"/>
  <c r="AP32" i="73"/>
  <c r="AO32" i="73"/>
  <c r="AN32" i="73"/>
  <c r="AM32" i="73"/>
  <c r="AL32" i="73"/>
  <c r="AK32" i="73"/>
  <c r="AJ32" i="73"/>
  <c r="AI32" i="73"/>
  <c r="AH32" i="73"/>
  <c r="AG32" i="73"/>
  <c r="AF32" i="73"/>
  <c r="AA32" i="73"/>
  <c r="Z32" i="73"/>
  <c r="Y32" i="73"/>
  <c r="D32" i="73"/>
  <c r="C32" i="73"/>
  <c r="AX31" i="73"/>
  <c r="AW31" i="73"/>
  <c r="AV31" i="73"/>
  <c r="AU31" i="73"/>
  <c r="AT31" i="73"/>
  <c r="AS31" i="73"/>
  <c r="AR31" i="73"/>
  <c r="AQ31" i="73"/>
  <c r="AP31" i="73"/>
  <c r="AO31" i="73"/>
  <c r="AN31" i="73"/>
  <c r="AM31" i="73"/>
  <c r="AL31" i="73"/>
  <c r="AK31" i="73"/>
  <c r="AJ31" i="73"/>
  <c r="AI31" i="73"/>
  <c r="AH31" i="73"/>
  <c r="AG31" i="73"/>
  <c r="AF31" i="73"/>
  <c r="AA31" i="73"/>
  <c r="Z31" i="73"/>
  <c r="Y31" i="73"/>
  <c r="D31" i="73"/>
  <c r="C31" i="73"/>
  <c r="AX30" i="73"/>
  <c r="AW30" i="73"/>
  <c r="AV30" i="73"/>
  <c r="AU30" i="73"/>
  <c r="AT30" i="73"/>
  <c r="AS30" i="73"/>
  <c r="AR30" i="73"/>
  <c r="AQ30" i="73"/>
  <c r="AP30" i="73"/>
  <c r="AO30" i="73"/>
  <c r="AN30" i="73"/>
  <c r="AM30" i="73"/>
  <c r="AL30" i="73"/>
  <c r="AK30" i="73"/>
  <c r="AJ30" i="73"/>
  <c r="AI30" i="73"/>
  <c r="AH30" i="73"/>
  <c r="AG30" i="73"/>
  <c r="AF30" i="73"/>
  <c r="AA30" i="73"/>
  <c r="Z30" i="73"/>
  <c r="Y30" i="73"/>
  <c r="D30" i="73"/>
  <c r="C30" i="73"/>
  <c r="AX29" i="73"/>
  <c r="AW29" i="73"/>
  <c r="AV29" i="73"/>
  <c r="AU29" i="73"/>
  <c r="AT29" i="73"/>
  <c r="AS29" i="73"/>
  <c r="AR29" i="73"/>
  <c r="AQ29" i="73"/>
  <c r="AP29" i="73"/>
  <c r="AO29" i="73"/>
  <c r="AN29" i="73"/>
  <c r="AM29" i="73"/>
  <c r="AL29" i="73"/>
  <c r="AK29" i="73"/>
  <c r="AJ29" i="73"/>
  <c r="AI29" i="73"/>
  <c r="AH29" i="73"/>
  <c r="AG29" i="73"/>
  <c r="AF29" i="73"/>
  <c r="AA29" i="73"/>
  <c r="Z29" i="73"/>
  <c r="Y29" i="73"/>
  <c r="D29" i="73"/>
  <c r="C29" i="73"/>
  <c r="Y28" i="73"/>
  <c r="AA28" i="73" s="1"/>
  <c r="D28" i="73"/>
  <c r="C28" i="73"/>
  <c r="BF27" i="73"/>
  <c r="BI27" i="73" s="1"/>
  <c r="AN27" i="73"/>
  <c r="AD27" i="73"/>
  <c r="BC27" i="73" s="1"/>
  <c r="AA27" i="73"/>
  <c r="Y27" i="73"/>
  <c r="Z27" i="73" s="1"/>
  <c r="D27" i="73"/>
  <c r="C27" i="73"/>
  <c r="BI26" i="73"/>
  <c r="BF26" i="73"/>
  <c r="BH26" i="73" s="1"/>
  <c r="AW26" i="73"/>
  <c r="AQ26" i="73"/>
  <c r="AN26" i="73"/>
  <c r="AG26" i="73"/>
  <c r="AD26" i="73"/>
  <c r="AP26" i="73" s="1"/>
  <c r="Y26" i="73"/>
  <c r="D26" i="73"/>
  <c r="C26" i="73"/>
  <c r="BI25" i="73"/>
  <c r="BF25" i="73"/>
  <c r="BH25" i="73" s="1"/>
  <c r="AD25" i="73"/>
  <c r="AZ25" i="73" s="1"/>
  <c r="Y25" i="73"/>
  <c r="D25" i="73"/>
  <c r="C25" i="73"/>
  <c r="BF24" i="73"/>
  <c r="BI24" i="73" s="1"/>
  <c r="AD24" i="73"/>
  <c r="Y24" i="73"/>
  <c r="AA24" i="73" s="1"/>
  <c r="D24" i="73"/>
  <c r="C24" i="73"/>
  <c r="BI23" i="73"/>
  <c r="BH23" i="73"/>
  <c r="BF23" i="73"/>
  <c r="BG23" i="73" s="1"/>
  <c r="BC23" i="73"/>
  <c r="AZ23" i="73"/>
  <c r="AW23" i="73"/>
  <c r="AQ23" i="73"/>
  <c r="AP23" i="73"/>
  <c r="AN23" i="73"/>
  <c r="AM23" i="73"/>
  <c r="AJ23" i="73"/>
  <c r="AG23" i="73"/>
  <c r="AD23" i="73"/>
  <c r="AY23" i="73" s="1"/>
  <c r="Y23" i="73"/>
  <c r="D23" i="73"/>
  <c r="C23" i="73"/>
  <c r="BI22" i="73"/>
  <c r="BH22" i="73"/>
  <c r="BF22" i="73"/>
  <c r="BG22" i="73" s="1"/>
  <c r="AJ22" i="73"/>
  <c r="AD22" i="73"/>
  <c r="AA22" i="73"/>
  <c r="Y22" i="73"/>
  <c r="Z22" i="73" s="1"/>
  <c r="D22" i="73"/>
  <c r="C22" i="73"/>
  <c r="BH21" i="73"/>
  <c r="BF21" i="73"/>
  <c r="BG21" i="73" s="1"/>
  <c r="AD21" i="73"/>
  <c r="AA21" i="73"/>
  <c r="Y21" i="73"/>
  <c r="Z21" i="73" s="1"/>
  <c r="D21" i="73"/>
  <c r="C21" i="73"/>
  <c r="BI20" i="73"/>
  <c r="BH20" i="73"/>
  <c r="BF20" i="73"/>
  <c r="BG20" i="73" s="1"/>
  <c r="AZ20" i="73"/>
  <c r="AY20" i="73"/>
  <c r="AW20" i="73"/>
  <c r="AV20" i="73"/>
  <c r="AS20" i="73"/>
  <c r="AQ20" i="73"/>
  <c r="AP20" i="73"/>
  <c r="AJ20" i="73"/>
  <c r="AI20" i="73"/>
  <c r="AG20" i="73"/>
  <c r="AF20" i="73"/>
  <c r="AD20" i="73"/>
  <c r="AR20" i="73" s="1"/>
  <c r="Y20" i="73"/>
  <c r="Z20" i="73" s="1"/>
  <c r="D20" i="73"/>
  <c r="C20" i="73"/>
  <c r="BF19" i="73"/>
  <c r="BI19" i="73" s="1"/>
  <c r="BC19" i="73"/>
  <c r="BB19" i="73"/>
  <c r="AY19" i="73"/>
  <c r="AW19" i="73"/>
  <c r="AV19" i="73"/>
  <c r="AT19" i="73"/>
  <c r="AS19" i="73"/>
  <c r="AJ19" i="73"/>
  <c r="AG19" i="73"/>
  <c r="AD19" i="73"/>
  <c r="AZ19" i="73" s="1"/>
  <c r="AA19" i="73"/>
  <c r="Y19" i="73"/>
  <c r="Z19" i="73" s="1"/>
  <c r="D19" i="73"/>
  <c r="C19" i="73"/>
  <c r="BH18" i="73"/>
  <c r="BG18" i="73"/>
  <c r="BF18" i="73"/>
  <c r="BI18" i="73" s="1"/>
  <c r="BC18" i="73"/>
  <c r="BB18" i="73"/>
  <c r="AZ18" i="73"/>
  <c r="AY18" i="73"/>
  <c r="AW18" i="73"/>
  <c r="AV18" i="73"/>
  <c r="AS18" i="73"/>
  <c r="AQ18" i="73"/>
  <c r="AP18" i="73"/>
  <c r="AO18" i="73"/>
  <c r="AN18" i="73"/>
  <c r="AM18" i="73"/>
  <c r="AL18" i="73"/>
  <c r="AJ18" i="73"/>
  <c r="AI18" i="73"/>
  <c r="AG18" i="73"/>
  <c r="AF18" i="73"/>
  <c r="AD18" i="73"/>
  <c r="AX18" i="73" s="1"/>
  <c r="AA18" i="73"/>
  <c r="Y18" i="73"/>
  <c r="Z18" i="73" s="1"/>
  <c r="D18" i="73"/>
  <c r="C18" i="73"/>
  <c r="BI17" i="73"/>
  <c r="BH17" i="73"/>
  <c r="BG17" i="73"/>
  <c r="BF17" i="73"/>
  <c r="BC17" i="73"/>
  <c r="BB17" i="73"/>
  <c r="AZ17" i="73"/>
  <c r="AY17" i="73"/>
  <c r="AS17" i="73"/>
  <c r="AR17" i="73"/>
  <c r="AQ17" i="73"/>
  <c r="AP17" i="73"/>
  <c r="AO17" i="73"/>
  <c r="AN17" i="73"/>
  <c r="AM17" i="73"/>
  <c r="AL17" i="73"/>
  <c r="AJ17" i="73"/>
  <c r="AI17" i="73"/>
  <c r="AD17" i="73"/>
  <c r="BA17" i="73" s="1"/>
  <c r="Z17" i="73"/>
  <c r="Y17" i="73"/>
  <c r="AA17" i="73" s="1"/>
  <c r="D17" i="73"/>
  <c r="C17" i="73"/>
  <c r="BI16" i="73"/>
  <c r="BH16" i="73"/>
  <c r="BG16" i="73"/>
  <c r="BF16" i="73"/>
  <c r="AW16" i="73"/>
  <c r="AU16" i="73"/>
  <c r="AR16" i="73"/>
  <c r="AQ16" i="73"/>
  <c r="AP16" i="73"/>
  <c r="AO16" i="73"/>
  <c r="AM16" i="73"/>
  <c r="AL16" i="73"/>
  <c r="AG16" i="73"/>
  <c r="AF16" i="73"/>
  <c r="AE16" i="73"/>
  <c r="AD16" i="73"/>
  <c r="BB16" i="73" s="1"/>
  <c r="Z16" i="73"/>
  <c r="Y16" i="73"/>
  <c r="AA16" i="73" s="1"/>
  <c r="D16" i="73"/>
  <c r="C16" i="73"/>
  <c r="BI15" i="73"/>
  <c r="BH15" i="73"/>
  <c r="BG15" i="73"/>
  <c r="BF15" i="73"/>
  <c r="AD15" i="73"/>
  <c r="AZ15" i="73" s="1"/>
  <c r="AA15" i="73"/>
  <c r="Z15" i="73"/>
  <c r="Y15" i="73"/>
  <c r="D15" i="73"/>
  <c r="C15" i="73"/>
  <c r="BH14" i="73"/>
  <c r="BG14" i="73"/>
  <c r="BF14" i="73"/>
  <c r="BI14" i="73" s="1"/>
  <c r="BC14" i="73"/>
  <c r="BB14" i="73"/>
  <c r="BA14" i="73"/>
  <c r="AZ14" i="73"/>
  <c r="AY14" i="73"/>
  <c r="AX14" i="73"/>
  <c r="AW14" i="73"/>
  <c r="AV14" i="73"/>
  <c r="AU14" i="73"/>
  <c r="AS14" i="73"/>
  <c r="AR14" i="73"/>
  <c r="AO14" i="73"/>
  <c r="AM14" i="73"/>
  <c r="AL14" i="73"/>
  <c r="AK14" i="73"/>
  <c r="AJ14" i="73"/>
  <c r="AI14" i="73"/>
  <c r="AH14" i="73"/>
  <c r="AG14" i="73"/>
  <c r="AF14" i="73"/>
  <c r="AE14" i="73"/>
  <c r="AD14" i="73"/>
  <c r="AT14" i="73" s="1"/>
  <c r="AA14" i="73"/>
  <c r="Z14" i="73"/>
  <c r="Y14" i="73"/>
  <c r="D14" i="73"/>
  <c r="C14" i="73"/>
  <c r="BF13" i="73"/>
  <c r="BI13" i="73" s="1"/>
  <c r="BC13" i="73"/>
  <c r="BB13" i="73"/>
  <c r="BA13" i="73"/>
  <c r="AZ13" i="73"/>
  <c r="AY13" i="73"/>
  <c r="AX13" i="73"/>
  <c r="AW13" i="73"/>
  <c r="AV13" i="73"/>
  <c r="AU13" i="73"/>
  <c r="AS13" i="73"/>
  <c r="AR13" i="73"/>
  <c r="AP13" i="73"/>
  <c r="AO13" i="73"/>
  <c r="AN13" i="73"/>
  <c r="AM13" i="73"/>
  <c r="AL13" i="73"/>
  <c r="AK13" i="73"/>
  <c r="AJ13" i="73"/>
  <c r="AI13" i="73"/>
  <c r="AH13" i="73"/>
  <c r="AG13" i="73"/>
  <c r="AF13" i="73"/>
  <c r="AE13" i="73"/>
  <c r="AD13" i="73"/>
  <c r="AT13" i="73" s="1"/>
  <c r="AA13" i="73"/>
  <c r="Z13" i="73"/>
  <c r="Y13" i="73"/>
  <c r="D13" i="73"/>
  <c r="C13" i="73"/>
  <c r="BF12" i="73"/>
  <c r="BH12" i="73" s="1"/>
  <c r="BC12" i="73"/>
  <c r="BB12" i="73"/>
  <c r="BA12" i="73"/>
  <c r="AZ12" i="73"/>
  <c r="AY12" i="73"/>
  <c r="AX12" i="73"/>
  <c r="AV12" i="73"/>
  <c r="AU12" i="73"/>
  <c r="AS12" i="73"/>
  <c r="AR12" i="73"/>
  <c r="AQ12" i="73"/>
  <c r="AP12" i="73"/>
  <c r="AO12" i="73"/>
  <c r="AN12" i="73"/>
  <c r="AM12" i="73"/>
  <c r="AL12" i="73"/>
  <c r="AK12" i="73"/>
  <c r="AJ12" i="73"/>
  <c r="AI12" i="73"/>
  <c r="AH12" i="73"/>
  <c r="AF12" i="73"/>
  <c r="AE12" i="73"/>
  <c r="AD12" i="73"/>
  <c r="AW12" i="73" s="1"/>
  <c r="Z12" i="73"/>
  <c r="Y12" i="73"/>
  <c r="AA12" i="73" s="1"/>
  <c r="D12" i="73"/>
  <c r="C12" i="73"/>
  <c r="BF11" i="73"/>
  <c r="BH11" i="73" s="1"/>
  <c r="AN11" i="73"/>
  <c r="AK11" i="73"/>
  <c r="AD11" i="73"/>
  <c r="AV11" i="73" s="1"/>
  <c r="Z11" i="73"/>
  <c r="Y11" i="73"/>
  <c r="AA11" i="73" s="1"/>
  <c r="D11" i="73"/>
  <c r="C11" i="73"/>
  <c r="BF10" i="73"/>
  <c r="BI10" i="73" s="1"/>
  <c r="AY10" i="73"/>
  <c r="AX10" i="73"/>
  <c r="AO10" i="73"/>
  <c r="AN10" i="73"/>
  <c r="AK10" i="73"/>
  <c r="AI10" i="73"/>
  <c r="AH10" i="73"/>
  <c r="AF10" i="73"/>
  <c r="AE10" i="73"/>
  <c r="AD10" i="73"/>
  <c r="AV10" i="73" s="1"/>
  <c r="AA10" i="73"/>
  <c r="Y10" i="73"/>
  <c r="Z10" i="73" s="1"/>
  <c r="D10" i="73"/>
  <c r="C10" i="73"/>
  <c r="BF9" i="73"/>
  <c r="BB9" i="73"/>
  <c r="BA9" i="73"/>
  <c r="AZ9" i="73"/>
  <c r="AY9" i="73"/>
  <c r="AX9" i="73"/>
  <c r="AV9" i="73"/>
  <c r="AU9" i="73"/>
  <c r="AI9" i="73"/>
  <c r="AH9" i="73"/>
  <c r="AG9" i="73"/>
  <c r="AF9" i="73"/>
  <c r="AE9" i="73"/>
  <c r="AD9" i="73"/>
  <c r="AT9" i="73" s="1"/>
  <c r="AA9" i="73"/>
  <c r="Z9" i="73"/>
  <c r="Y9" i="73"/>
  <c r="D9" i="73"/>
  <c r="C9" i="73"/>
  <c r="BF8" i="73"/>
  <c r="BH8" i="73" s="1"/>
  <c r="AD8" i="73"/>
  <c r="AL8" i="73" s="1"/>
  <c r="Y8" i="73"/>
  <c r="D8" i="73"/>
  <c r="C8" i="73"/>
  <c r="BF7" i="73"/>
  <c r="BI7" i="73" s="1"/>
  <c r="AD7" i="73"/>
  <c r="AL7" i="73" s="1"/>
  <c r="Y7" i="73"/>
  <c r="AA7" i="73" s="1"/>
  <c r="D7" i="73"/>
  <c r="C7" i="73"/>
  <c r="BF6" i="73"/>
  <c r="BG6" i="73" s="1"/>
  <c r="AD6" i="73"/>
  <c r="AU6" i="73" s="1"/>
  <c r="AA6" i="73"/>
  <c r="Y6" i="73"/>
  <c r="D6" i="73"/>
  <c r="C6" i="73"/>
  <c r="L73" i="72"/>
  <c r="K73" i="72"/>
  <c r="J73" i="72"/>
  <c r="I73" i="72"/>
  <c r="H72" i="72"/>
  <c r="M71" i="72"/>
  <c r="H71" i="72"/>
  <c r="M70" i="72"/>
  <c r="H70" i="72"/>
  <c r="M69" i="72"/>
  <c r="H69" i="72"/>
  <c r="M68" i="72"/>
  <c r="H68" i="72"/>
  <c r="M67" i="72"/>
  <c r="H67" i="72"/>
  <c r="M66" i="72"/>
  <c r="H66" i="72"/>
  <c r="M65" i="72"/>
  <c r="H65" i="72"/>
  <c r="M64" i="72"/>
  <c r="H64" i="72"/>
  <c r="M63" i="72"/>
  <c r="H63" i="72"/>
  <c r="M62" i="72"/>
  <c r="M73" i="72" s="1"/>
  <c r="R62" i="72" s="1"/>
  <c r="R63" i="72" s="1"/>
  <c r="R64" i="72" s="1"/>
  <c r="H62" i="72"/>
  <c r="X54" i="72"/>
  <c r="W54" i="72"/>
  <c r="V54" i="72"/>
  <c r="U54" i="72"/>
  <c r="T54" i="72"/>
  <c r="S54" i="72"/>
  <c r="R54" i="72"/>
  <c r="Q54" i="72"/>
  <c r="P54" i="72"/>
  <c r="O54" i="72"/>
  <c r="N54" i="72"/>
  <c r="M54" i="72"/>
  <c r="L54" i="72"/>
  <c r="K54" i="72"/>
  <c r="J54" i="72"/>
  <c r="I54" i="72"/>
  <c r="H54" i="72"/>
  <c r="G54" i="72"/>
  <c r="F54" i="72"/>
  <c r="E54" i="72"/>
  <c r="AA53" i="72"/>
  <c r="Z53" i="72"/>
  <c r="Y53" i="72"/>
  <c r="D53" i="72"/>
  <c r="C53" i="72"/>
  <c r="Y52" i="72"/>
  <c r="AA52" i="72" s="1"/>
  <c r="D52" i="72"/>
  <c r="C52" i="72"/>
  <c r="AA51" i="72"/>
  <c r="Y51" i="72"/>
  <c r="Z51" i="72" s="1"/>
  <c r="D51" i="72"/>
  <c r="C51" i="72"/>
  <c r="Z50" i="72"/>
  <c r="Y50" i="72"/>
  <c r="AA50" i="72" s="1"/>
  <c r="D50" i="72"/>
  <c r="C50" i="72"/>
  <c r="Y49" i="72"/>
  <c r="AA49" i="72" s="1"/>
  <c r="D49" i="72"/>
  <c r="C49" i="72"/>
  <c r="AA48" i="72"/>
  <c r="Z48" i="72"/>
  <c r="Y48" i="72"/>
  <c r="D48" i="72"/>
  <c r="C48" i="72"/>
  <c r="Y47" i="72"/>
  <c r="D47" i="72"/>
  <c r="C47" i="72"/>
  <c r="Z46" i="72"/>
  <c r="Y46" i="72"/>
  <c r="AA46" i="72" s="1"/>
  <c r="D46" i="72"/>
  <c r="C46" i="72"/>
  <c r="Y45" i="72"/>
  <c r="AA45" i="72" s="1"/>
  <c r="D45" i="72"/>
  <c r="C45" i="72"/>
  <c r="AA44" i="72"/>
  <c r="Z44" i="72"/>
  <c r="Y44" i="72"/>
  <c r="D44" i="72"/>
  <c r="C44" i="72"/>
  <c r="Y43" i="72"/>
  <c r="AA43" i="72" s="1"/>
  <c r="D43" i="72"/>
  <c r="C43" i="72"/>
  <c r="AA42" i="72"/>
  <c r="Z42" i="72"/>
  <c r="Y42" i="72"/>
  <c r="D42" i="72"/>
  <c r="C42" i="72"/>
  <c r="Z41" i="72"/>
  <c r="Y41" i="72"/>
  <c r="AA41" i="72" s="1"/>
  <c r="D41" i="72"/>
  <c r="C41" i="72"/>
  <c r="Y40" i="72"/>
  <c r="AA40" i="72" s="1"/>
  <c r="D40" i="72"/>
  <c r="C40" i="72"/>
  <c r="AA39" i="72"/>
  <c r="Z39" i="72"/>
  <c r="Y39" i="72"/>
  <c r="D39" i="72"/>
  <c r="C39" i="72"/>
  <c r="AA38" i="72"/>
  <c r="Y38" i="72"/>
  <c r="Z38" i="72" s="1"/>
  <c r="D38" i="72"/>
  <c r="C38" i="72"/>
  <c r="AA37" i="72"/>
  <c r="Z37" i="72"/>
  <c r="Y37" i="72"/>
  <c r="D37" i="72"/>
  <c r="C37" i="72"/>
  <c r="Z36" i="72"/>
  <c r="Y36" i="72"/>
  <c r="AA36" i="72" s="1"/>
  <c r="D36" i="72"/>
  <c r="C36" i="72"/>
  <c r="AD35" i="72"/>
  <c r="AA35" i="72"/>
  <c r="Y35" i="72"/>
  <c r="Z35" i="72" s="1"/>
  <c r="D35" i="72"/>
  <c r="C35" i="72"/>
  <c r="AA34" i="72"/>
  <c r="Z34" i="72"/>
  <c r="Y34" i="72"/>
  <c r="D34" i="72"/>
  <c r="C34" i="72"/>
  <c r="Z33" i="72"/>
  <c r="Y33" i="72"/>
  <c r="AA33" i="72" s="1"/>
  <c r="D33" i="72"/>
  <c r="C33" i="72"/>
  <c r="Z32" i="72"/>
  <c r="Y32" i="72"/>
  <c r="AA32" i="72" s="1"/>
  <c r="D32" i="72"/>
  <c r="C32" i="72"/>
  <c r="Z31" i="72"/>
  <c r="Y31" i="72"/>
  <c r="AA31" i="72" s="1"/>
  <c r="D31" i="72"/>
  <c r="C31" i="72"/>
  <c r="Z30" i="72"/>
  <c r="Y30" i="72"/>
  <c r="AA30" i="72" s="1"/>
  <c r="D30" i="72"/>
  <c r="C30" i="72"/>
  <c r="Z29" i="72"/>
  <c r="Y29" i="72"/>
  <c r="AA29" i="72" s="1"/>
  <c r="D29" i="72"/>
  <c r="C29" i="72"/>
  <c r="AA28" i="72"/>
  <c r="Y28" i="72"/>
  <c r="Z28" i="72" s="1"/>
  <c r="D28" i="72"/>
  <c r="C28" i="72"/>
  <c r="AA27" i="72"/>
  <c r="Y27" i="72"/>
  <c r="Z27" i="72" s="1"/>
  <c r="D27" i="72"/>
  <c r="C27" i="72"/>
  <c r="Y26" i="72"/>
  <c r="AA26" i="72" s="1"/>
  <c r="D26" i="72"/>
  <c r="C26" i="72"/>
  <c r="AA25" i="72"/>
  <c r="Y25" i="72"/>
  <c r="Z25" i="72" s="1"/>
  <c r="D25" i="72"/>
  <c r="C25" i="72"/>
  <c r="AA24" i="72"/>
  <c r="Y24" i="72"/>
  <c r="Z24" i="72" s="1"/>
  <c r="D24" i="72"/>
  <c r="C24" i="72"/>
  <c r="AA23" i="72"/>
  <c r="Y23" i="72"/>
  <c r="Z23" i="72" s="1"/>
  <c r="D23" i="72"/>
  <c r="C23" i="72"/>
  <c r="Y22" i="72"/>
  <c r="AA22" i="72" s="1"/>
  <c r="D22" i="72"/>
  <c r="C22" i="72"/>
  <c r="AA21" i="72"/>
  <c r="Y21" i="72"/>
  <c r="Z21" i="72" s="1"/>
  <c r="D21" i="72"/>
  <c r="C21" i="72"/>
  <c r="AA20" i="72"/>
  <c r="Y20" i="72"/>
  <c r="Z20" i="72" s="1"/>
  <c r="D20" i="72"/>
  <c r="C20" i="72"/>
  <c r="AC19" i="72"/>
  <c r="AZ19" i="72" s="1"/>
  <c r="AA19" i="72"/>
  <c r="Y19" i="72"/>
  <c r="Z19" i="72" s="1"/>
  <c r="D19" i="72"/>
  <c r="C19" i="72"/>
  <c r="Y18" i="72"/>
  <c r="AA18" i="72" s="1"/>
  <c r="D18" i="72"/>
  <c r="C18" i="72"/>
  <c r="AA17" i="72"/>
  <c r="Y17" i="72"/>
  <c r="Z17" i="72" s="1"/>
  <c r="D17" i="72"/>
  <c r="C17" i="72"/>
  <c r="AA16" i="72"/>
  <c r="Y16" i="72"/>
  <c r="Z16" i="72" s="1"/>
  <c r="D16" i="72"/>
  <c r="C16" i="72"/>
  <c r="AA15" i="72"/>
  <c r="Y15" i="72"/>
  <c r="Z15" i="72" s="1"/>
  <c r="D15" i="72"/>
  <c r="C15" i="72"/>
  <c r="Y14" i="72"/>
  <c r="D14" i="72"/>
  <c r="C14" i="72"/>
  <c r="Y13" i="72"/>
  <c r="Z13" i="72" s="1"/>
  <c r="D13" i="72"/>
  <c r="C13" i="72"/>
  <c r="AA12" i="72"/>
  <c r="Y12" i="72"/>
  <c r="Z12" i="72" s="1"/>
  <c r="D12" i="72"/>
  <c r="C12" i="72"/>
  <c r="AC11" i="72"/>
  <c r="AG11" i="72" s="1"/>
  <c r="Y11" i="72"/>
  <c r="Z11" i="72" s="1"/>
  <c r="D11" i="72"/>
  <c r="C11" i="72"/>
  <c r="Y10" i="72"/>
  <c r="D10" i="72"/>
  <c r="C10" i="72"/>
  <c r="Y9" i="72"/>
  <c r="Z9" i="72" s="1"/>
  <c r="D9" i="72"/>
  <c r="C9" i="72"/>
  <c r="AA8" i="72"/>
  <c r="Y8" i="72"/>
  <c r="Z8" i="72" s="1"/>
  <c r="D8" i="72"/>
  <c r="C8" i="72"/>
  <c r="Y7" i="72"/>
  <c r="Z7" i="72" s="1"/>
  <c r="D7" i="72"/>
  <c r="C7" i="72"/>
  <c r="Y6" i="72"/>
  <c r="AC23" i="72" s="1"/>
  <c r="D6" i="72"/>
  <c r="C6" i="72"/>
  <c r="E2" i="72"/>
  <c r="J73" i="71"/>
  <c r="I73" i="71"/>
  <c r="K72" i="71"/>
  <c r="H72" i="71"/>
  <c r="K71" i="71"/>
  <c r="H71" i="71"/>
  <c r="K70" i="71"/>
  <c r="H70" i="71"/>
  <c r="K69" i="71"/>
  <c r="H69" i="71"/>
  <c r="K68" i="71"/>
  <c r="H68" i="71"/>
  <c r="K67" i="71"/>
  <c r="H67" i="71"/>
  <c r="K66" i="71"/>
  <c r="H66" i="71"/>
  <c r="K65" i="71"/>
  <c r="H65" i="71"/>
  <c r="K64" i="71"/>
  <c r="H64" i="71"/>
  <c r="K63" i="71"/>
  <c r="H63" i="71"/>
  <c r="K62" i="71"/>
  <c r="K73" i="71" s="1"/>
  <c r="O62" i="71" s="1"/>
  <c r="O63" i="71" s="1"/>
  <c r="O64" i="71" s="1"/>
  <c r="H62" i="71"/>
  <c r="P54" i="71"/>
  <c r="O54" i="71"/>
  <c r="N54" i="71"/>
  <c r="M54" i="71"/>
  <c r="L54" i="71"/>
  <c r="K54" i="71"/>
  <c r="J54" i="71"/>
  <c r="I54" i="71"/>
  <c r="H54" i="71"/>
  <c r="G54" i="71"/>
  <c r="F54" i="71"/>
  <c r="E54" i="71"/>
  <c r="AH53" i="71"/>
  <c r="AG53" i="71"/>
  <c r="AF53" i="71"/>
  <c r="AE53" i="71"/>
  <c r="AD53" i="71"/>
  <c r="AC53" i="71"/>
  <c r="AB53" i="71"/>
  <c r="AA53" i="71"/>
  <c r="Z53" i="71"/>
  <c r="Y53" i="71"/>
  <c r="X53" i="71"/>
  <c r="W53" i="71"/>
  <c r="S53" i="71"/>
  <c r="R53" i="71"/>
  <c r="Q53" i="71"/>
  <c r="D53" i="71"/>
  <c r="C53" i="71"/>
  <c r="AH52" i="71"/>
  <c r="AG52" i="71"/>
  <c r="AF52" i="71"/>
  <c r="AE52" i="71"/>
  <c r="AD52" i="71"/>
  <c r="AC52" i="71"/>
  <c r="AB52" i="71"/>
  <c r="AA52" i="71"/>
  <c r="Z52" i="71"/>
  <c r="Y52" i="71"/>
  <c r="X52" i="71"/>
  <c r="W52" i="71"/>
  <c r="Q52" i="71"/>
  <c r="S52" i="71" s="1"/>
  <c r="D52" i="71"/>
  <c r="C52" i="71"/>
  <c r="AH51" i="71"/>
  <c r="AG51" i="71"/>
  <c r="AF51" i="71"/>
  <c r="AE51" i="71"/>
  <c r="AD51" i="71"/>
  <c r="AC51" i="71"/>
  <c r="AB51" i="71"/>
  <c r="AA51" i="71"/>
  <c r="Z51" i="71"/>
  <c r="Y51" i="71"/>
  <c r="X51" i="71"/>
  <c r="W51" i="71"/>
  <c r="R51" i="71"/>
  <c r="Q51" i="71"/>
  <c r="S51" i="71" s="1"/>
  <c r="D51" i="71"/>
  <c r="C51" i="71"/>
  <c r="AH50" i="71"/>
  <c r="AG50" i="71"/>
  <c r="AF50" i="71"/>
  <c r="AE50" i="71"/>
  <c r="AD50" i="71"/>
  <c r="AC50" i="71"/>
  <c r="AB50" i="71"/>
  <c r="AA50" i="71"/>
  <c r="Z50" i="71"/>
  <c r="Y50" i="71"/>
  <c r="X50" i="71"/>
  <c r="W50" i="71"/>
  <c r="S50" i="71"/>
  <c r="R50" i="71"/>
  <c r="Q50" i="71"/>
  <c r="D50" i="71"/>
  <c r="C50" i="71"/>
  <c r="AH49" i="71"/>
  <c r="AG49" i="71"/>
  <c r="AF49" i="71"/>
  <c r="AE49" i="71"/>
  <c r="AD49" i="71"/>
  <c r="AC49" i="71"/>
  <c r="AB49" i="71"/>
  <c r="AA49" i="71"/>
  <c r="Z49" i="71"/>
  <c r="Y49" i="71"/>
  <c r="X49" i="71"/>
  <c r="W49" i="71"/>
  <c r="S49" i="71"/>
  <c r="Q49" i="71"/>
  <c r="R49" i="71" s="1"/>
  <c r="D49" i="71"/>
  <c r="C49" i="71"/>
  <c r="AH48" i="71"/>
  <c r="AG48" i="71"/>
  <c r="AF48" i="71"/>
  <c r="AE48" i="71"/>
  <c r="AD48" i="71"/>
  <c r="AC48" i="71"/>
  <c r="AB48" i="71"/>
  <c r="AA48" i="71"/>
  <c r="Z48" i="71"/>
  <c r="Y48" i="71"/>
  <c r="X48" i="71"/>
  <c r="W48" i="71"/>
  <c r="Q48" i="71"/>
  <c r="S48" i="71" s="1"/>
  <c r="D48" i="71"/>
  <c r="C48" i="71"/>
  <c r="AH47" i="71"/>
  <c r="AG47" i="71"/>
  <c r="AF47" i="71"/>
  <c r="AE47" i="71"/>
  <c r="AD47" i="71"/>
  <c r="AC47" i="71"/>
  <c r="AB47" i="71"/>
  <c r="AA47" i="71"/>
  <c r="Z47" i="71"/>
  <c r="Y47" i="71"/>
  <c r="X47" i="71"/>
  <c r="W47" i="71"/>
  <c r="S47" i="71"/>
  <c r="R47" i="71"/>
  <c r="Q47" i="71"/>
  <c r="D47" i="71"/>
  <c r="C47" i="71"/>
  <c r="AH46" i="71"/>
  <c r="AG46" i="71"/>
  <c r="AF46" i="71"/>
  <c r="AE46" i="71"/>
  <c r="AD46" i="71"/>
  <c r="AC46" i="71"/>
  <c r="AB46" i="71"/>
  <c r="AA46" i="71"/>
  <c r="Z46" i="71"/>
  <c r="Y46" i="71"/>
  <c r="X46" i="71"/>
  <c r="W46" i="71"/>
  <c r="S46" i="71"/>
  <c r="Q46" i="71"/>
  <c r="R46" i="71" s="1"/>
  <c r="D46" i="71"/>
  <c r="C46" i="71"/>
  <c r="AH45" i="71"/>
  <c r="AG45" i="71"/>
  <c r="AF45" i="71"/>
  <c r="AE45" i="71"/>
  <c r="AD45" i="71"/>
  <c r="AC45" i="71"/>
  <c r="AB45" i="71"/>
  <c r="AA45" i="71"/>
  <c r="Z45" i="71"/>
  <c r="Y45" i="71"/>
  <c r="X45" i="71"/>
  <c r="W45" i="71"/>
  <c r="S45" i="71"/>
  <c r="R45" i="71"/>
  <c r="Q45" i="71"/>
  <c r="D45" i="71"/>
  <c r="C45" i="71"/>
  <c r="AH44" i="71"/>
  <c r="AG44" i="71"/>
  <c r="AF44" i="71"/>
  <c r="AE44" i="71"/>
  <c r="AD44" i="71"/>
  <c r="AC44" i="71"/>
  <c r="AB44" i="71"/>
  <c r="AA44" i="71"/>
  <c r="Z44" i="71"/>
  <c r="Y44" i="71"/>
  <c r="X44" i="71"/>
  <c r="W44" i="71"/>
  <c r="Q44" i="71"/>
  <c r="S44" i="71" s="1"/>
  <c r="D44" i="71"/>
  <c r="C44" i="71"/>
  <c r="AH43" i="71"/>
  <c r="AG43" i="71"/>
  <c r="AF43" i="71"/>
  <c r="AE43" i="71"/>
  <c r="AD43" i="71"/>
  <c r="AC43" i="71"/>
  <c r="AB43" i="71"/>
  <c r="AA43" i="71"/>
  <c r="Z43" i="71"/>
  <c r="Y43" i="71"/>
  <c r="X43" i="71"/>
  <c r="W43" i="71"/>
  <c r="R43" i="71"/>
  <c r="Q43" i="71"/>
  <c r="S43" i="71" s="1"/>
  <c r="D43" i="71"/>
  <c r="C43" i="71"/>
  <c r="AH42" i="71"/>
  <c r="AG42" i="71"/>
  <c r="AF42" i="71"/>
  <c r="AE42" i="71"/>
  <c r="AD42" i="71"/>
  <c r="AC42" i="71"/>
  <c r="AB42" i="71"/>
  <c r="AA42" i="71"/>
  <c r="Z42" i="71"/>
  <c r="Y42" i="71"/>
  <c r="X42" i="71"/>
  <c r="W42" i="71"/>
  <c r="S42" i="71"/>
  <c r="R42" i="71"/>
  <c r="Q42" i="71"/>
  <c r="D42" i="71"/>
  <c r="C42" i="71"/>
  <c r="AH41" i="71"/>
  <c r="AG41" i="71"/>
  <c r="AF41" i="71"/>
  <c r="AE41" i="71"/>
  <c r="AD41" i="71"/>
  <c r="AC41" i="71"/>
  <c r="AB41" i="71"/>
  <c r="AA41" i="71"/>
  <c r="Z41" i="71"/>
  <c r="Y41" i="71"/>
  <c r="X41" i="71"/>
  <c r="W41" i="71"/>
  <c r="Q41" i="71"/>
  <c r="S41" i="71" s="1"/>
  <c r="D41" i="71"/>
  <c r="C41" i="71"/>
  <c r="AH40" i="71"/>
  <c r="AG40" i="71"/>
  <c r="AF40" i="71"/>
  <c r="AE40" i="71"/>
  <c r="AD40" i="71"/>
  <c r="AC40" i="71"/>
  <c r="AB40" i="71"/>
  <c r="AA40" i="71"/>
  <c r="Z40" i="71"/>
  <c r="Y40" i="71"/>
  <c r="X40" i="71"/>
  <c r="W40" i="71"/>
  <c r="Q40" i="71"/>
  <c r="S40" i="71" s="1"/>
  <c r="D40" i="71"/>
  <c r="C40" i="71"/>
  <c r="AH39" i="71"/>
  <c r="AG39" i="71"/>
  <c r="AF39" i="71"/>
  <c r="AE39" i="71"/>
  <c r="AD39" i="71"/>
  <c r="AC39" i="71"/>
  <c r="AB39" i="71"/>
  <c r="AA39" i="71"/>
  <c r="Z39" i="71"/>
  <c r="Y39" i="71"/>
  <c r="X39" i="71"/>
  <c r="W39" i="71"/>
  <c r="Q39" i="71"/>
  <c r="S39" i="71" s="1"/>
  <c r="D39" i="71"/>
  <c r="C39" i="71"/>
  <c r="AH38" i="71"/>
  <c r="AG38" i="71"/>
  <c r="AF38" i="71"/>
  <c r="AE38" i="71"/>
  <c r="AD38" i="71"/>
  <c r="AC38" i="71"/>
  <c r="AB38" i="71"/>
  <c r="AA38" i="71"/>
  <c r="Z38" i="71"/>
  <c r="Y38" i="71"/>
  <c r="X38" i="71"/>
  <c r="W38" i="71"/>
  <c r="R38" i="71"/>
  <c r="Q38" i="71"/>
  <c r="S38" i="71" s="1"/>
  <c r="D38" i="71"/>
  <c r="C38" i="71"/>
  <c r="AH37" i="71"/>
  <c r="AG37" i="71"/>
  <c r="AF37" i="71"/>
  <c r="AE37" i="71"/>
  <c r="AD37" i="71"/>
  <c r="AC37" i="71"/>
  <c r="AB37" i="71"/>
  <c r="AA37" i="71"/>
  <c r="Z37" i="71"/>
  <c r="Y37" i="71"/>
  <c r="X37" i="71"/>
  <c r="W37" i="71"/>
  <c r="S37" i="71"/>
  <c r="R37" i="71"/>
  <c r="Q37" i="71"/>
  <c r="D37" i="71"/>
  <c r="C37" i="71"/>
  <c r="AH36" i="71"/>
  <c r="AG36" i="71"/>
  <c r="AF36" i="71"/>
  <c r="AE36" i="71"/>
  <c r="AD36" i="71"/>
  <c r="AC36" i="71"/>
  <c r="AB36" i="71"/>
  <c r="AA36" i="71"/>
  <c r="Z36" i="71"/>
  <c r="Y36" i="71"/>
  <c r="X36" i="71"/>
  <c r="W36" i="71"/>
  <c r="Q36" i="71"/>
  <c r="S36" i="71" s="1"/>
  <c r="D36" i="71"/>
  <c r="C36" i="71"/>
  <c r="AH35" i="71"/>
  <c r="AG35" i="71"/>
  <c r="AF35" i="71"/>
  <c r="AE35" i="71"/>
  <c r="AD35" i="71"/>
  <c r="AC35" i="71"/>
  <c r="AB35" i="71"/>
  <c r="AA35" i="71"/>
  <c r="Z35" i="71"/>
  <c r="Y35" i="71"/>
  <c r="X35" i="71"/>
  <c r="W35" i="71"/>
  <c r="R35" i="71"/>
  <c r="Q35" i="71"/>
  <c r="S35" i="71" s="1"/>
  <c r="D35" i="71"/>
  <c r="C35" i="71"/>
  <c r="AH34" i="71"/>
  <c r="AG34" i="71"/>
  <c r="AF34" i="71"/>
  <c r="AE34" i="71"/>
  <c r="AD34" i="71"/>
  <c r="AC34" i="71"/>
  <c r="AB34" i="71"/>
  <c r="AA34" i="71"/>
  <c r="Z34" i="71"/>
  <c r="Y34" i="71"/>
  <c r="X34" i="71"/>
  <c r="W34" i="71"/>
  <c r="S34" i="71"/>
  <c r="R34" i="71"/>
  <c r="Q34" i="71"/>
  <c r="D34" i="71"/>
  <c r="C34" i="71"/>
  <c r="AH33" i="71"/>
  <c r="AG33" i="71"/>
  <c r="AF33" i="71"/>
  <c r="AE33" i="71"/>
  <c r="AD33" i="71"/>
  <c r="AC33" i="71"/>
  <c r="AB33" i="71"/>
  <c r="AA33" i="71"/>
  <c r="Z33" i="71"/>
  <c r="Y33" i="71"/>
  <c r="X33" i="71"/>
  <c r="W33" i="71"/>
  <c r="S33" i="71"/>
  <c r="Q33" i="71"/>
  <c r="R33" i="71" s="1"/>
  <c r="D33" i="71"/>
  <c r="C33" i="71"/>
  <c r="AH32" i="71"/>
  <c r="AG32" i="71"/>
  <c r="AF32" i="71"/>
  <c r="AE32" i="71"/>
  <c r="AD32" i="71"/>
  <c r="AC32" i="71"/>
  <c r="AB32" i="71"/>
  <c r="AA32" i="71"/>
  <c r="Z32" i="71"/>
  <c r="Y32" i="71"/>
  <c r="X32" i="71"/>
  <c r="W32" i="71"/>
  <c r="Q32" i="71"/>
  <c r="S32" i="71" s="1"/>
  <c r="D32" i="71"/>
  <c r="C32" i="71"/>
  <c r="AH31" i="71"/>
  <c r="AG31" i="71"/>
  <c r="AF31" i="71"/>
  <c r="AE31" i="71"/>
  <c r="AD31" i="71"/>
  <c r="AC31" i="71"/>
  <c r="AB31" i="71"/>
  <c r="AA31" i="71"/>
  <c r="Z31" i="71"/>
  <c r="Y31" i="71"/>
  <c r="X31" i="71"/>
  <c r="W31" i="71"/>
  <c r="S31" i="71"/>
  <c r="R31" i="71"/>
  <c r="Q31" i="71"/>
  <c r="D31" i="71"/>
  <c r="C31" i="71"/>
  <c r="AH30" i="71"/>
  <c r="AG30" i="71"/>
  <c r="AF30" i="71"/>
  <c r="AE30" i="71"/>
  <c r="AD30" i="71"/>
  <c r="AC30" i="71"/>
  <c r="AB30" i="71"/>
  <c r="AA30" i="71"/>
  <c r="Z30" i="71"/>
  <c r="Y30" i="71"/>
  <c r="X30" i="71"/>
  <c r="W30" i="71"/>
  <c r="S30" i="71"/>
  <c r="Q30" i="71"/>
  <c r="R30" i="71" s="1"/>
  <c r="D30" i="71"/>
  <c r="C30" i="71"/>
  <c r="AH29" i="71"/>
  <c r="AG29" i="71"/>
  <c r="AF29" i="71"/>
  <c r="AE29" i="71"/>
  <c r="AD29" i="71"/>
  <c r="AC29" i="71"/>
  <c r="AB29" i="71"/>
  <c r="AA29" i="71"/>
  <c r="Z29" i="71"/>
  <c r="Y29" i="71"/>
  <c r="X29" i="71"/>
  <c r="W29" i="71"/>
  <c r="R29" i="71"/>
  <c r="Q29" i="71"/>
  <c r="S29" i="71" s="1"/>
  <c r="D29" i="71"/>
  <c r="C29" i="71"/>
  <c r="S28" i="71"/>
  <c r="R28" i="71"/>
  <c r="Q28" i="71"/>
  <c r="D28" i="71"/>
  <c r="C28" i="71"/>
  <c r="U27" i="71"/>
  <c r="AM27" i="71" s="1"/>
  <c r="S27" i="71"/>
  <c r="Q27" i="71"/>
  <c r="R27" i="71" s="1"/>
  <c r="D27" i="71"/>
  <c r="C27" i="71"/>
  <c r="U26" i="71"/>
  <c r="AI26" i="71" s="1"/>
  <c r="S26" i="71"/>
  <c r="Q26" i="71"/>
  <c r="R26" i="71" s="1"/>
  <c r="D26" i="71"/>
  <c r="C26" i="71"/>
  <c r="AG25" i="71"/>
  <c r="U25" i="71"/>
  <c r="AE25" i="71" s="1"/>
  <c r="S25" i="71"/>
  <c r="R25" i="71"/>
  <c r="Q25" i="71"/>
  <c r="D25" i="71"/>
  <c r="C25" i="71"/>
  <c r="AG24" i="71"/>
  <c r="AC24" i="71"/>
  <c r="X24" i="71"/>
  <c r="U24" i="71"/>
  <c r="AA24" i="71" s="1"/>
  <c r="S24" i="71"/>
  <c r="R24" i="71"/>
  <c r="Q24" i="71"/>
  <c r="D24" i="71"/>
  <c r="C24" i="71"/>
  <c r="U23" i="71"/>
  <c r="AM23" i="71" s="1"/>
  <c r="S23" i="71"/>
  <c r="Q23" i="71"/>
  <c r="R23" i="71" s="1"/>
  <c r="D23" i="71"/>
  <c r="C23" i="71"/>
  <c r="U22" i="71"/>
  <c r="AI22" i="71" s="1"/>
  <c r="S22" i="71"/>
  <c r="Q22" i="71"/>
  <c r="R22" i="71" s="1"/>
  <c r="D22" i="71"/>
  <c r="C22" i="71"/>
  <c r="U21" i="71"/>
  <c r="AE21" i="71" s="1"/>
  <c r="S21" i="71"/>
  <c r="R21" i="71"/>
  <c r="Q21" i="71"/>
  <c r="D21" i="71"/>
  <c r="C21" i="71"/>
  <c r="U20" i="71"/>
  <c r="AA20" i="71" s="1"/>
  <c r="S20" i="71"/>
  <c r="R20" i="71"/>
  <c r="Q20" i="71"/>
  <c r="D20" i="71"/>
  <c r="C20" i="71"/>
  <c r="U19" i="71"/>
  <c r="AM19" i="71" s="1"/>
  <c r="S19" i="71"/>
  <c r="R19" i="71"/>
  <c r="Q19" i="71"/>
  <c r="D19" i="71"/>
  <c r="C19" i="71"/>
  <c r="U18" i="71"/>
  <c r="AI18" i="71" s="1"/>
  <c r="S18" i="71"/>
  <c r="Q18" i="71"/>
  <c r="R18" i="71" s="1"/>
  <c r="D18" i="71"/>
  <c r="C18" i="71"/>
  <c r="U17" i="71"/>
  <c r="AE17" i="71" s="1"/>
  <c r="S17" i="71"/>
  <c r="R17" i="71"/>
  <c r="Q17" i="71"/>
  <c r="D17" i="71"/>
  <c r="C17" i="71"/>
  <c r="AC16" i="71"/>
  <c r="U16" i="71"/>
  <c r="AA16" i="71" s="1"/>
  <c r="S16" i="71"/>
  <c r="R16" i="71"/>
  <c r="Q16" i="71"/>
  <c r="D16" i="71"/>
  <c r="C16" i="71"/>
  <c r="U15" i="71"/>
  <c r="AM15" i="71" s="1"/>
  <c r="S15" i="71"/>
  <c r="Q15" i="71"/>
  <c r="R15" i="71" s="1"/>
  <c r="D15" i="71"/>
  <c r="C15" i="71"/>
  <c r="U14" i="71"/>
  <c r="AI14" i="71" s="1"/>
  <c r="S14" i="71"/>
  <c r="Q14" i="71"/>
  <c r="D14" i="71"/>
  <c r="C14" i="71"/>
  <c r="AJ13" i="71"/>
  <c r="AF13" i="71"/>
  <c r="AB13" i="71"/>
  <c r="U13" i="71"/>
  <c r="AD13" i="71" s="1"/>
  <c r="S13" i="71"/>
  <c r="R13" i="71"/>
  <c r="Q13" i="71"/>
  <c r="D13" i="71"/>
  <c r="C13" i="71"/>
  <c r="AM12" i="71"/>
  <c r="AJ12" i="71"/>
  <c r="AI12" i="71"/>
  <c r="AF12" i="71"/>
  <c r="AE12" i="71"/>
  <c r="AB12" i="71"/>
  <c r="AA12" i="71"/>
  <c r="X12" i="71"/>
  <c r="W12" i="71"/>
  <c r="U12" i="71"/>
  <c r="Z12" i="71" s="1"/>
  <c r="S12" i="71"/>
  <c r="R12" i="71"/>
  <c r="Q12" i="71"/>
  <c r="D12" i="71"/>
  <c r="C12" i="71"/>
  <c r="AM11" i="71"/>
  <c r="AJ11" i="71"/>
  <c r="AI11" i="71"/>
  <c r="AF11" i="71"/>
  <c r="AE11" i="71"/>
  <c r="AB11" i="71"/>
  <c r="AA11" i="71"/>
  <c r="X11" i="71"/>
  <c r="W11" i="71"/>
  <c r="U11" i="71"/>
  <c r="AL11" i="71" s="1"/>
  <c r="S11" i="71"/>
  <c r="R11" i="71"/>
  <c r="Q11" i="71"/>
  <c r="D11" i="71"/>
  <c r="C11" i="71"/>
  <c r="AJ10" i="71"/>
  <c r="AI10" i="71"/>
  <c r="AF10" i="71"/>
  <c r="AE10" i="71"/>
  <c r="AB10" i="71"/>
  <c r="AA10" i="71"/>
  <c r="X10" i="71"/>
  <c r="U10" i="71"/>
  <c r="AH10" i="71" s="1"/>
  <c r="S10" i="71"/>
  <c r="R10" i="71"/>
  <c r="Q10" i="71"/>
  <c r="D10" i="71"/>
  <c r="C10" i="71"/>
  <c r="U9" i="71"/>
  <c r="AD9" i="71" s="1"/>
  <c r="S9" i="71"/>
  <c r="R9" i="71"/>
  <c r="Q9" i="71"/>
  <c r="D9" i="71"/>
  <c r="C9" i="71"/>
  <c r="AM8" i="71"/>
  <c r="AJ8" i="71"/>
  <c r="AI8" i="71"/>
  <c r="AG8" i="71"/>
  <c r="AF8" i="71"/>
  <c r="AB8" i="71"/>
  <c r="AA8" i="71"/>
  <c r="X8" i="71"/>
  <c r="W8" i="71"/>
  <c r="U8" i="71"/>
  <c r="Z8" i="71" s="1"/>
  <c r="S8" i="71"/>
  <c r="R8" i="71"/>
  <c r="Q8" i="71"/>
  <c r="Q54" i="71" s="1"/>
  <c r="D8" i="71"/>
  <c r="C8" i="71"/>
  <c r="AM7" i="71"/>
  <c r="AJ7" i="71"/>
  <c r="AF7" i="71"/>
  <c r="AE7" i="71"/>
  <c r="AC7" i="71"/>
  <c r="AB7" i="71"/>
  <c r="X7" i="71"/>
  <c r="W7" i="71"/>
  <c r="U7" i="71"/>
  <c r="AL7" i="71" s="1"/>
  <c r="S7" i="71"/>
  <c r="R7" i="71"/>
  <c r="Q7" i="71"/>
  <c r="D7" i="71"/>
  <c r="C7" i="71"/>
  <c r="AJ6" i="71"/>
  <c r="AI6" i="71"/>
  <c r="AF6" i="71"/>
  <c r="AE6" i="71"/>
  <c r="AB6" i="71"/>
  <c r="AA6" i="71"/>
  <c r="Y6" i="71"/>
  <c r="X6" i="71"/>
  <c r="U6" i="71"/>
  <c r="AH6" i="71" s="1"/>
  <c r="S6" i="71"/>
  <c r="AP24" i="71" s="1"/>
  <c r="R6" i="71"/>
  <c r="Q6" i="71"/>
  <c r="D6" i="71"/>
  <c r="C6" i="71"/>
  <c r="AC28" i="71" s="1"/>
  <c r="Q2" i="71"/>
  <c r="O53" i="16"/>
  <c r="O52" i="16"/>
  <c r="O51" i="16"/>
  <c r="O50" i="16"/>
  <c r="O49" i="16"/>
  <c r="O48" i="16"/>
  <c r="O47" i="16"/>
  <c r="O46" i="16"/>
  <c r="O45" i="16"/>
  <c r="O44" i="16"/>
  <c r="O43" i="16"/>
  <c r="O42" i="16"/>
  <c r="O41" i="16"/>
  <c r="O40" i="16"/>
  <c r="O39" i="16"/>
  <c r="O38" i="16"/>
  <c r="O37" i="16"/>
  <c r="O36" i="16"/>
  <c r="O35" i="16"/>
  <c r="O34" i="16"/>
  <c r="O33" i="16"/>
  <c r="O32" i="16"/>
  <c r="O31" i="16"/>
  <c r="O30" i="16"/>
  <c r="O29" i="16"/>
  <c r="O28" i="16"/>
  <c r="O27" i="16"/>
  <c r="O26" i="16"/>
  <c r="O25" i="16"/>
  <c r="O24" i="16"/>
  <c r="O23" i="16"/>
  <c r="O22" i="16"/>
  <c r="O21" i="16"/>
  <c r="O20" i="16"/>
  <c r="O19" i="16"/>
  <c r="O18" i="16"/>
  <c r="O17" i="16"/>
  <c r="O16" i="16"/>
  <c r="O15" i="16"/>
  <c r="O14" i="16"/>
  <c r="O13" i="16"/>
  <c r="O12" i="16"/>
  <c r="O11" i="16"/>
  <c r="O10" i="16"/>
  <c r="O9" i="16"/>
  <c r="O8" i="16"/>
  <c r="O7" i="16"/>
  <c r="O6" i="16"/>
  <c r="K54" i="16"/>
  <c r="G54" i="16"/>
  <c r="F54" i="16"/>
  <c r="E54" i="16"/>
  <c r="T54" i="10"/>
  <c r="T53" i="10"/>
  <c r="T52" i="10"/>
  <c r="T51" i="10"/>
  <c r="T50" i="10"/>
  <c r="T49" i="10"/>
  <c r="T48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T33" i="10"/>
  <c r="T32" i="10"/>
  <c r="T31" i="10"/>
  <c r="T30" i="10"/>
  <c r="T29" i="10"/>
  <c r="T28" i="10"/>
  <c r="T27" i="10"/>
  <c r="T26" i="10"/>
  <c r="T25" i="10"/>
  <c r="T24" i="10"/>
  <c r="T23" i="10"/>
  <c r="T22" i="10"/>
  <c r="T21" i="10"/>
  <c r="T20" i="10"/>
  <c r="T19" i="10"/>
  <c r="T18" i="10"/>
  <c r="T17" i="10"/>
  <c r="T16" i="10"/>
  <c r="T15" i="10"/>
  <c r="T14" i="10"/>
  <c r="T13" i="10"/>
  <c r="T12" i="10"/>
  <c r="T11" i="10"/>
  <c r="T10" i="10"/>
  <c r="T9" i="10"/>
  <c r="T8" i="10"/>
  <c r="T7" i="10"/>
  <c r="T6" i="10"/>
  <c r="Q6" i="10"/>
  <c r="S6" i="10" s="1"/>
  <c r="R6" i="10"/>
  <c r="Q7" i="10"/>
  <c r="Q54" i="10" s="1"/>
  <c r="R7" i="10"/>
  <c r="Q8" i="10"/>
  <c r="R8" i="10" s="1"/>
  <c r="S8" i="10"/>
  <c r="Q9" i="10"/>
  <c r="R9" i="10"/>
  <c r="S9" i="10"/>
  <c r="Q10" i="10"/>
  <c r="R10" i="10" s="1"/>
  <c r="S10" i="10"/>
  <c r="Q11" i="10"/>
  <c r="R11" i="10" s="1"/>
  <c r="Q12" i="10"/>
  <c r="R12" i="10"/>
  <c r="S12" i="10"/>
  <c r="Q13" i="10"/>
  <c r="R13" i="10" s="1"/>
  <c r="Q14" i="10"/>
  <c r="R14" i="10"/>
  <c r="S14" i="10"/>
  <c r="Q15" i="10"/>
  <c r="R15" i="10"/>
  <c r="S15" i="10"/>
  <c r="Q16" i="10"/>
  <c r="S16" i="10" s="1"/>
  <c r="R16" i="10"/>
  <c r="Q17" i="10"/>
  <c r="R17" i="10" s="1"/>
  <c r="Q18" i="10"/>
  <c r="R18" i="10" s="1"/>
  <c r="Q19" i="10"/>
  <c r="R19" i="10"/>
  <c r="S19" i="10"/>
  <c r="Q20" i="10"/>
  <c r="R20" i="10"/>
  <c r="S20" i="10"/>
  <c r="Q21" i="10"/>
  <c r="R21" i="10"/>
  <c r="S21" i="10"/>
  <c r="Q22" i="10"/>
  <c r="S22" i="10" s="1"/>
  <c r="R22" i="10"/>
  <c r="Q23" i="10"/>
  <c r="S23" i="10" s="1"/>
  <c r="R23" i="10"/>
  <c r="Q24" i="10"/>
  <c r="R24" i="10" s="1"/>
  <c r="S24" i="10"/>
  <c r="Q25" i="10"/>
  <c r="R25" i="10"/>
  <c r="S25" i="10"/>
  <c r="Q26" i="10"/>
  <c r="R26" i="10"/>
  <c r="S26" i="10"/>
  <c r="Q27" i="10"/>
  <c r="R27" i="10" s="1"/>
  <c r="Q28" i="10"/>
  <c r="R28" i="10"/>
  <c r="S28" i="10"/>
  <c r="Q29" i="10"/>
  <c r="R29" i="10" s="1"/>
  <c r="Q30" i="10"/>
  <c r="R30" i="10"/>
  <c r="S30" i="10"/>
  <c r="Q31" i="10"/>
  <c r="R31" i="10"/>
  <c r="S31" i="10"/>
  <c r="Q32" i="10"/>
  <c r="S32" i="10" s="1"/>
  <c r="R32" i="10"/>
  <c r="Q33" i="10"/>
  <c r="R33" i="10" s="1"/>
  <c r="S33" i="10"/>
  <c r="Q34" i="10"/>
  <c r="R34" i="10" s="1"/>
  <c r="Q35" i="10"/>
  <c r="R35" i="10"/>
  <c r="S35" i="10"/>
  <c r="Q36" i="10"/>
  <c r="R36" i="10"/>
  <c r="S36" i="10"/>
  <c r="Q37" i="10"/>
  <c r="R37" i="10"/>
  <c r="S37" i="10"/>
  <c r="Q38" i="10"/>
  <c r="S38" i="10" s="1"/>
  <c r="R38" i="10"/>
  <c r="Q39" i="10"/>
  <c r="S39" i="10" s="1"/>
  <c r="R39" i="10"/>
  <c r="Q40" i="10"/>
  <c r="R40" i="10" s="1"/>
  <c r="S40" i="10"/>
  <c r="Q41" i="10"/>
  <c r="R41" i="10"/>
  <c r="S41" i="10"/>
  <c r="Q42" i="10"/>
  <c r="R42" i="10"/>
  <c r="S42" i="10"/>
  <c r="Q43" i="10"/>
  <c r="R43" i="10" s="1"/>
  <c r="Q44" i="10"/>
  <c r="R44" i="10"/>
  <c r="S44" i="10"/>
  <c r="Q45" i="10"/>
  <c r="R45" i="10" s="1"/>
  <c r="Q46" i="10"/>
  <c r="R46" i="10"/>
  <c r="S46" i="10"/>
  <c r="Q47" i="10"/>
  <c r="R47" i="10"/>
  <c r="S47" i="10"/>
  <c r="Q48" i="10"/>
  <c r="S48" i="10" s="1"/>
  <c r="R48" i="10"/>
  <c r="Q49" i="10"/>
  <c r="R49" i="10" s="1"/>
  <c r="Q50" i="10"/>
  <c r="R50" i="10" s="1"/>
  <c r="Q51" i="10"/>
  <c r="R51" i="10"/>
  <c r="S51" i="10"/>
  <c r="Q52" i="10"/>
  <c r="R52" i="10"/>
  <c r="S52" i="10"/>
  <c r="Q53" i="10"/>
  <c r="R53" i="10"/>
  <c r="S53" i="10"/>
  <c r="R7" i="26"/>
  <c r="E77" i="1"/>
  <c r="AV7" i="76" l="1"/>
  <c r="AF7" i="76"/>
  <c r="AT7" i="76"/>
  <c r="AD7" i="76"/>
  <c r="AU7" i="76"/>
  <c r="AE7" i="76"/>
  <c r="AS7" i="76"/>
  <c r="AC7" i="76"/>
  <c r="AR7" i="76"/>
  <c r="AB7" i="76"/>
  <c r="AP7" i="76"/>
  <c r="AO7" i="76"/>
  <c r="AX7" i="76"/>
  <c r="AH7" i="76"/>
  <c r="AW7" i="76"/>
  <c r="AG7" i="76"/>
  <c r="AM7" i="76"/>
  <c r="AL7" i="76"/>
  <c r="AK7" i="76"/>
  <c r="AJ7" i="76"/>
  <c r="AI7" i="76"/>
  <c r="AZ7" i="76"/>
  <c r="AY7" i="76"/>
  <c r="AQ7" i="76"/>
  <c r="AN7" i="76"/>
  <c r="BE28" i="76"/>
  <c r="Y6" i="76"/>
  <c r="Y7" i="76"/>
  <c r="X7" i="76"/>
  <c r="AK16" i="76"/>
  <c r="AZ16" i="76"/>
  <c r="AJ16" i="76"/>
  <c r="AY16" i="76"/>
  <c r="AI16" i="76"/>
  <c r="AX16" i="76"/>
  <c r="AH16" i="76"/>
  <c r="AW16" i="76"/>
  <c r="AG16" i="76"/>
  <c r="AV16" i="76"/>
  <c r="AF16" i="76"/>
  <c r="AU16" i="76"/>
  <c r="AE16" i="76"/>
  <c r="AT16" i="76"/>
  <c r="AD16" i="76"/>
  <c r="AS16" i="76"/>
  <c r="AC16" i="76"/>
  <c r="AR16" i="76"/>
  <c r="AB16" i="76"/>
  <c r="AP16" i="76"/>
  <c r="AO16" i="76"/>
  <c r="AN16" i="76"/>
  <c r="AM16" i="76"/>
  <c r="AL16" i="76"/>
  <c r="BF7" i="76"/>
  <c r="AQ16" i="76"/>
  <c r="Y8" i="76"/>
  <c r="X8" i="76"/>
  <c r="Y12" i="76"/>
  <c r="X12" i="76"/>
  <c r="X11" i="76"/>
  <c r="BD7" i="76"/>
  <c r="AA14" i="76"/>
  <c r="W54" i="76"/>
  <c r="AA19" i="76"/>
  <c r="AA8" i="76"/>
  <c r="AA24" i="76"/>
  <c r="AA13" i="76"/>
  <c r="AA18" i="76"/>
  <c r="AA23" i="76"/>
  <c r="AA29" i="76"/>
  <c r="AA28" i="76"/>
  <c r="AA12" i="76"/>
  <c r="AA22" i="76"/>
  <c r="AA30" i="76"/>
  <c r="AA17" i="76"/>
  <c r="AA31" i="76"/>
  <c r="AA32" i="76"/>
  <c r="AA27" i="76"/>
  <c r="AA33" i="76"/>
  <c r="AA34" i="76"/>
  <c r="AA21" i="76"/>
  <c r="AA26" i="76"/>
  <c r="AA15" i="76"/>
  <c r="AA20" i="76"/>
  <c r="AA9" i="76"/>
  <c r="AA25" i="76"/>
  <c r="AA11" i="76"/>
  <c r="BF9" i="76"/>
  <c r="BE9" i="76"/>
  <c r="BD9" i="76"/>
  <c r="X6" i="76"/>
  <c r="AA10" i="76"/>
  <c r="Y17" i="76"/>
  <c r="X17" i="76"/>
  <c r="AA6" i="76"/>
  <c r="BF10" i="76"/>
  <c r="X26" i="76"/>
  <c r="BD27" i="76"/>
  <c r="X35" i="76"/>
  <c r="BE27" i="76"/>
  <c r="X34" i="76"/>
  <c r="X22" i="76"/>
  <c r="BD23" i="76"/>
  <c r="X31" i="76"/>
  <c r="BD18" i="76"/>
  <c r="X53" i="76"/>
  <c r="BD13" i="76"/>
  <c r="BE18" i="76"/>
  <c r="BD8" i="76"/>
  <c r="BE13" i="76"/>
  <c r="X23" i="76"/>
  <c r="BD24" i="76"/>
  <c r="BE24" i="76"/>
  <c r="X24" i="76"/>
  <c r="BD25" i="76"/>
  <c r="BD20" i="76"/>
  <c r="BE25" i="76"/>
  <c r="X9" i="76"/>
  <c r="BD10" i="76"/>
  <c r="X25" i="76"/>
  <c r="BD26" i="76"/>
  <c r="X36" i="76"/>
  <c r="X38" i="76"/>
  <c r="X40" i="76"/>
  <c r="X42" i="76"/>
  <c r="X44" i="76"/>
  <c r="X46" i="76"/>
  <c r="X48" i="76"/>
  <c r="X50" i="76"/>
  <c r="X52" i="76"/>
  <c r="AD40" i="75"/>
  <c r="AQ25" i="75"/>
  <c r="BG25" i="75"/>
  <c r="AC6" i="75"/>
  <c r="AC54" i="75" s="1"/>
  <c r="BL6" i="75"/>
  <c r="AN7" i="75"/>
  <c r="BD7" i="75"/>
  <c r="BD28" i="75" s="1"/>
  <c r="AR9" i="75"/>
  <c r="BH9" i="75"/>
  <c r="BH28" i="75" s="1"/>
  <c r="AL10" i="75"/>
  <c r="BB10" i="75"/>
  <c r="AV11" i="75"/>
  <c r="BN11" i="75"/>
  <c r="AC14" i="75"/>
  <c r="BL14" i="75"/>
  <c r="AN15" i="75"/>
  <c r="BD15" i="75"/>
  <c r="AR17" i="75"/>
  <c r="BH17" i="75"/>
  <c r="AL18" i="75"/>
  <c r="BB18" i="75"/>
  <c r="AV19" i="75"/>
  <c r="BN19" i="75"/>
  <c r="AJ21" i="75"/>
  <c r="AZ21" i="75"/>
  <c r="AC22" i="75"/>
  <c r="AT22" i="75"/>
  <c r="BL22" i="75"/>
  <c r="AN23" i="75"/>
  <c r="BD23" i="75"/>
  <c r="AH24" i="75"/>
  <c r="AX24" i="75"/>
  <c r="AR25" i="75"/>
  <c r="BH25" i="75"/>
  <c r="AL26" i="75"/>
  <c r="BB26" i="75"/>
  <c r="AV27" i="75"/>
  <c r="BN27" i="75"/>
  <c r="AC30" i="75"/>
  <c r="AM10" i="75"/>
  <c r="BC10" i="75"/>
  <c r="AG11" i="75"/>
  <c r="AW11" i="75"/>
  <c r="BM14" i="75"/>
  <c r="AS17" i="75"/>
  <c r="AM26" i="75"/>
  <c r="BC26" i="75"/>
  <c r="AG27" i="75"/>
  <c r="AW27" i="75"/>
  <c r="BM28" i="75"/>
  <c r="AC33" i="75"/>
  <c r="AC49" i="75"/>
  <c r="BG9" i="75"/>
  <c r="AM18" i="75"/>
  <c r="BC18" i="75"/>
  <c r="BM22" i="75"/>
  <c r="AS25" i="75"/>
  <c r="AV6" i="75"/>
  <c r="BN6" i="75"/>
  <c r="AP7" i="75"/>
  <c r="BF7" i="75"/>
  <c r="AJ8" i="75"/>
  <c r="AZ8" i="75"/>
  <c r="AC9" i="75"/>
  <c r="AT9" i="75"/>
  <c r="BL9" i="75"/>
  <c r="AN10" i="75"/>
  <c r="BD10" i="75"/>
  <c r="AH11" i="75"/>
  <c r="AX11" i="75"/>
  <c r="AL13" i="75"/>
  <c r="BB13" i="75"/>
  <c r="AV14" i="75"/>
  <c r="AP15" i="75"/>
  <c r="BF15" i="75"/>
  <c r="AJ16" i="75"/>
  <c r="AZ16" i="75"/>
  <c r="AC17" i="75"/>
  <c r="AT17" i="75"/>
  <c r="BL17" i="75"/>
  <c r="AN18" i="75"/>
  <c r="BD18" i="75"/>
  <c r="AH19" i="75"/>
  <c r="AX19" i="75"/>
  <c r="AL21" i="75"/>
  <c r="BB21" i="75"/>
  <c r="AV22" i="75"/>
  <c r="AP23" i="75"/>
  <c r="BF23" i="75"/>
  <c r="AJ24" i="75"/>
  <c r="AZ24" i="75"/>
  <c r="AC25" i="75"/>
  <c r="AT25" i="75"/>
  <c r="BL25" i="75"/>
  <c r="AN26" i="75"/>
  <c r="BD26" i="75"/>
  <c r="AH27" i="75"/>
  <c r="AX27" i="75"/>
  <c r="AQ17" i="75"/>
  <c r="BG17" i="75"/>
  <c r="BM19" i="75"/>
  <c r="AD6" i="75"/>
  <c r="AO7" i="75"/>
  <c r="BE7" i="75"/>
  <c r="BE28" i="75" s="1"/>
  <c r="AS9" i="75"/>
  <c r="AQ7" i="75"/>
  <c r="BG7" i="75"/>
  <c r="AU9" i="75"/>
  <c r="BM9" i="75"/>
  <c r="AO10" i="75"/>
  <c r="BE10" i="75"/>
  <c r="AI11" i="75"/>
  <c r="AY11" i="75"/>
  <c r="AM13" i="75"/>
  <c r="BC13" i="75"/>
  <c r="AQ15" i="75"/>
  <c r="BG15" i="75"/>
  <c r="AU17" i="75"/>
  <c r="BM17" i="75"/>
  <c r="AO18" i="75"/>
  <c r="BE18" i="75"/>
  <c r="AI19" i="75"/>
  <c r="AY19" i="75"/>
  <c r="AM21" i="75"/>
  <c r="BC21" i="75"/>
  <c r="AG22" i="75"/>
  <c r="AW22" i="75"/>
  <c r="AQ23" i="75"/>
  <c r="BG23" i="75"/>
  <c r="AK24" i="75"/>
  <c r="BA24" i="75"/>
  <c r="AU25" i="75"/>
  <c r="AO26" i="75"/>
  <c r="BE26" i="75"/>
  <c r="AI27" i="75"/>
  <c r="AY27" i="75"/>
  <c r="AC42" i="75"/>
  <c r="AV25" i="75"/>
  <c r="AS7" i="75"/>
  <c r="AM8" i="75"/>
  <c r="BC8" i="75"/>
  <c r="AG9" i="75"/>
  <c r="AW9" i="75"/>
  <c r="AQ10" i="75"/>
  <c r="BG10" i="75"/>
  <c r="AK11" i="75"/>
  <c r="BA11" i="75"/>
  <c r="BM12" i="75"/>
  <c r="AO13" i="75"/>
  <c r="BE13" i="75"/>
  <c r="AS15" i="75"/>
  <c r="AM24" i="75"/>
  <c r="BC24" i="75"/>
  <c r="AG25" i="75"/>
  <c r="AW25" i="75"/>
  <c r="AQ26" i="75"/>
  <c r="BG26" i="75"/>
  <c r="AK27" i="75"/>
  <c r="BA27" i="75"/>
  <c r="AC29" i="75"/>
  <c r="AV17" i="75"/>
  <c r="AG17" i="75"/>
  <c r="AW17" i="75"/>
  <c r="AQ18" i="75"/>
  <c r="BG18" i="75"/>
  <c r="AK19" i="75"/>
  <c r="BA19" i="75"/>
  <c r="BM20" i="75"/>
  <c r="AS23" i="75"/>
  <c r="AJ6" i="75"/>
  <c r="AZ6" i="75"/>
  <c r="AT7" i="75"/>
  <c r="AN8" i="75"/>
  <c r="BD8" i="75"/>
  <c r="AH9" i="75"/>
  <c r="AX9" i="75"/>
  <c r="AR10" i="75"/>
  <c r="BH10" i="75"/>
  <c r="AL11" i="75"/>
  <c r="BB11" i="75"/>
  <c r="AP13" i="75"/>
  <c r="BF13" i="75"/>
  <c r="AJ14" i="75"/>
  <c r="AZ14" i="75"/>
  <c r="AT15" i="75"/>
  <c r="BL15" i="75"/>
  <c r="AN16" i="75"/>
  <c r="BD16" i="75"/>
  <c r="AH17" i="75"/>
  <c r="AX17" i="75"/>
  <c r="AR18" i="75"/>
  <c r="BH18" i="75"/>
  <c r="AL19" i="75"/>
  <c r="BB19" i="75"/>
  <c r="AP21" i="75"/>
  <c r="BF21" i="75"/>
  <c r="AJ22" i="75"/>
  <c r="AZ22" i="75"/>
  <c r="AC23" i="75"/>
  <c r="AT23" i="75"/>
  <c r="BL23" i="75"/>
  <c r="AN24" i="75"/>
  <c r="BD24" i="75"/>
  <c r="AH25" i="75"/>
  <c r="AX25" i="75"/>
  <c r="AR26" i="75"/>
  <c r="BH26" i="75"/>
  <c r="AL27" i="75"/>
  <c r="BB27" i="75"/>
  <c r="AV9" i="75"/>
  <c r="AP10" i="75"/>
  <c r="AU7" i="75"/>
  <c r="AI9" i="75"/>
  <c r="AY9" i="75"/>
  <c r="AS10" i="75"/>
  <c r="AM11" i="75"/>
  <c r="BC11" i="75"/>
  <c r="AU15" i="75"/>
  <c r="BM15" i="75"/>
  <c r="AI17" i="75"/>
  <c r="AY17" i="75"/>
  <c r="AS18" i="75"/>
  <c r="AM19" i="75"/>
  <c r="BC19" i="75"/>
  <c r="AU23" i="75"/>
  <c r="BM23" i="75"/>
  <c r="AI25" i="75"/>
  <c r="AY25" i="75"/>
  <c r="AS26" i="75"/>
  <c r="AM27" i="75"/>
  <c r="BC27" i="75"/>
  <c r="AC51" i="75"/>
  <c r="AQ9" i="75"/>
  <c r="BA10" i="75"/>
  <c r="AD11" i="75"/>
  <c r="BM11" i="75"/>
  <c r="AV7" i="75"/>
  <c r="AJ9" i="75"/>
  <c r="AZ9" i="75"/>
  <c r="AC10" i="75"/>
  <c r="AT10" i="75"/>
  <c r="BL10" i="75"/>
  <c r="AN11" i="75"/>
  <c r="BD11" i="75"/>
  <c r="AV15" i="75"/>
  <c r="AJ17" i="75"/>
  <c r="AZ17" i="75"/>
  <c r="AC18" i="75"/>
  <c r="AT18" i="75"/>
  <c r="BL18" i="75"/>
  <c r="AN19" i="75"/>
  <c r="BD19" i="75"/>
  <c r="AV23" i="75"/>
  <c r="AP24" i="75"/>
  <c r="BF24" i="75"/>
  <c r="AJ25" i="75"/>
  <c r="AZ25" i="75"/>
  <c r="AC26" i="75"/>
  <c r="AT26" i="75"/>
  <c r="BL26" i="75"/>
  <c r="AN27" i="75"/>
  <c r="BD27" i="75"/>
  <c r="AG7" i="75"/>
  <c r="AW7" i="75"/>
  <c r="AK9" i="75"/>
  <c r="BA9" i="75"/>
  <c r="AU10" i="75"/>
  <c r="BM10" i="75"/>
  <c r="AG15" i="75"/>
  <c r="AW15" i="75"/>
  <c r="AK17" i="75"/>
  <c r="BA17" i="75"/>
  <c r="AU18" i="75"/>
  <c r="BM18" i="75"/>
  <c r="AM22" i="75"/>
  <c r="BC22" i="75"/>
  <c r="AG23" i="75"/>
  <c r="AW23" i="75"/>
  <c r="AQ24" i="75"/>
  <c r="BG24" i="75"/>
  <c r="BG28" i="75" s="1"/>
  <c r="AK25" i="75"/>
  <c r="BA25" i="75"/>
  <c r="AU26" i="75"/>
  <c r="BM26" i="75"/>
  <c r="AO27" i="75"/>
  <c r="BE27" i="75"/>
  <c r="AC41" i="75"/>
  <c r="AO9" i="75"/>
  <c r="AL9" i="75"/>
  <c r="BB9" i="75"/>
  <c r="AV10" i="75"/>
  <c r="AP11" i="75"/>
  <c r="BF11" i="75"/>
  <c r="BL13" i="75"/>
  <c r="AL17" i="75"/>
  <c r="BB17" i="75"/>
  <c r="AV18" i="75"/>
  <c r="AP19" i="75"/>
  <c r="BF19" i="75"/>
  <c r="BL21" i="75"/>
  <c r="AL25" i="75"/>
  <c r="BB25" i="75"/>
  <c r="AV26" i="75"/>
  <c r="AP27" i="75"/>
  <c r="BF27" i="75"/>
  <c r="AC44" i="75"/>
  <c r="AM25" i="75"/>
  <c r="BC25" i="75"/>
  <c r="AG26" i="75"/>
  <c r="AW26" i="75"/>
  <c r="AQ27" i="75"/>
  <c r="BG27" i="75"/>
  <c r="AM9" i="75"/>
  <c r="BC9" i="75"/>
  <c r="AM17" i="75"/>
  <c r="BC17" i="75"/>
  <c r="AG18" i="75"/>
  <c r="AW18" i="75"/>
  <c r="AP6" i="75"/>
  <c r="BF6" i="75"/>
  <c r="AJ7" i="75"/>
  <c r="AZ7" i="75"/>
  <c r="AC8" i="75"/>
  <c r="BL8" i="75"/>
  <c r="AN9" i="75"/>
  <c r="BD9" i="75"/>
  <c r="AH10" i="75"/>
  <c r="AX10" i="75"/>
  <c r="AR11" i="75"/>
  <c r="BH11" i="75"/>
  <c r="AV13" i="75"/>
  <c r="AP14" i="75"/>
  <c r="BF14" i="75"/>
  <c r="AJ15" i="75"/>
  <c r="AZ15" i="75"/>
  <c r="AC16" i="75"/>
  <c r="AT16" i="75"/>
  <c r="BL16" i="75"/>
  <c r="AN17" i="75"/>
  <c r="BD17" i="75"/>
  <c r="AH18" i="75"/>
  <c r="AX18" i="75"/>
  <c r="AR19" i="75"/>
  <c r="BH19" i="75"/>
  <c r="AV21" i="75"/>
  <c r="AP22" i="75"/>
  <c r="BF22" i="75"/>
  <c r="AJ23" i="75"/>
  <c r="AZ23" i="75"/>
  <c r="AC24" i="75"/>
  <c r="AT24" i="75"/>
  <c r="BL24" i="75"/>
  <c r="AN25" i="75"/>
  <c r="BD25" i="75"/>
  <c r="AH26" i="75"/>
  <c r="AX26" i="75"/>
  <c r="AR27" i="75"/>
  <c r="BH27" i="75"/>
  <c r="AC34" i="75"/>
  <c r="BM16" i="75"/>
  <c r="AO17" i="75"/>
  <c r="BE17" i="75"/>
  <c r="BM8" i="75"/>
  <c r="BE9" i="75"/>
  <c r="BM24" i="75"/>
  <c r="AO25" i="75"/>
  <c r="BE25" i="75"/>
  <c r="AR6" i="75"/>
  <c r="AL7" i="75"/>
  <c r="AP9" i="75"/>
  <c r="AJ10" i="75"/>
  <c r="AH13" i="75"/>
  <c r="AR14" i="75"/>
  <c r="AL15" i="75"/>
  <c r="AP17" i="75"/>
  <c r="AJ18" i="75"/>
  <c r="AH21" i="75"/>
  <c r="AR22" i="75"/>
  <c r="AL23" i="75"/>
  <c r="AP25" i="75"/>
  <c r="AJ26" i="75"/>
  <c r="AV24" i="73"/>
  <c r="AF24" i="73"/>
  <c r="AU24" i="73"/>
  <c r="AE24" i="73"/>
  <c r="AS24" i="73"/>
  <c r="AQ24" i="73"/>
  <c r="AR24" i="73"/>
  <c r="AP24" i="73"/>
  <c r="AO24" i="73"/>
  <c r="BB24" i="73"/>
  <c r="AL24" i="73"/>
  <c r="BA24" i="73"/>
  <c r="AK24" i="73"/>
  <c r="AY24" i="73"/>
  <c r="AI24" i="73"/>
  <c r="AX24" i="73"/>
  <c r="AH24" i="73"/>
  <c r="AQ25" i="73"/>
  <c r="AO21" i="73"/>
  <c r="BB21" i="73"/>
  <c r="AL21" i="73"/>
  <c r="AZ21" i="73"/>
  <c r="AJ21" i="73"/>
  <c r="BA21" i="73"/>
  <c r="AK21" i="73"/>
  <c r="AY21" i="73"/>
  <c r="AI21" i="73"/>
  <c r="AX21" i="73"/>
  <c r="AH21" i="73"/>
  <c r="AU21" i="73"/>
  <c r="AE21" i="73"/>
  <c r="AR21" i="73"/>
  <c r="AQ21" i="73"/>
  <c r="AP6" i="73"/>
  <c r="AT7" i="73"/>
  <c r="AE8" i="73"/>
  <c r="AX8" i="73"/>
  <c r="BG10" i="73"/>
  <c r="AO11" i="73"/>
  <c r="AV15" i="73"/>
  <c r="AF21" i="73"/>
  <c r="BB22" i="73"/>
  <c r="AL22" i="73"/>
  <c r="BA22" i="73"/>
  <c r="AK22" i="73"/>
  <c r="AY22" i="73"/>
  <c r="AI22" i="73"/>
  <c r="AW22" i="73"/>
  <c r="AG22" i="73"/>
  <c r="AX22" i="73"/>
  <c r="AH22" i="73"/>
  <c r="AV22" i="73"/>
  <c r="AF22" i="73"/>
  <c r="AU22" i="73"/>
  <c r="AE22" i="73"/>
  <c r="AR22" i="73"/>
  <c r="AO22" i="73"/>
  <c r="AN22" i="73"/>
  <c r="AG24" i="73"/>
  <c r="AT25" i="73"/>
  <c r="BI11" i="73"/>
  <c r="BI12" i="73"/>
  <c r="BH13" i="73"/>
  <c r="AU15" i="73"/>
  <c r="AQ6" i="73"/>
  <c r="AW7" i="73"/>
  <c r="AF8" i="73"/>
  <c r="AY8" i="73"/>
  <c r="BH10" i="73"/>
  <c r="AP11" i="73"/>
  <c r="AW15" i="73"/>
  <c r="AG21" i="73"/>
  <c r="AJ24" i="73"/>
  <c r="AW25" i="73"/>
  <c r="AL28" i="73"/>
  <c r="AK28" i="73"/>
  <c r="AJ28" i="73"/>
  <c r="AI28" i="73"/>
  <c r="AX28" i="73"/>
  <c r="AH28" i="73"/>
  <c r="AW28" i="73"/>
  <c r="AG28" i="73"/>
  <c r="AV28" i="73"/>
  <c r="AF28" i="73"/>
  <c r="AU28" i="73"/>
  <c r="AT28" i="73"/>
  <c r="AS28" i="73"/>
  <c r="AR28" i="73"/>
  <c r="AQ28" i="73"/>
  <c r="AP28" i="73"/>
  <c r="AO28" i="73"/>
  <c r="AN28" i="73"/>
  <c r="AM28" i="73"/>
  <c r="AR6" i="73"/>
  <c r="Z7" i="73"/>
  <c r="AX7" i="73"/>
  <c r="AG8" i="73"/>
  <c r="AZ8" i="73"/>
  <c r="AQ11" i="73"/>
  <c r="AX15" i="73"/>
  <c r="AM21" i="73"/>
  <c r="AM22" i="73"/>
  <c r="AM24" i="73"/>
  <c r="BH9" i="73"/>
  <c r="BG9" i="73"/>
  <c r="AP10" i="73"/>
  <c r="AS11" i="73"/>
  <c r="AE15" i="73"/>
  <c r="AP21" i="73"/>
  <c r="AQ22" i="73"/>
  <c r="AT24" i="73"/>
  <c r="AQ15" i="73"/>
  <c r="AN15" i="73"/>
  <c r="BC15" i="73"/>
  <c r="AM15" i="73"/>
  <c r="BB15" i="73"/>
  <c r="AL15" i="73"/>
  <c r="BA15" i="73"/>
  <c r="AK15" i="73"/>
  <c r="AY15" i="73"/>
  <c r="AN21" i="73"/>
  <c r="AP22" i="73"/>
  <c r="AN24" i="73"/>
  <c r="Y54" i="73"/>
  <c r="AT6" i="73"/>
  <c r="AG7" i="73"/>
  <c r="AZ7" i="73"/>
  <c r="AI8" i="73"/>
  <c r="BB8" i="73"/>
  <c r="AJ9" i="73"/>
  <c r="Z6" i="73"/>
  <c r="AH7" i="73"/>
  <c r="BA7" i="73"/>
  <c r="AJ8" i="73"/>
  <c r="BC8" i="73"/>
  <c r="AK9" i="73"/>
  <c r="BI9" i="73"/>
  <c r="AQ10" i="73"/>
  <c r="AT11" i="73"/>
  <c r="AF15" i="73"/>
  <c r="AS21" i="73"/>
  <c r="AS22" i="73"/>
  <c r="AW24" i="73"/>
  <c r="AL9" i="73"/>
  <c r="AR10" i="73"/>
  <c r="AU11" i="73"/>
  <c r="AG15" i="73"/>
  <c r="AT21" i="73"/>
  <c r="AT22" i="73"/>
  <c r="AZ24" i="73"/>
  <c r="AY6" i="73"/>
  <c r="AI6" i="73"/>
  <c r="AX6" i="73"/>
  <c r="AH6" i="73"/>
  <c r="AV6" i="73"/>
  <c r="AF6" i="73"/>
  <c r="AZ6" i="73"/>
  <c r="AJ7" i="73"/>
  <c r="BC7" i="73"/>
  <c r="BG8" i="73"/>
  <c r="AN9" i="73"/>
  <c r="AS10" i="73"/>
  <c r="AH15" i="73"/>
  <c r="AV21" i="73"/>
  <c r="AZ22" i="73"/>
  <c r="BC24" i="73"/>
  <c r="AA26" i="73"/>
  <c r="Z26" i="73"/>
  <c r="AS8" i="73"/>
  <c r="AR8" i="73"/>
  <c r="AP8" i="73"/>
  <c r="AW8" i="73"/>
  <c r="AS6" i="73"/>
  <c r="AM8" i="73"/>
  <c r="BI8" i="73"/>
  <c r="AQ9" i="73"/>
  <c r="AT10" i="73"/>
  <c r="AU19" i="73"/>
  <c r="AE19" i="73"/>
  <c r="AR19" i="73"/>
  <c r="AQ19" i="73"/>
  <c r="AP19" i="73"/>
  <c r="AO19" i="73"/>
  <c r="AN19" i="73"/>
  <c r="BA19" i="73"/>
  <c r="AK19" i="73"/>
  <c r="AX19" i="73"/>
  <c r="AH19" i="73"/>
  <c r="AW21" i="73"/>
  <c r="BC22" i="73"/>
  <c r="AK6" i="73"/>
  <c r="AL6" i="73"/>
  <c r="AO7" i="73"/>
  <c r="AT8" i="73"/>
  <c r="AO6" i="73"/>
  <c r="AR7" i="73"/>
  <c r="AZ11" i="73"/>
  <c r="AJ11" i="73"/>
  <c r="AY11" i="73"/>
  <c r="AI11" i="73"/>
  <c r="AW11" i="73"/>
  <c r="AG11" i="73"/>
  <c r="AX11" i="73"/>
  <c r="AI15" i="73"/>
  <c r="AS16" i="73"/>
  <c r="AG6" i="73"/>
  <c r="BB6" i="73"/>
  <c r="BB28" i="73" s="1"/>
  <c r="BG7" i="73"/>
  <c r="AN8" i="73"/>
  <c r="AR9" i="73"/>
  <c r="AU10" i="73"/>
  <c r="AE11" i="73"/>
  <c r="BA11" i="73"/>
  <c r="AJ15" i="73"/>
  <c r="AT16" i="73"/>
  <c r="AF19" i="73"/>
  <c r="BC21" i="73"/>
  <c r="AV7" i="73"/>
  <c r="AF7" i="73"/>
  <c r="AU7" i="73"/>
  <c r="AE7" i="73"/>
  <c r="AS7" i="73"/>
  <c r="AY7" i="73"/>
  <c r="AH8" i="73"/>
  <c r="BA8" i="73"/>
  <c r="AR11" i="73"/>
  <c r="AW6" i="73"/>
  <c r="AI7" i="73"/>
  <c r="BB7" i="73"/>
  <c r="AK8" i="73"/>
  <c r="AE6" i="73"/>
  <c r="BA6" i="73"/>
  <c r="AK7" i="73"/>
  <c r="AJ6" i="73"/>
  <c r="BC6" i="73"/>
  <c r="AM7" i="73"/>
  <c r="BH7" i="73"/>
  <c r="AO8" i="73"/>
  <c r="AS9" i="73"/>
  <c r="AF11" i="73"/>
  <c r="BB11" i="73"/>
  <c r="AO15" i="73"/>
  <c r="BH28" i="73"/>
  <c r="AN7" i="73"/>
  <c r="AQ8" i="73"/>
  <c r="BC10" i="73"/>
  <c r="AM10" i="73"/>
  <c r="BB10" i="73"/>
  <c r="AL10" i="73"/>
  <c r="AZ10" i="73"/>
  <c r="AJ10" i="73"/>
  <c r="AW10" i="73"/>
  <c r="AH11" i="73"/>
  <c r="BC11" i="73"/>
  <c r="AP15" i="73"/>
  <c r="AV16" i="73"/>
  <c r="AI19" i="73"/>
  <c r="AA20" i="73"/>
  <c r="AA25" i="73"/>
  <c r="Z25" i="73"/>
  <c r="AS25" i="73"/>
  <c r="AR25" i="73"/>
  <c r="AP25" i="73"/>
  <c r="AN25" i="73"/>
  <c r="AO25" i="73"/>
  <c r="BC25" i="73"/>
  <c r="AM25" i="73"/>
  <c r="BB25" i="73"/>
  <c r="AL25" i="73"/>
  <c r="BA25" i="73"/>
  <c r="AK25" i="73"/>
  <c r="AY25" i="73"/>
  <c r="AI25" i="73"/>
  <c r="AX25" i="73"/>
  <c r="AH25" i="73"/>
  <c r="AV25" i="73"/>
  <c r="AF25" i="73"/>
  <c r="AU25" i="73"/>
  <c r="AE25" i="73"/>
  <c r="AS15" i="73"/>
  <c r="AL19" i="73"/>
  <c r="AG25" i="73"/>
  <c r="AR15" i="73"/>
  <c r="AM6" i="73"/>
  <c r="BH6" i="73"/>
  <c r="AP7" i="73"/>
  <c r="AU8" i="73"/>
  <c r="AL11" i="73"/>
  <c r="BG11" i="73"/>
  <c r="BG12" i="73"/>
  <c r="AN6" i="73"/>
  <c r="BI6" i="73"/>
  <c r="AQ7" i="73"/>
  <c r="AA8" i="73"/>
  <c r="AA54" i="73" s="1"/>
  <c r="S61" i="73" s="1"/>
  <c r="S63" i="73" s="1"/>
  <c r="S64" i="73" s="1"/>
  <c r="Z8" i="73"/>
  <c r="AV8" i="73"/>
  <c r="AP9" i="73"/>
  <c r="AO9" i="73"/>
  <c r="BC9" i="73"/>
  <c r="AM9" i="73"/>
  <c r="AW9" i="73"/>
  <c r="AG10" i="73"/>
  <c r="BA10" i="73"/>
  <c r="AM11" i="73"/>
  <c r="BG13" i="73"/>
  <c r="AT15" i="73"/>
  <c r="AN16" i="73"/>
  <c r="BA16" i="73"/>
  <c r="AK16" i="73"/>
  <c r="AZ16" i="73"/>
  <c r="AJ16" i="73"/>
  <c r="AY16" i="73"/>
  <c r="AI16" i="73"/>
  <c r="AX16" i="73"/>
  <c r="AH16" i="73"/>
  <c r="BC16" i="73"/>
  <c r="AM19" i="73"/>
  <c r="AA23" i="73"/>
  <c r="Z23" i="73"/>
  <c r="AJ25" i="73"/>
  <c r="AT20" i="73"/>
  <c r="BI21" i="73"/>
  <c r="AK23" i="73"/>
  <c r="BA23" i="73"/>
  <c r="AR26" i="73"/>
  <c r="AO27" i="73"/>
  <c r="BG27" i="73"/>
  <c r="AK18" i="73"/>
  <c r="BA18" i="73"/>
  <c r="AE20" i="73"/>
  <c r="AU20" i="73"/>
  <c r="AL23" i="73"/>
  <c r="BB23" i="73"/>
  <c r="AS26" i="73"/>
  <c r="AP27" i="73"/>
  <c r="BH27" i="73"/>
  <c r="AT26" i="73"/>
  <c r="AQ27" i="73"/>
  <c r="AE26" i="73"/>
  <c r="AU26" i="73"/>
  <c r="AR27" i="73"/>
  <c r="AH20" i="73"/>
  <c r="AX20" i="73"/>
  <c r="AO23" i="73"/>
  <c r="AF26" i="73"/>
  <c r="AV26" i="73"/>
  <c r="AS27" i="73"/>
  <c r="AT27" i="73"/>
  <c r="AH26" i="73"/>
  <c r="AX26" i="73"/>
  <c r="AE27" i="73"/>
  <c r="AU27" i="73"/>
  <c r="Z28" i="73"/>
  <c r="AK20" i="73"/>
  <c r="BA20" i="73"/>
  <c r="AR23" i="73"/>
  <c r="BG24" i="73"/>
  <c r="AI26" i="73"/>
  <c r="AY26" i="73"/>
  <c r="AF27" i="73"/>
  <c r="AV27" i="73"/>
  <c r="AT17" i="73"/>
  <c r="AT12" i="73"/>
  <c r="AQ13" i="73"/>
  <c r="AN14" i="73"/>
  <c r="AE17" i="73"/>
  <c r="AU17" i="73"/>
  <c r="AR18" i="73"/>
  <c r="BG19" i="73"/>
  <c r="AL20" i="73"/>
  <c r="BB20" i="73"/>
  <c r="AS23" i="73"/>
  <c r="BH24" i="73"/>
  <c r="AJ26" i="73"/>
  <c r="AZ26" i="73"/>
  <c r="AG27" i="73"/>
  <c r="AW27" i="73"/>
  <c r="AK26" i="73"/>
  <c r="BA26" i="73"/>
  <c r="AH27" i="73"/>
  <c r="AX27" i="73"/>
  <c r="AE23" i="73"/>
  <c r="AU23" i="73"/>
  <c r="Z24" i="73"/>
  <c r="BG25" i="73"/>
  <c r="AL26" i="73"/>
  <c r="BB26" i="73"/>
  <c r="AI27" i="73"/>
  <c r="AY27" i="73"/>
  <c r="AF17" i="73"/>
  <c r="AV17" i="73"/>
  <c r="BH19" i="73"/>
  <c r="AM20" i="73"/>
  <c r="BC20" i="73"/>
  <c r="AT23" i="73"/>
  <c r="AP14" i="73"/>
  <c r="AG17" i="73"/>
  <c r="AW17" i="73"/>
  <c r="AT18" i="73"/>
  <c r="AN20" i="73"/>
  <c r="AG12" i="73"/>
  <c r="AQ14" i="73"/>
  <c r="AH17" i="73"/>
  <c r="AX17" i="73"/>
  <c r="AE18" i="73"/>
  <c r="AU18" i="73"/>
  <c r="AO20" i="73"/>
  <c r="AF23" i="73"/>
  <c r="AV23" i="73"/>
  <c r="AM26" i="73"/>
  <c r="BC26" i="73"/>
  <c r="AJ27" i="73"/>
  <c r="AZ27" i="73"/>
  <c r="AK27" i="73"/>
  <c r="BA27" i="73"/>
  <c r="AH23" i="73"/>
  <c r="AX23" i="73"/>
  <c r="AO26" i="73"/>
  <c r="BG26" i="73"/>
  <c r="AL27" i="73"/>
  <c r="BB27" i="73"/>
  <c r="AK17" i="73"/>
  <c r="AH18" i="73"/>
  <c r="AI23" i="73"/>
  <c r="AM27" i="73"/>
  <c r="AN23" i="72"/>
  <c r="BC23" i="72"/>
  <c r="AM23" i="72"/>
  <c r="BB23" i="72"/>
  <c r="AL23" i="72"/>
  <c r="BA23" i="72"/>
  <c r="AK23" i="72"/>
  <c r="AY23" i="72"/>
  <c r="AI23" i="72"/>
  <c r="AX23" i="72"/>
  <c r="AH23" i="72"/>
  <c r="AW23" i="72"/>
  <c r="AG23" i="72"/>
  <c r="AU23" i="72"/>
  <c r="AE23" i="72"/>
  <c r="AT23" i="72"/>
  <c r="AD23" i="72"/>
  <c r="AQ23" i="72"/>
  <c r="AP23" i="72"/>
  <c r="AS23" i="72"/>
  <c r="AR23" i="72"/>
  <c r="AO23" i="72"/>
  <c r="AJ23" i="72"/>
  <c r="AF23" i="72"/>
  <c r="AV23" i="72"/>
  <c r="AZ23" i="72"/>
  <c r="AC9" i="72"/>
  <c r="AA14" i="72"/>
  <c r="Z14" i="72"/>
  <c r="AG19" i="72"/>
  <c r="AC14" i="72"/>
  <c r="AJ19" i="72"/>
  <c r="AN11" i="72"/>
  <c r="BC11" i="72"/>
  <c r="AM11" i="72"/>
  <c r="AY11" i="72"/>
  <c r="AI11" i="72"/>
  <c r="AU11" i="72"/>
  <c r="AE11" i="72"/>
  <c r="AT11" i="72"/>
  <c r="AD11" i="72"/>
  <c r="AQ11" i="72"/>
  <c r="AA9" i="72"/>
  <c r="AH11" i="72"/>
  <c r="AJ11" i="72"/>
  <c r="AK19" i="72"/>
  <c r="AF19" i="72"/>
  <c r="AC7" i="72"/>
  <c r="AK11" i="72"/>
  <c r="AO19" i="72"/>
  <c r="BB11" i="72"/>
  <c r="AA7" i="72"/>
  <c r="AL11" i="72"/>
  <c r="AR19" i="72"/>
  <c r="AA10" i="72"/>
  <c r="Z10" i="72"/>
  <c r="AO11" i="72"/>
  <c r="AC12" i="72"/>
  <c r="AS19" i="72"/>
  <c r="AC15" i="72"/>
  <c r="AV19" i="72"/>
  <c r="AR11" i="72"/>
  <c r="AW19" i="72"/>
  <c r="AS11" i="72"/>
  <c r="AA47" i="72"/>
  <c r="Z47" i="72"/>
  <c r="AN19" i="72"/>
  <c r="BC19" i="72"/>
  <c r="AM19" i="72"/>
  <c r="BB19" i="72"/>
  <c r="AL19" i="72"/>
  <c r="AY19" i="72"/>
  <c r="AI19" i="72"/>
  <c r="AH19" i="72"/>
  <c r="AX19" i="72"/>
  <c r="AU19" i="72"/>
  <c r="AE19" i="72"/>
  <c r="AT19" i="72"/>
  <c r="AD19" i="72"/>
  <c r="AQ19" i="72"/>
  <c r="AP19" i="72"/>
  <c r="AF11" i="72"/>
  <c r="AC10" i="72"/>
  <c r="AP11" i="72"/>
  <c r="Y54" i="72"/>
  <c r="AC26" i="72"/>
  <c r="AA6" i="72"/>
  <c r="Z6" i="72"/>
  <c r="AC25" i="72"/>
  <c r="AC21" i="72"/>
  <c r="AC31" i="72"/>
  <c r="AC30" i="72"/>
  <c r="AC29" i="72"/>
  <c r="AC28" i="72"/>
  <c r="AC24" i="72"/>
  <c r="AC20" i="72"/>
  <c r="AC27" i="72"/>
  <c r="AC8" i="72"/>
  <c r="AV11" i="72"/>
  <c r="BA19" i="72"/>
  <c r="AC6" i="72"/>
  <c r="AW11" i="72"/>
  <c r="AC16" i="72"/>
  <c r="AC22" i="72"/>
  <c r="AX11" i="72"/>
  <c r="AA13" i="72"/>
  <c r="AZ11" i="72"/>
  <c r="AC18" i="72"/>
  <c r="AC13" i="72"/>
  <c r="AC17" i="72"/>
  <c r="AA11" i="72"/>
  <c r="BA11" i="72"/>
  <c r="Z45" i="72"/>
  <c r="Z52" i="72"/>
  <c r="Z49" i="72"/>
  <c r="Z43" i="72"/>
  <c r="Z40" i="72"/>
  <c r="Z18" i="72"/>
  <c r="Z22" i="72"/>
  <c r="Z26" i="72"/>
  <c r="AS24" i="71"/>
  <c r="AR24" i="71"/>
  <c r="AQ24" i="71"/>
  <c r="AP8" i="71"/>
  <c r="AP12" i="71"/>
  <c r="AP7" i="71"/>
  <c r="AP11" i="71"/>
  <c r="AP6" i="71"/>
  <c r="AK15" i="71"/>
  <c r="Y16" i="71"/>
  <c r="AC17" i="71"/>
  <c r="AE9" i="71"/>
  <c r="AE13" i="71"/>
  <c r="AJ14" i="71"/>
  <c r="X15" i="71"/>
  <c r="AP15" i="71"/>
  <c r="AB16" i="71"/>
  <c r="AF17" i="71"/>
  <c r="AJ18" i="71"/>
  <c r="X19" i="71"/>
  <c r="AP19" i="71"/>
  <c r="AB20" i="71"/>
  <c r="AF21" i="71"/>
  <c r="AJ22" i="71"/>
  <c r="X23" i="71"/>
  <c r="AP23" i="71"/>
  <c r="AB24" i="71"/>
  <c r="AF25" i="71"/>
  <c r="AJ26" i="71"/>
  <c r="X27" i="71"/>
  <c r="AP27" i="71"/>
  <c r="AD28" i="71"/>
  <c r="AK14" i="71"/>
  <c r="Y15" i="71"/>
  <c r="AG17" i="71"/>
  <c r="AK26" i="71"/>
  <c r="Y27" i="71"/>
  <c r="AE28" i="71"/>
  <c r="R32" i="71"/>
  <c r="R54" i="71" s="1"/>
  <c r="R48" i="71"/>
  <c r="AK18" i="71"/>
  <c r="Y19" i="71"/>
  <c r="AC20" i="71"/>
  <c r="AG21" i="71"/>
  <c r="AK10" i="71"/>
  <c r="Y11" i="71"/>
  <c r="AC12" i="71"/>
  <c r="AG13" i="71"/>
  <c r="V14" i="71"/>
  <c r="AL14" i="71"/>
  <c r="Z15" i="71"/>
  <c r="AD16" i="71"/>
  <c r="AH17" i="71"/>
  <c r="V18" i="71"/>
  <c r="AL18" i="71"/>
  <c r="Z19" i="71"/>
  <c r="AD20" i="71"/>
  <c r="AH21" i="71"/>
  <c r="V22" i="71"/>
  <c r="AL22" i="71"/>
  <c r="Z23" i="71"/>
  <c r="AD24" i="71"/>
  <c r="AH25" i="71"/>
  <c r="V26" i="71"/>
  <c r="AL26" i="71"/>
  <c r="Z27" i="71"/>
  <c r="AF28" i="71"/>
  <c r="S54" i="71"/>
  <c r="CB56" i="71" s="1"/>
  <c r="AK6" i="71"/>
  <c r="Y7" i="71"/>
  <c r="AC8" i="71"/>
  <c r="AG9" i="71"/>
  <c r="V6" i="71"/>
  <c r="AL6" i="71"/>
  <c r="Z7" i="71"/>
  <c r="AD8" i="71"/>
  <c r="AH9" i="71"/>
  <c r="V10" i="71"/>
  <c r="AL10" i="71"/>
  <c r="Z11" i="71"/>
  <c r="AD12" i="71"/>
  <c r="AH13" i="71"/>
  <c r="W14" i="71"/>
  <c r="AM14" i="71"/>
  <c r="AA15" i="71"/>
  <c r="AE16" i="71"/>
  <c r="AI17" i="71"/>
  <c r="W18" i="71"/>
  <c r="AM18" i="71"/>
  <c r="AA19" i="71"/>
  <c r="AE20" i="71"/>
  <c r="AI21" i="71"/>
  <c r="W22" i="71"/>
  <c r="AM22" i="71"/>
  <c r="AA23" i="71"/>
  <c r="AE24" i="71"/>
  <c r="AI25" i="71"/>
  <c r="W26" i="71"/>
  <c r="AM26" i="71"/>
  <c r="AA27" i="71"/>
  <c r="AG28" i="71"/>
  <c r="AK22" i="71"/>
  <c r="Y23" i="71"/>
  <c r="W6" i="71"/>
  <c r="AM6" i="71"/>
  <c r="AM28" i="71" s="1"/>
  <c r="AA7" i="71"/>
  <c r="AE8" i="71"/>
  <c r="AI9" i="71"/>
  <c r="W10" i="71"/>
  <c r="AM10" i="71"/>
  <c r="AI13" i="71"/>
  <c r="X14" i="71"/>
  <c r="AP14" i="71"/>
  <c r="AB15" i="71"/>
  <c r="AF16" i="71"/>
  <c r="AJ17" i="71"/>
  <c r="X18" i="71"/>
  <c r="AP18" i="71"/>
  <c r="AB19" i="71"/>
  <c r="AF20" i="71"/>
  <c r="AJ21" i="71"/>
  <c r="X22" i="71"/>
  <c r="AP22" i="71"/>
  <c r="AB23" i="71"/>
  <c r="AF24" i="71"/>
  <c r="AJ25" i="71"/>
  <c r="X26" i="71"/>
  <c r="AP26" i="71"/>
  <c r="AB27" i="71"/>
  <c r="AH28" i="71"/>
  <c r="AK21" i="71"/>
  <c r="Y22" i="71"/>
  <c r="AC23" i="71"/>
  <c r="AK25" i="71"/>
  <c r="Y26" i="71"/>
  <c r="AC27" i="71"/>
  <c r="R36" i="71"/>
  <c r="R52" i="71"/>
  <c r="AK13" i="71"/>
  <c r="Z14" i="71"/>
  <c r="AD15" i="71"/>
  <c r="AH16" i="71"/>
  <c r="V17" i="71"/>
  <c r="AL17" i="71"/>
  <c r="Z18" i="71"/>
  <c r="AD19" i="71"/>
  <c r="AH20" i="71"/>
  <c r="V21" i="71"/>
  <c r="AL21" i="71"/>
  <c r="Z22" i="71"/>
  <c r="AD23" i="71"/>
  <c r="AH24" i="71"/>
  <c r="V25" i="71"/>
  <c r="AL25" i="71"/>
  <c r="Z26" i="71"/>
  <c r="AD27" i="71"/>
  <c r="AK9" i="71"/>
  <c r="Y10" i="71"/>
  <c r="AC11" i="71"/>
  <c r="AG12" i="71"/>
  <c r="Z6" i="71"/>
  <c r="AD7" i="71"/>
  <c r="AH8" i="71"/>
  <c r="V9" i="71"/>
  <c r="AL9" i="71"/>
  <c r="Z10" i="71"/>
  <c r="AD11" i="71"/>
  <c r="AH12" i="71"/>
  <c r="V13" i="71"/>
  <c r="AL13" i="71"/>
  <c r="AA14" i="71"/>
  <c r="AE15" i="71"/>
  <c r="AI16" i="71"/>
  <c r="W17" i="71"/>
  <c r="AM17" i="71"/>
  <c r="AA18" i="71"/>
  <c r="AE19" i="71"/>
  <c r="AI20" i="71"/>
  <c r="W21" i="71"/>
  <c r="AM21" i="71"/>
  <c r="AA22" i="71"/>
  <c r="AE23" i="71"/>
  <c r="AI24" i="71"/>
  <c r="W25" i="71"/>
  <c r="AM25" i="71"/>
  <c r="AA26" i="71"/>
  <c r="AE27" i="71"/>
  <c r="Y14" i="71"/>
  <c r="AC15" i="71"/>
  <c r="AG16" i="71"/>
  <c r="AK17" i="71"/>
  <c r="AG20" i="71"/>
  <c r="W13" i="71"/>
  <c r="AM13" i="71"/>
  <c r="AB14" i="71"/>
  <c r="AF15" i="71"/>
  <c r="AJ16" i="71"/>
  <c r="X17" i="71"/>
  <c r="AP17" i="71"/>
  <c r="AB18" i="71"/>
  <c r="AF19" i="71"/>
  <c r="AJ20" i="71"/>
  <c r="X21" i="71"/>
  <c r="AP21" i="71"/>
  <c r="AB22" i="71"/>
  <c r="AF23" i="71"/>
  <c r="AJ24" i="71"/>
  <c r="X25" i="71"/>
  <c r="AP25" i="71"/>
  <c r="AB26" i="71"/>
  <c r="AF27" i="71"/>
  <c r="R39" i="71"/>
  <c r="AF9" i="71"/>
  <c r="AJ9" i="71"/>
  <c r="AJ28" i="71" s="1"/>
  <c r="AK16" i="71"/>
  <c r="Y17" i="71"/>
  <c r="AC18" i="71"/>
  <c r="AG19" i="71"/>
  <c r="AK24" i="71"/>
  <c r="Y25" i="71"/>
  <c r="AC26" i="71"/>
  <c r="AG27" i="71"/>
  <c r="W28" i="71"/>
  <c r="R40" i="71"/>
  <c r="AK20" i="71"/>
  <c r="Y21" i="71"/>
  <c r="AC22" i="71"/>
  <c r="AG23" i="71"/>
  <c r="AC6" i="71"/>
  <c r="AG7" i="71"/>
  <c r="AK12" i="71"/>
  <c r="Y13" i="71"/>
  <c r="AD14" i="71"/>
  <c r="AH15" i="71"/>
  <c r="V16" i="71"/>
  <c r="AL16" i="71"/>
  <c r="Z17" i="71"/>
  <c r="AD18" i="71"/>
  <c r="AH19" i="71"/>
  <c r="V20" i="71"/>
  <c r="AL20" i="71"/>
  <c r="Z21" i="71"/>
  <c r="AD22" i="71"/>
  <c r="AH23" i="71"/>
  <c r="V24" i="71"/>
  <c r="AL24" i="71"/>
  <c r="Z25" i="71"/>
  <c r="AD26" i="71"/>
  <c r="AH27" i="71"/>
  <c r="X28" i="71"/>
  <c r="R41" i="71"/>
  <c r="AP10" i="71"/>
  <c r="Y18" i="71"/>
  <c r="W9" i="71"/>
  <c r="AM9" i="71"/>
  <c r="X9" i="71"/>
  <c r="AP13" i="71"/>
  <c r="AC14" i="71"/>
  <c r="AG15" i="71"/>
  <c r="AK8" i="71"/>
  <c r="Y9" i="71"/>
  <c r="AC10" i="71"/>
  <c r="AG11" i="71"/>
  <c r="AD6" i="71"/>
  <c r="AH7" i="71"/>
  <c r="V8" i="71"/>
  <c r="AL8" i="71"/>
  <c r="Z9" i="71"/>
  <c r="AD10" i="71"/>
  <c r="AH11" i="71"/>
  <c r="V12" i="71"/>
  <c r="AL12" i="71"/>
  <c r="Z13" i="71"/>
  <c r="AE14" i="71"/>
  <c r="AI15" i="71"/>
  <c r="W16" i="71"/>
  <c r="AM16" i="71"/>
  <c r="AA17" i="71"/>
  <c r="AE18" i="71"/>
  <c r="AI19" i="71"/>
  <c r="W20" i="71"/>
  <c r="AM20" i="71"/>
  <c r="AA21" i="71"/>
  <c r="AE22" i="71"/>
  <c r="AI23" i="71"/>
  <c r="W24" i="71"/>
  <c r="AM24" i="71"/>
  <c r="AA25" i="71"/>
  <c r="AE26" i="71"/>
  <c r="AI27" i="71"/>
  <c r="Y28" i="71"/>
  <c r="AC19" i="71"/>
  <c r="AP9" i="71"/>
  <c r="X13" i="71"/>
  <c r="AI7" i="71"/>
  <c r="AI28" i="71" s="1"/>
  <c r="AA9" i="71"/>
  <c r="AA13" i="71"/>
  <c r="AF14" i="71"/>
  <c r="AJ15" i="71"/>
  <c r="X16" i="71"/>
  <c r="AP16" i="71"/>
  <c r="AB17" i="71"/>
  <c r="AF18" i="71"/>
  <c r="AJ19" i="71"/>
  <c r="X20" i="71"/>
  <c r="AP20" i="71"/>
  <c r="AB21" i="71"/>
  <c r="AF22" i="71"/>
  <c r="AJ23" i="71"/>
  <c r="AB25" i="71"/>
  <c r="AF26" i="71"/>
  <c r="AJ27" i="71"/>
  <c r="Z28" i="71"/>
  <c r="AG14" i="71"/>
  <c r="AG22" i="71"/>
  <c r="AK27" i="71"/>
  <c r="AA28" i="71"/>
  <c r="R44" i="71"/>
  <c r="AK19" i="71"/>
  <c r="Y20" i="71"/>
  <c r="AC21" i="71"/>
  <c r="AK23" i="71"/>
  <c r="Y24" i="71"/>
  <c r="AC25" i="71"/>
  <c r="AG26" i="71"/>
  <c r="AG6" i="71"/>
  <c r="AK11" i="71"/>
  <c r="Y12" i="71"/>
  <c r="AC13" i="71"/>
  <c r="AH14" i="71"/>
  <c r="V15" i="71"/>
  <c r="AL15" i="71"/>
  <c r="Z16" i="71"/>
  <c r="AD17" i="71"/>
  <c r="AH18" i="71"/>
  <c r="V19" i="71"/>
  <c r="AL19" i="71"/>
  <c r="Z20" i="71"/>
  <c r="AD21" i="71"/>
  <c r="AH22" i="71"/>
  <c r="V23" i="71"/>
  <c r="AL23" i="71"/>
  <c r="Z24" i="71"/>
  <c r="AD25" i="71"/>
  <c r="AH26" i="71"/>
  <c r="V27" i="71"/>
  <c r="AL27" i="71"/>
  <c r="AB28" i="71"/>
  <c r="AB9" i="71"/>
  <c r="AG18" i="71"/>
  <c r="AK7" i="71"/>
  <c r="Y8" i="71"/>
  <c r="AC9" i="71"/>
  <c r="AG10" i="71"/>
  <c r="V7" i="71"/>
  <c r="V11" i="71"/>
  <c r="W15" i="71"/>
  <c r="W19" i="71"/>
  <c r="W23" i="71"/>
  <c r="W27" i="71"/>
  <c r="R54" i="10"/>
  <c r="S45" i="10"/>
  <c r="S29" i="10"/>
  <c r="S13" i="10"/>
  <c r="S54" i="10" s="1"/>
  <c r="S50" i="10"/>
  <c r="S34" i="10"/>
  <c r="S18" i="10"/>
  <c r="S7" i="10"/>
  <c r="S49" i="10"/>
  <c r="S17" i="10"/>
  <c r="S11" i="10"/>
  <c r="S43" i="10"/>
  <c r="S27" i="10"/>
  <c r="AA54" i="29"/>
  <c r="Y54" i="29"/>
  <c r="X54" i="29"/>
  <c r="W54" i="29"/>
  <c r="D24" i="18"/>
  <c r="AL34" i="76" l="1"/>
  <c r="AK34" i="76"/>
  <c r="AZ34" i="76"/>
  <c r="AJ34" i="76"/>
  <c r="AY34" i="76"/>
  <c r="AI34" i="76"/>
  <c r="AW34" i="76"/>
  <c r="AX34" i="76"/>
  <c r="AH34" i="76"/>
  <c r="AG34" i="76"/>
  <c r="AV34" i="76"/>
  <c r="AF34" i="76"/>
  <c r="AU34" i="76"/>
  <c r="AE34" i="76"/>
  <c r="AT34" i="76"/>
  <c r="AD34" i="76"/>
  <c r="AS34" i="76"/>
  <c r="AC34" i="76"/>
  <c r="AR34" i="76"/>
  <c r="AB34" i="76"/>
  <c r="AQ34" i="76"/>
  <c r="AP34" i="76"/>
  <c r="AO34" i="76"/>
  <c r="AN34" i="76"/>
  <c r="AM34" i="76"/>
  <c r="AR19" i="76"/>
  <c r="AB19" i="76"/>
  <c r="AQ19" i="76"/>
  <c r="AP19" i="76"/>
  <c r="AO19" i="76"/>
  <c r="AN19" i="76"/>
  <c r="AM19" i="76"/>
  <c r="AL19" i="76"/>
  <c r="AK19" i="76"/>
  <c r="AZ19" i="76"/>
  <c r="AJ19" i="76"/>
  <c r="AY19" i="76"/>
  <c r="AI19" i="76"/>
  <c r="AX19" i="76"/>
  <c r="AH19" i="76"/>
  <c r="AW19" i="76"/>
  <c r="AG19" i="76"/>
  <c r="AV19" i="76"/>
  <c r="AF19" i="76"/>
  <c r="AU19" i="76"/>
  <c r="AE19" i="76"/>
  <c r="AT19" i="76"/>
  <c r="AD19" i="76"/>
  <c r="AS19" i="76"/>
  <c r="AC19" i="76"/>
  <c r="AY6" i="76"/>
  <c r="AI6" i="76"/>
  <c r="AW6" i="76"/>
  <c r="AG6" i="76"/>
  <c r="AX6" i="76"/>
  <c r="AH6" i="76"/>
  <c r="AV6" i="76"/>
  <c r="AF6" i="76"/>
  <c r="AU6" i="76"/>
  <c r="AE6" i="76"/>
  <c r="AS6" i="76"/>
  <c r="AC6" i="76"/>
  <c r="AR6" i="76"/>
  <c r="AB6" i="76"/>
  <c r="AK6" i="76"/>
  <c r="AZ6" i="76"/>
  <c r="AJ6" i="76"/>
  <c r="AO6" i="76"/>
  <c r="AN6" i="76"/>
  <c r="AM6" i="76"/>
  <c r="AL6" i="76"/>
  <c r="AD6" i="76"/>
  <c r="AT6" i="76"/>
  <c r="AP6" i="76"/>
  <c r="AQ6" i="76"/>
  <c r="AK33" i="76"/>
  <c r="AZ33" i="76"/>
  <c r="AJ33" i="76"/>
  <c r="AY33" i="76"/>
  <c r="AI33" i="76"/>
  <c r="AX33" i="76"/>
  <c r="AH33" i="76"/>
  <c r="AW33" i="76"/>
  <c r="AG33" i="76"/>
  <c r="AV33" i="76"/>
  <c r="AF33" i="76"/>
  <c r="AU33" i="76"/>
  <c r="AE33" i="76"/>
  <c r="AT33" i="76"/>
  <c r="AD33" i="76"/>
  <c r="AS33" i="76"/>
  <c r="AC33" i="76"/>
  <c r="AR33" i="76"/>
  <c r="AB33" i="76"/>
  <c r="AQ33" i="76"/>
  <c r="AP33" i="76"/>
  <c r="AO33" i="76"/>
  <c r="AN33" i="76"/>
  <c r="AM33" i="76"/>
  <c r="AL33" i="76"/>
  <c r="AZ27" i="76"/>
  <c r="AJ27" i="76"/>
  <c r="AY27" i="76"/>
  <c r="AI27" i="76"/>
  <c r="AX27" i="76"/>
  <c r="AH27" i="76"/>
  <c r="AW27" i="76"/>
  <c r="AG27" i="76"/>
  <c r="AU27" i="76"/>
  <c r="AV27" i="76"/>
  <c r="AF27" i="76"/>
  <c r="AE27" i="76"/>
  <c r="AT27" i="76"/>
  <c r="AD27" i="76"/>
  <c r="AS27" i="76"/>
  <c r="AC27" i="76"/>
  <c r="AR27" i="76"/>
  <c r="AB27" i="76"/>
  <c r="AQ27" i="76"/>
  <c r="AP27" i="76"/>
  <c r="AO27" i="76"/>
  <c r="AN27" i="76"/>
  <c r="AM27" i="76"/>
  <c r="AL27" i="76"/>
  <c r="AK27" i="76"/>
  <c r="AQ14" i="76"/>
  <c r="AP14" i="76"/>
  <c r="AO14" i="76"/>
  <c r="AN14" i="76"/>
  <c r="AM14" i="76"/>
  <c r="AK14" i="76"/>
  <c r="AZ14" i="76"/>
  <c r="AJ14" i="76"/>
  <c r="AY14" i="76"/>
  <c r="AI14" i="76"/>
  <c r="AX14" i="76"/>
  <c r="AH14" i="76"/>
  <c r="AU14" i="76"/>
  <c r="AE14" i="76"/>
  <c r="AT14" i="76"/>
  <c r="AS14" i="76"/>
  <c r="AC14" i="76"/>
  <c r="AR14" i="76"/>
  <c r="AB14" i="76"/>
  <c r="AW14" i="76"/>
  <c r="AV14" i="76"/>
  <c r="AL14" i="76"/>
  <c r="AG14" i="76"/>
  <c r="AF14" i="76"/>
  <c r="AD14" i="76"/>
  <c r="AY31" i="76"/>
  <c r="AI31" i="76"/>
  <c r="AX31" i="76"/>
  <c r="AH31" i="76"/>
  <c r="AW31" i="76"/>
  <c r="AG31" i="76"/>
  <c r="AV31" i="76"/>
  <c r="AF31" i="76"/>
  <c r="AD31" i="76"/>
  <c r="AU31" i="76"/>
  <c r="AE31" i="76"/>
  <c r="AT31" i="76"/>
  <c r="AS31" i="76"/>
  <c r="AC31" i="76"/>
  <c r="AR31" i="76"/>
  <c r="AB31" i="76"/>
  <c r="AQ31" i="76"/>
  <c r="AP31" i="76"/>
  <c r="AO31" i="76"/>
  <c r="AN31" i="76"/>
  <c r="AM31" i="76"/>
  <c r="AL31" i="76"/>
  <c r="AK31" i="76"/>
  <c r="AZ31" i="76"/>
  <c r="AJ31" i="76"/>
  <c r="AM10" i="76"/>
  <c r="AL10" i="76"/>
  <c r="AK10" i="76"/>
  <c r="AZ10" i="76"/>
  <c r="AJ10" i="76"/>
  <c r="AY10" i="76"/>
  <c r="AI10" i="76"/>
  <c r="AW10" i="76"/>
  <c r="AG10" i="76"/>
  <c r="AV10" i="76"/>
  <c r="AF10" i="76"/>
  <c r="AU10" i="76"/>
  <c r="AE10" i="76"/>
  <c r="AO10" i="76"/>
  <c r="AN10" i="76"/>
  <c r="AD10" i="76"/>
  <c r="AC10" i="76"/>
  <c r="AB10" i="76"/>
  <c r="AX10" i="76"/>
  <c r="AT10" i="76"/>
  <c r="AS10" i="76"/>
  <c r="AR10" i="76"/>
  <c r="AQ10" i="76"/>
  <c r="AP10" i="76"/>
  <c r="AH10" i="76"/>
  <c r="AW28" i="76"/>
  <c r="AG28" i="76"/>
  <c r="AV28" i="76"/>
  <c r="AF28" i="76"/>
  <c r="AU28" i="76"/>
  <c r="AE28" i="76"/>
  <c r="AT28" i="76"/>
  <c r="AD28" i="76"/>
  <c r="AS28" i="76"/>
  <c r="AC28" i="76"/>
  <c r="AR28" i="76"/>
  <c r="AB28" i="76"/>
  <c r="AQ28" i="76"/>
  <c r="AP28" i="76"/>
  <c r="AO28" i="76"/>
  <c r="AN28" i="76"/>
  <c r="AM28" i="76"/>
  <c r="AL28" i="76"/>
  <c r="AK28" i="76"/>
  <c r="AZ28" i="76"/>
  <c r="AJ28" i="76"/>
  <c r="AY28" i="76"/>
  <c r="AI28" i="76"/>
  <c r="AX28" i="76"/>
  <c r="AH28" i="76"/>
  <c r="Y54" i="76"/>
  <c r="AZ11" i="76"/>
  <c r="AJ11" i="76"/>
  <c r="AY11" i="76"/>
  <c r="AI11" i="76"/>
  <c r="AX11" i="76"/>
  <c r="AH11" i="76"/>
  <c r="AW11" i="76"/>
  <c r="AG11" i="76"/>
  <c r="AV11" i="76"/>
  <c r="AF11" i="76"/>
  <c r="AT11" i="76"/>
  <c r="AD11" i="76"/>
  <c r="AS11" i="76"/>
  <c r="AC11" i="76"/>
  <c r="AR11" i="76"/>
  <c r="AB11" i="76"/>
  <c r="AL11" i="76"/>
  <c r="AK11" i="76"/>
  <c r="AM11" i="76"/>
  <c r="AE11" i="76"/>
  <c r="AU11" i="76"/>
  <c r="AQ11" i="76"/>
  <c r="AP11" i="76"/>
  <c r="AO11" i="76"/>
  <c r="AN11" i="76"/>
  <c r="AP25" i="76"/>
  <c r="AO25" i="76"/>
  <c r="AN25" i="76"/>
  <c r="AM25" i="76"/>
  <c r="AL25" i="76"/>
  <c r="AK25" i="76"/>
  <c r="AZ25" i="76"/>
  <c r="AJ25" i="76"/>
  <c r="AY25" i="76"/>
  <c r="AI25" i="76"/>
  <c r="AX25" i="76"/>
  <c r="AH25" i="76"/>
  <c r="AW25" i="76"/>
  <c r="AG25" i="76"/>
  <c r="AV25" i="76"/>
  <c r="AF25" i="76"/>
  <c r="AU25" i="76"/>
  <c r="AE25" i="76"/>
  <c r="AT25" i="76"/>
  <c r="AD25" i="76"/>
  <c r="AS25" i="76"/>
  <c r="AC25" i="76"/>
  <c r="AR25" i="76"/>
  <c r="AB25" i="76"/>
  <c r="AQ25" i="76"/>
  <c r="AW29" i="76"/>
  <c r="AG29" i="76"/>
  <c r="AV29" i="76"/>
  <c r="AF29" i="76"/>
  <c r="AU29" i="76"/>
  <c r="AE29" i="76"/>
  <c r="AT29" i="76"/>
  <c r="AD29" i="76"/>
  <c r="AB29" i="76"/>
  <c r="AS29" i="76"/>
  <c r="AC29" i="76"/>
  <c r="AR29" i="76"/>
  <c r="AQ29" i="76"/>
  <c r="AP29" i="76"/>
  <c r="AO29" i="76"/>
  <c r="AN29" i="76"/>
  <c r="AM29" i="76"/>
  <c r="AL29" i="76"/>
  <c r="AK29" i="76"/>
  <c r="AZ29" i="76"/>
  <c r="AJ29" i="76"/>
  <c r="AY29" i="76"/>
  <c r="AI29" i="76"/>
  <c r="AX29" i="76"/>
  <c r="AH29" i="76"/>
  <c r="AY22" i="76"/>
  <c r="AI22" i="76"/>
  <c r="AX22" i="76"/>
  <c r="AH22" i="76"/>
  <c r="AW22" i="76"/>
  <c r="AG22" i="76"/>
  <c r="AV22" i="76"/>
  <c r="AF22" i="76"/>
  <c r="AU22" i="76"/>
  <c r="AE22" i="76"/>
  <c r="AD22" i="76"/>
  <c r="AS22" i="76"/>
  <c r="AC22" i="76"/>
  <c r="AQ22" i="76"/>
  <c r="AR22" i="76"/>
  <c r="AB22" i="76"/>
  <c r="AP22" i="76"/>
  <c r="AO22" i="76"/>
  <c r="AN22" i="76"/>
  <c r="AM22" i="76"/>
  <c r="AL22" i="76"/>
  <c r="AK22" i="76"/>
  <c r="AZ22" i="76"/>
  <c r="AJ22" i="76"/>
  <c r="AT22" i="76"/>
  <c r="AW12" i="76"/>
  <c r="AG12" i="76"/>
  <c r="AV12" i="76"/>
  <c r="AF12" i="76"/>
  <c r="AU12" i="76"/>
  <c r="AE12" i="76"/>
  <c r="AT12" i="76"/>
  <c r="AD12" i="76"/>
  <c r="AS12" i="76"/>
  <c r="AC12" i="76"/>
  <c r="AQ12" i="76"/>
  <c r="AP12" i="76"/>
  <c r="AO12" i="76"/>
  <c r="AY12" i="76"/>
  <c r="AI12" i="76"/>
  <c r="AX12" i="76"/>
  <c r="AH12" i="76"/>
  <c r="AM12" i="76"/>
  <c r="AL12" i="76"/>
  <c r="AK12" i="76"/>
  <c r="AJ12" i="76"/>
  <c r="AB12" i="76"/>
  <c r="AZ12" i="76"/>
  <c r="AR12" i="76"/>
  <c r="AN12" i="76"/>
  <c r="AP9" i="76"/>
  <c r="AO9" i="76"/>
  <c r="AN9" i="76"/>
  <c r="AM9" i="76"/>
  <c r="AL9" i="76"/>
  <c r="AZ9" i="76"/>
  <c r="AJ9" i="76"/>
  <c r="AY9" i="76"/>
  <c r="AI9" i="76"/>
  <c r="AX9" i="76"/>
  <c r="AH9" i="76"/>
  <c r="AR9" i="76"/>
  <c r="AB9" i="76"/>
  <c r="AQ9" i="76"/>
  <c r="AF9" i="76"/>
  <c r="AE9" i="76"/>
  <c r="AD9" i="76"/>
  <c r="AC9" i="76"/>
  <c r="AW9" i="76"/>
  <c r="AV9" i="76"/>
  <c r="AU9" i="76"/>
  <c r="AT9" i="76"/>
  <c r="AS9" i="76"/>
  <c r="AK9" i="76"/>
  <c r="AG9" i="76"/>
  <c r="AV23" i="76"/>
  <c r="AF23" i="76"/>
  <c r="AU23" i="76"/>
  <c r="AE23" i="76"/>
  <c r="AT23" i="76"/>
  <c r="AD23" i="76"/>
  <c r="AS23" i="76"/>
  <c r="AC23" i="76"/>
  <c r="AR23" i="76"/>
  <c r="AB23" i="76"/>
  <c r="AQ23" i="76"/>
  <c r="AP23" i="76"/>
  <c r="AN23" i="76"/>
  <c r="AO23" i="76"/>
  <c r="AM23" i="76"/>
  <c r="AL23" i="76"/>
  <c r="AK23" i="76"/>
  <c r="AZ23" i="76"/>
  <c r="AJ23" i="76"/>
  <c r="AY23" i="76"/>
  <c r="AI23" i="76"/>
  <c r="AX23" i="76"/>
  <c r="AH23" i="76"/>
  <c r="AW23" i="76"/>
  <c r="AG23" i="76"/>
  <c r="AZ32" i="76"/>
  <c r="AJ32" i="76"/>
  <c r="AY32" i="76"/>
  <c r="AI32" i="76"/>
  <c r="AX32" i="76"/>
  <c r="AH32" i="76"/>
  <c r="AW32" i="76"/>
  <c r="AG32" i="76"/>
  <c r="AV32" i="76"/>
  <c r="AF32" i="76"/>
  <c r="AU32" i="76"/>
  <c r="AE32" i="76"/>
  <c r="AT32" i="76"/>
  <c r="AD32" i="76"/>
  <c r="AS32" i="76"/>
  <c r="AC32" i="76"/>
  <c r="AR32" i="76"/>
  <c r="AB32" i="76"/>
  <c r="AQ32" i="76"/>
  <c r="AP32" i="76"/>
  <c r="AO32" i="76"/>
  <c r="AN32" i="76"/>
  <c r="AM32" i="76"/>
  <c r="AL32" i="76"/>
  <c r="AK32" i="76"/>
  <c r="X54" i="76"/>
  <c r="AN15" i="76"/>
  <c r="AM15" i="76"/>
  <c r="AL15" i="76"/>
  <c r="AK15" i="76"/>
  <c r="AZ15" i="76"/>
  <c r="AJ15" i="76"/>
  <c r="AY15" i="76"/>
  <c r="AX15" i="76"/>
  <c r="AH15" i="76"/>
  <c r="AW15" i="76"/>
  <c r="AG15" i="76"/>
  <c r="AV15" i="76"/>
  <c r="AF15" i="76"/>
  <c r="AU15" i="76"/>
  <c r="AE15" i="76"/>
  <c r="AR15" i="76"/>
  <c r="AB15" i="76"/>
  <c r="AQ15" i="76"/>
  <c r="AP15" i="76"/>
  <c r="AO15" i="76"/>
  <c r="AS15" i="76"/>
  <c r="AT15" i="76"/>
  <c r="AI15" i="76"/>
  <c r="AD15" i="76"/>
  <c r="AC15" i="76"/>
  <c r="AT13" i="76"/>
  <c r="AD13" i="76"/>
  <c r="AS13" i="76"/>
  <c r="AC13" i="76"/>
  <c r="AR13" i="76"/>
  <c r="AB13" i="76"/>
  <c r="AQ13" i="76"/>
  <c r="AP13" i="76"/>
  <c r="AN13" i="76"/>
  <c r="AM13" i="76"/>
  <c r="AL13" i="76"/>
  <c r="AX13" i="76"/>
  <c r="AH13" i="76"/>
  <c r="AV13" i="76"/>
  <c r="AF13" i="76"/>
  <c r="AU13" i="76"/>
  <c r="AE13" i="76"/>
  <c r="AK13" i="76"/>
  <c r="AJ13" i="76"/>
  <c r="AG13" i="76"/>
  <c r="AI13" i="76"/>
  <c r="AZ13" i="76"/>
  <c r="AY13" i="76"/>
  <c r="AW13" i="76"/>
  <c r="AO13" i="76"/>
  <c r="AX17" i="76"/>
  <c r="AH17" i="76"/>
  <c r="AW17" i="76"/>
  <c r="AG17" i="76"/>
  <c r="AV17" i="76"/>
  <c r="AF17" i="76"/>
  <c r="AU17" i="76"/>
  <c r="AE17" i="76"/>
  <c r="AT17" i="76"/>
  <c r="AD17" i="76"/>
  <c r="AS17" i="76"/>
  <c r="AC17" i="76"/>
  <c r="AR17" i="76"/>
  <c r="AB17" i="76"/>
  <c r="AQ17" i="76"/>
  <c r="AP17" i="76"/>
  <c r="AO17" i="76"/>
  <c r="AM17" i="76"/>
  <c r="AL17" i="76"/>
  <c r="AK17" i="76"/>
  <c r="AZ17" i="76"/>
  <c r="AJ17" i="76"/>
  <c r="AY17" i="76"/>
  <c r="AI17" i="76"/>
  <c r="AN17" i="76"/>
  <c r="AU18" i="76"/>
  <c r="AE18" i="76"/>
  <c r="AT18" i="76"/>
  <c r="AD18" i="76"/>
  <c r="AS18" i="76"/>
  <c r="AC18" i="76"/>
  <c r="AR18" i="76"/>
  <c r="AB18" i="76"/>
  <c r="AQ18" i="76"/>
  <c r="AP18" i="76"/>
  <c r="AO18" i="76"/>
  <c r="AN18" i="76"/>
  <c r="AM18" i="76"/>
  <c r="AL18" i="76"/>
  <c r="AZ18" i="76"/>
  <c r="AJ18" i="76"/>
  <c r="AY18" i="76"/>
  <c r="AI18" i="76"/>
  <c r="AX18" i="76"/>
  <c r="AH18" i="76"/>
  <c r="AW18" i="76"/>
  <c r="AG18" i="76"/>
  <c r="AV18" i="76"/>
  <c r="AF18" i="76"/>
  <c r="AK18" i="76"/>
  <c r="AM26" i="76"/>
  <c r="AL26" i="76"/>
  <c r="AK26" i="76"/>
  <c r="AZ26" i="76"/>
  <c r="AJ26" i="76"/>
  <c r="AX26" i="76"/>
  <c r="AY26" i="76"/>
  <c r="AI26" i="76"/>
  <c r="AH26" i="76"/>
  <c r="AW26" i="76"/>
  <c r="AG26" i="76"/>
  <c r="AV26" i="76"/>
  <c r="AF26" i="76"/>
  <c r="AU26" i="76"/>
  <c r="AE26" i="76"/>
  <c r="AT26" i="76"/>
  <c r="AD26" i="76"/>
  <c r="AS26" i="76"/>
  <c r="AC26" i="76"/>
  <c r="AR26" i="76"/>
  <c r="AB26" i="76"/>
  <c r="AQ26" i="76"/>
  <c r="AP26" i="76"/>
  <c r="AO26" i="76"/>
  <c r="AN26" i="76"/>
  <c r="AS24" i="76"/>
  <c r="AC24" i="76"/>
  <c r="AR24" i="76"/>
  <c r="AB24" i="76"/>
  <c r="AQ24" i="76"/>
  <c r="AP24" i="76"/>
  <c r="AO24" i="76"/>
  <c r="AN24" i="76"/>
  <c r="AM24" i="76"/>
  <c r="AK24" i="76"/>
  <c r="AL24" i="76"/>
  <c r="AZ24" i="76"/>
  <c r="AJ24" i="76"/>
  <c r="AY24" i="76"/>
  <c r="AI24" i="76"/>
  <c r="AX24" i="76"/>
  <c r="AH24" i="76"/>
  <c r="AW24" i="76"/>
  <c r="AG24" i="76"/>
  <c r="AV24" i="76"/>
  <c r="AF24" i="76"/>
  <c r="AU24" i="76"/>
  <c r="AE24" i="76"/>
  <c r="AT24" i="76"/>
  <c r="AD24" i="76"/>
  <c r="AX30" i="76"/>
  <c r="AH30" i="76"/>
  <c r="AW30" i="76"/>
  <c r="AG30" i="76"/>
  <c r="AV30" i="76"/>
  <c r="AF30" i="76"/>
  <c r="AU30" i="76"/>
  <c r="AE30" i="76"/>
  <c r="AT30" i="76"/>
  <c r="AD30" i="76"/>
  <c r="AS30" i="76"/>
  <c r="AC30" i="76"/>
  <c r="AR30" i="76"/>
  <c r="AB30" i="76"/>
  <c r="AQ30" i="76"/>
  <c r="AP30" i="76"/>
  <c r="AO30" i="76"/>
  <c r="AN30" i="76"/>
  <c r="AM30" i="76"/>
  <c r="AL30" i="76"/>
  <c r="AK30" i="76"/>
  <c r="AZ30" i="76"/>
  <c r="AJ30" i="76"/>
  <c r="AY30" i="76"/>
  <c r="AI30" i="76"/>
  <c r="AO20" i="76"/>
  <c r="AN20" i="76"/>
  <c r="AM20" i="76"/>
  <c r="AL20" i="76"/>
  <c r="AK20" i="76"/>
  <c r="AZ20" i="76"/>
  <c r="AJ20" i="76"/>
  <c r="AY20" i="76"/>
  <c r="AI20" i="76"/>
  <c r="AX20" i="76"/>
  <c r="AH20" i="76"/>
  <c r="AW20" i="76"/>
  <c r="AG20" i="76"/>
  <c r="AV20" i="76"/>
  <c r="AF20" i="76"/>
  <c r="AU20" i="76"/>
  <c r="AE20" i="76"/>
  <c r="AT20" i="76"/>
  <c r="AD20" i="76"/>
  <c r="AS20" i="76"/>
  <c r="AC20" i="76"/>
  <c r="AR20" i="76"/>
  <c r="AB20" i="76"/>
  <c r="AQ20" i="76"/>
  <c r="AP20" i="76"/>
  <c r="AL21" i="76"/>
  <c r="AK21" i="76"/>
  <c r="AZ21" i="76"/>
  <c r="AJ21" i="76"/>
  <c r="AY21" i="76"/>
  <c r="AI21" i="76"/>
  <c r="AX21" i="76"/>
  <c r="AH21" i="76"/>
  <c r="AW21" i="76"/>
  <c r="AG21" i="76"/>
  <c r="AV21" i="76"/>
  <c r="AF21" i="76"/>
  <c r="AU21" i="76"/>
  <c r="AE21" i="76"/>
  <c r="AT21" i="76"/>
  <c r="AD21" i="76"/>
  <c r="AS21" i="76"/>
  <c r="AC21" i="76"/>
  <c r="AR21" i="76"/>
  <c r="AB21" i="76"/>
  <c r="AQ21" i="76"/>
  <c r="AP21" i="76"/>
  <c r="AO21" i="76"/>
  <c r="AN21" i="76"/>
  <c r="AM21" i="76"/>
  <c r="AS8" i="76"/>
  <c r="AC8" i="76"/>
  <c r="AR8" i="76"/>
  <c r="AB8" i="76"/>
  <c r="AQ8" i="76"/>
  <c r="AP8" i="76"/>
  <c r="AO8" i="76"/>
  <c r="AM8" i="76"/>
  <c r="AL8" i="76"/>
  <c r="AU8" i="76"/>
  <c r="AE8" i="76"/>
  <c r="AT8" i="76"/>
  <c r="AD8" i="76"/>
  <c r="AJ8" i="76"/>
  <c r="AG8" i="76"/>
  <c r="AI8" i="76"/>
  <c r="AH8" i="76"/>
  <c r="AZ8" i="76"/>
  <c r="AY8" i="76"/>
  <c r="AF8" i="76"/>
  <c r="AX8" i="76"/>
  <c r="AW8" i="76"/>
  <c r="AV8" i="76"/>
  <c r="AN8" i="76"/>
  <c r="AK8" i="76"/>
  <c r="AD54" i="75"/>
  <c r="S61" i="75" s="1"/>
  <c r="S63" i="75" s="1"/>
  <c r="S64" i="75" s="1"/>
  <c r="BF28" i="75"/>
  <c r="AZ28" i="73"/>
  <c r="BC28" i="73"/>
  <c r="BA28" i="73"/>
  <c r="AY28" i="73"/>
  <c r="Z54" i="73"/>
  <c r="BA28" i="72"/>
  <c r="AK28" i="72"/>
  <c r="AZ28" i="72"/>
  <c r="AJ28" i="72"/>
  <c r="AY28" i="72"/>
  <c r="AI28" i="72"/>
  <c r="AX28" i="72"/>
  <c r="AH28" i="72"/>
  <c r="AW28" i="72"/>
  <c r="AG28" i="72"/>
  <c r="AU28" i="72"/>
  <c r="AE28" i="72"/>
  <c r="AT28" i="72"/>
  <c r="AD28" i="72"/>
  <c r="AS28" i="72"/>
  <c r="AQ28" i="72"/>
  <c r="AP28" i="72"/>
  <c r="AO28" i="72"/>
  <c r="BC28" i="72"/>
  <c r="AM28" i="72"/>
  <c r="BB28" i="72"/>
  <c r="AL28" i="72"/>
  <c r="AV28" i="72"/>
  <c r="AR28" i="72"/>
  <c r="AN28" i="72"/>
  <c r="AF28" i="72"/>
  <c r="AV13" i="72"/>
  <c r="AF13" i="72"/>
  <c r="AU13" i="72"/>
  <c r="AE13" i="72"/>
  <c r="AQ13" i="72"/>
  <c r="BC13" i="72"/>
  <c r="AM13" i="72"/>
  <c r="AL13" i="72"/>
  <c r="BB13" i="72"/>
  <c r="AY13" i="72"/>
  <c r="AI13" i="72"/>
  <c r="AX13" i="72"/>
  <c r="AD13" i="72"/>
  <c r="BA13" i="72"/>
  <c r="AH13" i="72"/>
  <c r="AZ13" i="72"/>
  <c r="AS13" i="72"/>
  <c r="AW13" i="72"/>
  <c r="AT13" i="72"/>
  <c r="AR13" i="72"/>
  <c r="AP13" i="72"/>
  <c r="AG13" i="72"/>
  <c r="AO13" i="72"/>
  <c r="AN13" i="72"/>
  <c r="AK13" i="72"/>
  <c r="AJ13" i="72"/>
  <c r="AZ29" i="72"/>
  <c r="AJ29" i="72"/>
  <c r="AY29" i="72"/>
  <c r="AI29" i="72"/>
  <c r="AX29" i="72"/>
  <c r="AH29" i="72"/>
  <c r="AW29" i="72"/>
  <c r="AG29" i="72"/>
  <c r="AV29" i="72"/>
  <c r="AF29" i="72"/>
  <c r="AT29" i="72"/>
  <c r="AD29" i="72"/>
  <c r="AS29" i="72"/>
  <c r="AR29" i="72"/>
  <c r="AP29" i="72"/>
  <c r="AO29" i="72"/>
  <c r="AN29" i="72"/>
  <c r="BB29" i="72"/>
  <c r="AL29" i="72"/>
  <c r="BA29" i="72"/>
  <c r="AK29" i="72"/>
  <c r="AM29" i="72"/>
  <c r="AE29" i="72"/>
  <c r="AU29" i="72"/>
  <c r="AQ29" i="72"/>
  <c r="BC29" i="72"/>
  <c r="AN7" i="72"/>
  <c r="BC7" i="72"/>
  <c r="AM7" i="72"/>
  <c r="AY7" i="72"/>
  <c r="AI7" i="72"/>
  <c r="AU7" i="72"/>
  <c r="AE7" i="72"/>
  <c r="AT7" i="72"/>
  <c r="AD7" i="72"/>
  <c r="AQ7" i="72"/>
  <c r="AV7" i="72"/>
  <c r="AJ7" i="72"/>
  <c r="AZ7" i="72"/>
  <c r="AS7" i="72"/>
  <c r="AR7" i="72"/>
  <c r="AP7" i="72"/>
  <c r="AO7" i="72"/>
  <c r="AL7" i="72"/>
  <c r="AX7" i="72"/>
  <c r="AK7" i="72"/>
  <c r="AH7" i="72"/>
  <c r="AG7" i="72"/>
  <c r="AF7" i="72"/>
  <c r="AW7" i="72"/>
  <c r="BB7" i="72"/>
  <c r="BA7" i="72"/>
  <c r="AZ30" i="72"/>
  <c r="AJ30" i="72"/>
  <c r="AY30" i="72"/>
  <c r="AI30" i="72"/>
  <c r="AX30" i="72"/>
  <c r="AH30" i="72"/>
  <c r="AW30" i="72"/>
  <c r="AG30" i="72"/>
  <c r="AV30" i="72"/>
  <c r="AF30" i="72"/>
  <c r="AT30" i="72"/>
  <c r="AD30" i="72"/>
  <c r="AS30" i="72"/>
  <c r="AR30" i="72"/>
  <c r="AP30" i="72"/>
  <c r="AO30" i="72"/>
  <c r="AN30" i="72"/>
  <c r="BB30" i="72"/>
  <c r="AL30" i="72"/>
  <c r="BA30" i="72"/>
  <c r="AK30" i="72"/>
  <c r="BC30" i="72"/>
  <c r="AU30" i="72"/>
  <c r="AQ30" i="72"/>
  <c r="AM30" i="72"/>
  <c r="AE30" i="72"/>
  <c r="AN15" i="72"/>
  <c r="BC15" i="72"/>
  <c r="AM15" i="72"/>
  <c r="AY15" i="72"/>
  <c r="AI15" i="72"/>
  <c r="AX15" i="72"/>
  <c r="AU15" i="72"/>
  <c r="AE15" i="72"/>
  <c r="AD15" i="72"/>
  <c r="AT15" i="72"/>
  <c r="AQ15" i="72"/>
  <c r="AP15" i="72"/>
  <c r="AO15" i="72"/>
  <c r="AL15" i="72"/>
  <c r="AK15" i="72"/>
  <c r="AJ15" i="72"/>
  <c r="AH15" i="72"/>
  <c r="AG15" i="72"/>
  <c r="AF15" i="72"/>
  <c r="BB15" i="72"/>
  <c r="BA15" i="72"/>
  <c r="AZ15" i="72"/>
  <c r="AS15" i="72"/>
  <c r="AR15" i="72"/>
  <c r="AW15" i="72"/>
  <c r="AV15" i="72"/>
  <c r="AV9" i="72"/>
  <c r="AF9" i="72"/>
  <c r="AU9" i="72"/>
  <c r="AE9" i="72"/>
  <c r="AQ9" i="72"/>
  <c r="BC9" i="72"/>
  <c r="AM9" i="72"/>
  <c r="AL9" i="72"/>
  <c r="BB9" i="72"/>
  <c r="AY9" i="72"/>
  <c r="AI9" i="72"/>
  <c r="AX9" i="72"/>
  <c r="AW9" i="72"/>
  <c r="AT9" i="72"/>
  <c r="BA9" i="72"/>
  <c r="AS9" i="72"/>
  <c r="AR9" i="72"/>
  <c r="AP9" i="72"/>
  <c r="AO9" i="72"/>
  <c r="AN9" i="72"/>
  <c r="AK9" i="72"/>
  <c r="AJ9" i="72"/>
  <c r="AZ9" i="72"/>
  <c r="AH9" i="72"/>
  <c r="AG9" i="72"/>
  <c r="AD9" i="72"/>
  <c r="AV17" i="72"/>
  <c r="AF17" i="72"/>
  <c r="AD17" i="72"/>
  <c r="AU17" i="72"/>
  <c r="AE17" i="72"/>
  <c r="AT17" i="72"/>
  <c r="AQ17" i="72"/>
  <c r="AP17" i="72"/>
  <c r="BC17" i="72"/>
  <c r="AM17" i="72"/>
  <c r="BB17" i="72"/>
  <c r="AL17" i="72"/>
  <c r="AY17" i="72"/>
  <c r="AI17" i="72"/>
  <c r="AX17" i="72"/>
  <c r="AH17" i="72"/>
  <c r="AG17" i="72"/>
  <c r="BA17" i="72"/>
  <c r="AZ17" i="72"/>
  <c r="AW17" i="72"/>
  <c r="AK17" i="72"/>
  <c r="AS17" i="72"/>
  <c r="AR17" i="72"/>
  <c r="AJ17" i="72"/>
  <c r="AO17" i="72"/>
  <c r="AN17" i="72"/>
  <c r="AZ12" i="72"/>
  <c r="AJ12" i="72"/>
  <c r="AY12" i="72"/>
  <c r="AI12" i="72"/>
  <c r="AU12" i="72"/>
  <c r="AE12" i="72"/>
  <c r="AQ12" i="72"/>
  <c r="AP12" i="72"/>
  <c r="BC12" i="72"/>
  <c r="AM12" i="72"/>
  <c r="AO12" i="72"/>
  <c r="AN12" i="72"/>
  <c r="AL12" i="72"/>
  <c r="AK12" i="72"/>
  <c r="AH12" i="72"/>
  <c r="AD12" i="72"/>
  <c r="AG12" i="72"/>
  <c r="AF12" i="72"/>
  <c r="BB12" i="72"/>
  <c r="BA12" i="72"/>
  <c r="AV12" i="72"/>
  <c r="AX12" i="72"/>
  <c r="AR12" i="72"/>
  <c r="AW12" i="72"/>
  <c r="AS12" i="72"/>
  <c r="AT12" i="72"/>
  <c r="AR18" i="72"/>
  <c r="AP18" i="72"/>
  <c r="AQ18" i="72"/>
  <c r="BC18" i="72"/>
  <c r="AM18" i="72"/>
  <c r="BB18" i="72"/>
  <c r="AL18" i="72"/>
  <c r="AY18" i="72"/>
  <c r="AI18" i="72"/>
  <c r="AX18" i="72"/>
  <c r="AH18" i="72"/>
  <c r="AU18" i="72"/>
  <c r="AE18" i="72"/>
  <c r="AT18" i="72"/>
  <c r="AD18" i="72"/>
  <c r="AF18" i="72"/>
  <c r="BA18" i="72"/>
  <c r="AZ18" i="72"/>
  <c r="AW18" i="72"/>
  <c r="AV18" i="72"/>
  <c r="AG18" i="72"/>
  <c r="AS18" i="72"/>
  <c r="AO18" i="72"/>
  <c r="AJ18" i="72"/>
  <c r="AN18" i="72"/>
  <c r="AK18" i="72"/>
  <c r="AV25" i="72"/>
  <c r="AF25" i="72"/>
  <c r="AD25" i="72"/>
  <c r="AU25" i="72"/>
  <c r="AE25" i="72"/>
  <c r="AT25" i="72"/>
  <c r="AS25" i="72"/>
  <c r="AQ25" i="72"/>
  <c r="AP25" i="72"/>
  <c r="AO25" i="72"/>
  <c r="BC25" i="72"/>
  <c r="AM25" i="72"/>
  <c r="BB25" i="72"/>
  <c r="AL25" i="72"/>
  <c r="AY25" i="72"/>
  <c r="AI25" i="72"/>
  <c r="AX25" i="72"/>
  <c r="AH25" i="72"/>
  <c r="BA25" i="72"/>
  <c r="AZ25" i="72"/>
  <c r="AW25" i="72"/>
  <c r="AR25" i="72"/>
  <c r="AN25" i="72"/>
  <c r="AK25" i="72"/>
  <c r="AJ25" i="72"/>
  <c r="AG25" i="72"/>
  <c r="AR14" i="72"/>
  <c r="AQ14" i="72"/>
  <c r="BC14" i="72"/>
  <c r="AM14" i="72"/>
  <c r="BB14" i="72"/>
  <c r="AY14" i="72"/>
  <c r="AI14" i="72"/>
  <c r="AH14" i="72"/>
  <c r="AX14" i="72"/>
  <c r="AU14" i="72"/>
  <c r="AE14" i="72"/>
  <c r="AT14" i="72"/>
  <c r="AD14" i="72"/>
  <c r="AZ14" i="72"/>
  <c r="BA14" i="72"/>
  <c r="AW14" i="72"/>
  <c r="AV14" i="72"/>
  <c r="AS14" i="72"/>
  <c r="AP14" i="72"/>
  <c r="AO14" i="72"/>
  <c r="AN14" i="72"/>
  <c r="AL14" i="72"/>
  <c r="AK14" i="72"/>
  <c r="AJ14" i="72"/>
  <c r="AG14" i="72"/>
  <c r="AF14" i="72"/>
  <c r="AR22" i="72"/>
  <c r="AP22" i="72"/>
  <c r="AQ22" i="72"/>
  <c r="AO22" i="72"/>
  <c r="BC22" i="72"/>
  <c r="AM22" i="72"/>
  <c r="BB22" i="72"/>
  <c r="AL22" i="72"/>
  <c r="BA22" i="72"/>
  <c r="AK22" i="72"/>
  <c r="AY22" i="72"/>
  <c r="AI22" i="72"/>
  <c r="AX22" i="72"/>
  <c r="AH22" i="72"/>
  <c r="AU22" i="72"/>
  <c r="AE22" i="72"/>
  <c r="AT22" i="72"/>
  <c r="AD22" i="72"/>
  <c r="AJ22" i="72"/>
  <c r="AG22" i="72"/>
  <c r="AF22" i="72"/>
  <c r="AZ22" i="72"/>
  <c r="AS22" i="72"/>
  <c r="AN22" i="72"/>
  <c r="AW22" i="72"/>
  <c r="AV22" i="72"/>
  <c r="Z54" i="72"/>
  <c r="AZ16" i="72"/>
  <c r="AJ16" i="72"/>
  <c r="AY16" i="72"/>
  <c r="AI16" i="72"/>
  <c r="AX16" i="72"/>
  <c r="AU16" i="72"/>
  <c r="AE16" i="72"/>
  <c r="AT16" i="72"/>
  <c r="AD16" i="72"/>
  <c r="AQ16" i="72"/>
  <c r="AP16" i="72"/>
  <c r="BC16" i="72"/>
  <c r="AM16" i="72"/>
  <c r="BB16" i="72"/>
  <c r="AL16" i="72"/>
  <c r="AH16" i="72"/>
  <c r="AG16" i="72"/>
  <c r="AF16" i="72"/>
  <c r="AN16" i="72"/>
  <c r="AK16" i="72"/>
  <c r="BA16" i="72"/>
  <c r="AW16" i="72"/>
  <c r="AV16" i="72"/>
  <c r="AS16" i="72"/>
  <c r="AR16" i="72"/>
  <c r="AO16" i="72"/>
  <c r="AA54" i="72"/>
  <c r="CZ56" i="72" s="1"/>
  <c r="AZ24" i="72"/>
  <c r="AJ24" i="72"/>
  <c r="AY24" i="72"/>
  <c r="AI24" i="72"/>
  <c r="AX24" i="72"/>
  <c r="AH24" i="72"/>
  <c r="AW24" i="72"/>
  <c r="AG24" i="72"/>
  <c r="AU24" i="72"/>
  <c r="AE24" i="72"/>
  <c r="AT24" i="72"/>
  <c r="AD24" i="72"/>
  <c r="AS24" i="72"/>
  <c r="AQ24" i="72"/>
  <c r="AP24" i="72"/>
  <c r="BC24" i="72"/>
  <c r="AM24" i="72"/>
  <c r="BB24" i="72"/>
  <c r="AL24" i="72"/>
  <c r="BA24" i="72"/>
  <c r="AV24" i="72"/>
  <c r="AR24" i="72"/>
  <c r="AO24" i="72"/>
  <c r="AN24" i="72"/>
  <c r="AK24" i="72"/>
  <c r="AF24" i="72"/>
  <c r="AS26" i="72"/>
  <c r="AR26" i="72"/>
  <c r="AQ26" i="72"/>
  <c r="AP26" i="72"/>
  <c r="AO26" i="72"/>
  <c r="BC26" i="72"/>
  <c r="AM26" i="72"/>
  <c r="BB26" i="72"/>
  <c r="AL26" i="72"/>
  <c r="BA26" i="72"/>
  <c r="AK26" i="72"/>
  <c r="AY26" i="72"/>
  <c r="AI26" i="72"/>
  <c r="AX26" i="72"/>
  <c r="AH26" i="72"/>
  <c r="AU26" i="72"/>
  <c r="AE26" i="72"/>
  <c r="AT26" i="72"/>
  <c r="AD26" i="72"/>
  <c r="AF26" i="72"/>
  <c r="AG26" i="72"/>
  <c r="AZ26" i="72"/>
  <c r="AW26" i="72"/>
  <c r="AV26" i="72"/>
  <c r="AN26" i="72"/>
  <c r="AJ26" i="72"/>
  <c r="AV21" i="72"/>
  <c r="AF21" i="72"/>
  <c r="AU21" i="72"/>
  <c r="AE21" i="72"/>
  <c r="AD21" i="72"/>
  <c r="AT21" i="72"/>
  <c r="AS21" i="72"/>
  <c r="AQ21" i="72"/>
  <c r="AP21" i="72"/>
  <c r="AO21" i="72"/>
  <c r="BC21" i="72"/>
  <c r="AM21" i="72"/>
  <c r="BB21" i="72"/>
  <c r="AL21" i="72"/>
  <c r="AY21" i="72"/>
  <c r="AI21" i="72"/>
  <c r="AX21" i="72"/>
  <c r="AH21" i="72"/>
  <c r="AG21" i="72"/>
  <c r="AJ21" i="72"/>
  <c r="BA21" i="72"/>
  <c r="AZ21" i="72"/>
  <c r="AW21" i="72"/>
  <c r="AR21" i="72"/>
  <c r="AN21" i="72"/>
  <c r="AK21" i="72"/>
  <c r="AR6" i="72"/>
  <c r="AQ6" i="72"/>
  <c r="BC6" i="72"/>
  <c r="AM6" i="72"/>
  <c r="AM32" i="72" s="1"/>
  <c r="AY6" i="72"/>
  <c r="AI6" i="72"/>
  <c r="AH6" i="72"/>
  <c r="AX6" i="72"/>
  <c r="AU6" i="72"/>
  <c r="AE6" i="72"/>
  <c r="AG6" i="72"/>
  <c r="AK6" i="72"/>
  <c r="AF6" i="72"/>
  <c r="AD6" i="72"/>
  <c r="AV6" i="72"/>
  <c r="BB6" i="72"/>
  <c r="BA6" i="72"/>
  <c r="AZ6" i="72"/>
  <c r="AW6" i="72"/>
  <c r="AT6" i="72"/>
  <c r="AT32" i="72" s="1"/>
  <c r="AS6" i="72"/>
  <c r="AJ6" i="72"/>
  <c r="AP6" i="72"/>
  <c r="AO6" i="72"/>
  <c r="AO32" i="72" s="1"/>
  <c r="AN6" i="72"/>
  <c r="AL6" i="72"/>
  <c r="AR10" i="72"/>
  <c r="AQ10" i="72"/>
  <c r="BC10" i="72"/>
  <c r="AM10" i="72"/>
  <c r="AY10" i="72"/>
  <c r="AI10" i="72"/>
  <c r="AH10" i="72"/>
  <c r="AX10" i="72"/>
  <c r="AU10" i="72"/>
  <c r="AE10" i="72"/>
  <c r="AN10" i="72"/>
  <c r="AO10" i="72"/>
  <c r="AL10" i="72"/>
  <c r="AK10" i="72"/>
  <c r="AJ10" i="72"/>
  <c r="AG10" i="72"/>
  <c r="BB10" i="72"/>
  <c r="AF10" i="72"/>
  <c r="AD10" i="72"/>
  <c r="BA10" i="72"/>
  <c r="AZ10" i="72"/>
  <c r="AW10" i="72"/>
  <c r="AV10" i="72"/>
  <c r="AT10" i="72"/>
  <c r="AP10" i="72"/>
  <c r="AS10" i="72"/>
  <c r="AZ31" i="72"/>
  <c r="AJ31" i="72"/>
  <c r="AY31" i="72"/>
  <c r="AI31" i="72"/>
  <c r="AX31" i="72"/>
  <c r="AH31" i="72"/>
  <c r="AW31" i="72"/>
  <c r="AG31" i="72"/>
  <c r="AV31" i="72"/>
  <c r="AF31" i="72"/>
  <c r="AT31" i="72"/>
  <c r="AD31" i="72"/>
  <c r="AS31" i="72"/>
  <c r="AR31" i="72"/>
  <c r="AP31" i="72"/>
  <c r="AO31" i="72"/>
  <c r="AN31" i="72"/>
  <c r="BB31" i="72"/>
  <c r="AL31" i="72"/>
  <c r="BA31" i="72"/>
  <c r="AK31" i="72"/>
  <c r="BC31" i="72"/>
  <c r="AE31" i="72"/>
  <c r="AU31" i="72"/>
  <c r="AM31" i="72"/>
  <c r="AQ31" i="72"/>
  <c r="AZ8" i="72"/>
  <c r="AJ8" i="72"/>
  <c r="AY8" i="72"/>
  <c r="AI8" i="72"/>
  <c r="AU8" i="72"/>
  <c r="AE8" i="72"/>
  <c r="AQ8" i="72"/>
  <c r="AP8" i="72"/>
  <c r="BC8" i="72"/>
  <c r="AM8" i="72"/>
  <c r="AH8" i="72"/>
  <c r="AK8" i="72"/>
  <c r="AG8" i="72"/>
  <c r="AF8" i="72"/>
  <c r="AD8" i="72"/>
  <c r="AN8" i="72"/>
  <c r="AL8" i="72"/>
  <c r="BB8" i="72"/>
  <c r="BA8" i="72"/>
  <c r="AX8" i="72"/>
  <c r="AW8" i="72"/>
  <c r="AV8" i="72"/>
  <c r="AT8" i="72"/>
  <c r="AO8" i="72"/>
  <c r="AS8" i="72"/>
  <c r="AR8" i="72"/>
  <c r="AZ20" i="72"/>
  <c r="AJ20" i="72"/>
  <c r="AX20" i="72"/>
  <c r="AY20" i="72"/>
  <c r="AI20" i="72"/>
  <c r="AH20" i="72"/>
  <c r="AU20" i="72"/>
  <c r="AE20" i="72"/>
  <c r="AT20" i="72"/>
  <c r="AD20" i="72"/>
  <c r="AS20" i="72"/>
  <c r="AQ20" i="72"/>
  <c r="AP20" i="72"/>
  <c r="BC20" i="72"/>
  <c r="AM20" i="72"/>
  <c r="BB20" i="72"/>
  <c r="AL20" i="72"/>
  <c r="AF20" i="72"/>
  <c r="BA20" i="72"/>
  <c r="AW20" i="72"/>
  <c r="AV20" i="72"/>
  <c r="AR20" i="72"/>
  <c r="AO20" i="72"/>
  <c r="AN20" i="72"/>
  <c r="AK20" i="72"/>
  <c r="AG20" i="72"/>
  <c r="AO27" i="72"/>
  <c r="AN27" i="72"/>
  <c r="BC27" i="72"/>
  <c r="AM27" i="72"/>
  <c r="BB27" i="72"/>
  <c r="AL27" i="72"/>
  <c r="BA27" i="72"/>
  <c r="AK27" i="72"/>
  <c r="AY27" i="72"/>
  <c r="AI27" i="72"/>
  <c r="AX27" i="72"/>
  <c r="AH27" i="72"/>
  <c r="AW27" i="72"/>
  <c r="AG27" i="72"/>
  <c r="AU27" i="72"/>
  <c r="AE27" i="72"/>
  <c r="AT27" i="72"/>
  <c r="AD27" i="72"/>
  <c r="AS27" i="72"/>
  <c r="AQ27" i="72"/>
  <c r="AP27" i="72"/>
  <c r="AV27" i="72"/>
  <c r="AR27" i="72"/>
  <c r="AJ27" i="72"/>
  <c r="AF27" i="72"/>
  <c r="AZ27" i="72"/>
  <c r="AS16" i="71"/>
  <c r="AR16" i="71"/>
  <c r="AQ16" i="71"/>
  <c r="AS6" i="71"/>
  <c r="AR28" i="71"/>
  <c r="AQ6" i="71"/>
  <c r="AR6" i="71"/>
  <c r="AS22" i="71"/>
  <c r="AR22" i="71"/>
  <c r="AQ22" i="71"/>
  <c r="AS17" i="71"/>
  <c r="AR17" i="71"/>
  <c r="AQ17" i="71"/>
  <c r="AS11" i="71"/>
  <c r="AR11" i="71"/>
  <c r="AQ11" i="71"/>
  <c r="AS10" i="71"/>
  <c r="AR10" i="71"/>
  <c r="AQ10" i="71"/>
  <c r="AS7" i="71"/>
  <c r="AR7" i="71"/>
  <c r="AQ7" i="71"/>
  <c r="AK28" i="71"/>
  <c r="AR12" i="71"/>
  <c r="AQ12" i="71"/>
  <c r="AS12" i="71"/>
  <c r="AS9" i="71"/>
  <c r="AR9" i="71"/>
  <c r="AQ9" i="71"/>
  <c r="AS19" i="71"/>
  <c r="AR19" i="71"/>
  <c r="AQ19" i="71"/>
  <c r="AR8" i="71"/>
  <c r="AQ8" i="71"/>
  <c r="AS8" i="71"/>
  <c r="AQ18" i="71"/>
  <c r="AS18" i="71"/>
  <c r="AR18" i="71"/>
  <c r="AL28" i="71"/>
  <c r="AS20" i="71"/>
  <c r="AR20" i="71"/>
  <c r="AQ20" i="71"/>
  <c r="AQ14" i="71"/>
  <c r="AS14" i="71"/>
  <c r="AR14" i="71"/>
  <c r="AS21" i="71"/>
  <c r="AR21" i="71"/>
  <c r="AQ21" i="71"/>
  <c r="AS13" i="71"/>
  <c r="AR13" i="71"/>
  <c r="AQ13" i="71"/>
  <c r="AS15" i="71"/>
  <c r="AR15" i="71"/>
  <c r="AQ15" i="71"/>
  <c r="AS25" i="71"/>
  <c r="AR25" i="71"/>
  <c r="AQ25" i="71"/>
  <c r="AS27" i="71"/>
  <c r="AR27" i="71"/>
  <c r="AQ27" i="71"/>
  <c r="AS23" i="71"/>
  <c r="AQ23" i="71"/>
  <c r="AR23" i="71"/>
  <c r="AS26" i="71"/>
  <c r="AR26" i="71"/>
  <c r="AQ26" i="71"/>
  <c r="W62" i="9"/>
  <c r="AV35" i="76" l="1"/>
  <c r="AY35" i="76" s="1"/>
  <c r="AX35" i="76"/>
  <c r="AW35" i="76"/>
  <c r="AZ35" i="76"/>
  <c r="S61" i="76"/>
  <c r="S63" i="76" s="1"/>
  <c r="S64" i="76" s="1"/>
  <c r="CI56" i="76"/>
  <c r="BF27" i="72"/>
  <c r="BF23" i="72"/>
  <c r="BF19" i="72"/>
  <c r="BF15" i="72"/>
  <c r="BF11" i="72"/>
  <c r="BF7" i="72"/>
  <c r="BC32" i="72"/>
  <c r="BF24" i="72"/>
  <c r="BF13" i="72"/>
  <c r="BF6" i="72"/>
  <c r="BF25" i="72"/>
  <c r="BF8" i="72"/>
  <c r="BF20" i="72"/>
  <c r="BF18" i="72"/>
  <c r="BF12" i="72"/>
  <c r="BF17" i="72"/>
  <c r="BF10" i="72"/>
  <c r="BF21" i="72"/>
  <c r="BF16" i="72"/>
  <c r="BF26" i="72"/>
  <c r="BF14" i="72"/>
  <c r="BF22" i="72"/>
  <c r="BF9" i="72"/>
  <c r="AQ32" i="72"/>
  <c r="AR32" i="72"/>
  <c r="AL32" i="72"/>
  <c r="BB32" i="72"/>
  <c r="AW32" i="72"/>
  <c r="AV32" i="72"/>
  <c r="AF32" i="72"/>
  <c r="AE32" i="72"/>
  <c r="AK32" i="72"/>
  <c r="AG32" i="72"/>
  <c r="AN32" i="72"/>
  <c r="AU32" i="72"/>
  <c r="AX32" i="72"/>
  <c r="AP32" i="72"/>
  <c r="AH32" i="72"/>
  <c r="AJ32" i="72"/>
  <c r="AI32" i="72"/>
  <c r="AS32" i="72"/>
  <c r="AY32" i="72"/>
  <c r="AT54" i="28"/>
  <c r="AS54" i="28"/>
  <c r="AR54" i="28"/>
  <c r="AQ54" i="28"/>
  <c r="AP54" i="28"/>
  <c r="AU54" i="28"/>
  <c r="AO54" i="28"/>
  <c r="AN54" i="28"/>
  <c r="AM54" i="28"/>
  <c r="AL54" i="28"/>
  <c r="AK54" i="28"/>
  <c r="AJ54" i="28"/>
  <c r="AH54" i="28"/>
  <c r="AG54" i="28"/>
  <c r="AF54" i="28"/>
  <c r="AD54" i="28"/>
  <c r="AE54" i="28"/>
  <c r="BI20" i="72" l="1"/>
  <c r="BH20" i="72"/>
  <c r="BG20" i="72"/>
  <c r="BI8" i="72"/>
  <c r="BH8" i="72"/>
  <c r="BG8" i="72"/>
  <c r="BI25" i="72"/>
  <c r="BH25" i="72"/>
  <c r="BG25" i="72"/>
  <c r="BI6" i="72"/>
  <c r="BH6" i="72"/>
  <c r="BG6" i="72"/>
  <c r="BH28" i="72"/>
  <c r="BI12" i="72"/>
  <c r="BH12" i="72"/>
  <c r="BG12" i="72"/>
  <c r="BA32" i="72"/>
  <c r="AZ32" i="72"/>
  <c r="BI13" i="72"/>
  <c r="BH13" i="72"/>
  <c r="BG13" i="72"/>
  <c r="BI24" i="72"/>
  <c r="BH24" i="72"/>
  <c r="BG24" i="72"/>
  <c r="BI18" i="72"/>
  <c r="BH18" i="72"/>
  <c r="BG18" i="72"/>
  <c r="BI22" i="72"/>
  <c r="BH22" i="72"/>
  <c r="BG22" i="72"/>
  <c r="BI11" i="72"/>
  <c r="BG11" i="72"/>
  <c r="BH11" i="72"/>
  <c r="BI26" i="72"/>
  <c r="BH26" i="72"/>
  <c r="BG26" i="72"/>
  <c r="BI15" i="72"/>
  <c r="BH15" i="72"/>
  <c r="BG15" i="72"/>
  <c r="BI9" i="72"/>
  <c r="BG9" i="72"/>
  <c r="BH9" i="72"/>
  <c r="BI16" i="72"/>
  <c r="BH16" i="72"/>
  <c r="BG16" i="72"/>
  <c r="BI19" i="72"/>
  <c r="BH19" i="72"/>
  <c r="BG19" i="72"/>
  <c r="BI7" i="72"/>
  <c r="BH7" i="72"/>
  <c r="BG7" i="72"/>
  <c r="BI21" i="72"/>
  <c r="BH21" i="72"/>
  <c r="BG21" i="72"/>
  <c r="BI23" i="72"/>
  <c r="BH23" i="72"/>
  <c r="BG23" i="72"/>
  <c r="BI17" i="72"/>
  <c r="BH17" i="72"/>
  <c r="BG17" i="72"/>
  <c r="BI14" i="72"/>
  <c r="BH14" i="72"/>
  <c r="BG14" i="72"/>
  <c r="BI10" i="72"/>
  <c r="BH10" i="72"/>
  <c r="BG10" i="72"/>
  <c r="BG27" i="72"/>
  <c r="BI27" i="72"/>
  <c r="BH27" i="72"/>
  <c r="AI14" i="29"/>
  <c r="AI15" i="29"/>
  <c r="AI16" i="29"/>
  <c r="AI17" i="29"/>
  <c r="AJ17" i="29" s="1"/>
  <c r="AI18" i="29"/>
  <c r="AV18" i="29" s="1"/>
  <c r="AI19" i="29"/>
  <c r="AI20" i="29"/>
  <c r="AI21" i="29"/>
  <c r="AO21" i="29" s="1"/>
  <c r="AI22" i="29"/>
  <c r="AI23" i="29"/>
  <c r="AI24" i="29"/>
  <c r="AI25" i="29"/>
  <c r="AI26" i="29"/>
  <c r="BG26" i="29" s="1"/>
  <c r="AI27" i="29"/>
  <c r="BG27" i="29" s="1"/>
  <c r="AI28" i="29"/>
  <c r="BG28" i="29" s="1"/>
  <c r="AI29" i="29"/>
  <c r="BG29" i="29" s="1"/>
  <c r="AI30" i="29"/>
  <c r="BG30" i="29" s="1"/>
  <c r="AI31" i="29"/>
  <c r="BG31" i="29" s="1"/>
  <c r="AI32" i="29"/>
  <c r="BG32" i="29" s="1"/>
  <c r="AI33" i="29"/>
  <c r="AO33" i="29" s="1"/>
  <c r="AI34" i="29"/>
  <c r="AZ34" i="29" s="1"/>
  <c r="AI35" i="29"/>
  <c r="BG35" i="29" s="1"/>
  <c r="AI36" i="29"/>
  <c r="AI37" i="29"/>
  <c r="AJ37" i="29" s="1"/>
  <c r="AI38" i="29"/>
  <c r="BG38" i="29" s="1"/>
  <c r="AI39" i="29"/>
  <c r="BG39" i="29" s="1"/>
  <c r="AI40" i="29"/>
  <c r="BG40" i="29" s="1"/>
  <c r="AI41" i="29"/>
  <c r="BG41" i="29" s="1"/>
  <c r="AI42" i="29"/>
  <c r="BG42" i="29" s="1"/>
  <c r="AI43" i="29"/>
  <c r="BG43" i="29" s="1"/>
  <c r="AI44" i="29"/>
  <c r="BG44" i="29" s="1"/>
  <c r="AI45" i="29"/>
  <c r="BG45" i="29" s="1"/>
  <c r="AI46" i="29"/>
  <c r="BG46" i="29" s="1"/>
  <c r="AI47" i="29"/>
  <c r="BG47" i="29" s="1"/>
  <c r="AI48" i="29"/>
  <c r="BG48" i="29" s="1"/>
  <c r="AI49" i="29"/>
  <c r="AN49" i="29" s="1"/>
  <c r="AI50" i="29"/>
  <c r="BG50" i="29" s="1"/>
  <c r="AI51" i="29"/>
  <c r="AI52" i="29"/>
  <c r="AI53" i="29"/>
  <c r="AU53" i="29" s="1"/>
  <c r="AJ18" i="29" l="1"/>
  <c r="AL33" i="29"/>
  <c r="AL18" i="29"/>
  <c r="AN34" i="29"/>
  <c r="AP50" i="29"/>
  <c r="AQ17" i="29"/>
  <c r="AS18" i="29"/>
  <c r="AU34" i="29"/>
  <c r="AU18" i="29"/>
  <c r="AW49" i="29"/>
  <c r="AY50" i="29"/>
  <c r="BA50" i="29"/>
  <c r="BI50" i="29"/>
  <c r="BH50" i="29"/>
  <c r="BG51" i="29"/>
  <c r="BB51" i="29"/>
  <c r="BA51" i="29"/>
  <c r="AZ51" i="29"/>
  <c r="AY51" i="29"/>
  <c r="AX51" i="29"/>
  <c r="AW51" i="29"/>
  <c r="AV51" i="29"/>
  <c r="AU51" i="29"/>
  <c r="AT51" i="29"/>
  <c r="AS51" i="29"/>
  <c r="AR51" i="29"/>
  <c r="AQ51" i="29"/>
  <c r="AP51" i="29"/>
  <c r="AO51" i="29"/>
  <c r="AN51" i="29"/>
  <c r="AM51" i="29"/>
  <c r="AL51" i="29"/>
  <c r="AK51" i="29"/>
  <c r="AJ51" i="29"/>
  <c r="AK50" i="29"/>
  <c r="BA21" i="29"/>
  <c r="BI41" i="29"/>
  <c r="BH41" i="29"/>
  <c r="AX18" i="29"/>
  <c r="BG36" i="29"/>
  <c r="BB36" i="29"/>
  <c r="BA36" i="29"/>
  <c r="AZ36" i="29"/>
  <c r="AY36" i="29"/>
  <c r="AX36" i="29"/>
  <c r="AW36" i="29"/>
  <c r="AV36" i="29"/>
  <c r="AU36" i="29"/>
  <c r="AT36" i="29"/>
  <c r="AS36" i="29"/>
  <c r="AR36" i="29"/>
  <c r="AQ36" i="29"/>
  <c r="AP36" i="29"/>
  <c r="AO36" i="29"/>
  <c r="AN36" i="29"/>
  <c r="AM36" i="29"/>
  <c r="AL36" i="29"/>
  <c r="AK36" i="29"/>
  <c r="AJ36" i="29"/>
  <c r="AK53" i="29"/>
  <c r="AP37" i="29"/>
  <c r="AS17" i="29"/>
  <c r="AU21" i="29"/>
  <c r="AW34" i="29"/>
  <c r="AY49" i="29"/>
  <c r="AL17" i="29"/>
  <c r="AN21" i="29"/>
  <c r="AP34" i="29"/>
  <c r="AT53" i="29"/>
  <c r="AW33" i="29"/>
  <c r="AY37" i="29"/>
  <c r="AJ34" i="29"/>
  <c r="AL49" i="29"/>
  <c r="AN53" i="29"/>
  <c r="AO18" i="29"/>
  <c r="AQ33" i="29"/>
  <c r="AS37" i="29"/>
  <c r="AU50" i="29"/>
  <c r="AV17" i="29"/>
  <c r="AX21" i="29"/>
  <c r="AZ21" i="29"/>
  <c r="BG37" i="29"/>
  <c r="BI40" i="29"/>
  <c r="BH40" i="29"/>
  <c r="AJ33" i="29"/>
  <c r="AL37" i="29"/>
  <c r="AN50" i="29"/>
  <c r="AO17" i="29"/>
  <c r="AQ21" i="29"/>
  <c r="AS34" i="29"/>
  <c r="AU49" i="29"/>
  <c r="AW53" i="29"/>
  <c r="AZ18" i="29"/>
  <c r="BG34" i="29"/>
  <c r="BI39" i="29"/>
  <c r="BH39" i="29"/>
  <c r="AJ21" i="29"/>
  <c r="AL34" i="29"/>
  <c r="AP53" i="29"/>
  <c r="AQ18" i="29"/>
  <c r="AS33" i="29"/>
  <c r="AU37" i="29"/>
  <c r="AW50" i="29"/>
  <c r="AX17" i="29"/>
  <c r="BA53" i="29"/>
  <c r="AL21" i="29"/>
  <c r="AR53" i="29"/>
  <c r="AN37" i="29"/>
  <c r="BB17" i="29"/>
  <c r="BA17" i="29"/>
  <c r="AZ17" i="29"/>
  <c r="AW18" i="29"/>
  <c r="AV50" i="29"/>
  <c r="BG49" i="29"/>
  <c r="BB49" i="29"/>
  <c r="BA49" i="29"/>
  <c r="AZ49" i="29"/>
  <c r="AK37" i="29"/>
  <c r="AT49" i="29"/>
  <c r="AY33" i="29"/>
  <c r="AM49" i="29"/>
  <c r="BB50" i="29"/>
  <c r="BI31" i="29"/>
  <c r="BH31" i="29"/>
  <c r="AT34" i="29"/>
  <c r="BI29" i="29"/>
  <c r="BH29" i="29"/>
  <c r="AJ53" i="29"/>
  <c r="AK18" i="29"/>
  <c r="AM33" i="29"/>
  <c r="AO37" i="29"/>
  <c r="AQ50" i="29"/>
  <c r="AR17" i="29"/>
  <c r="AT21" i="29"/>
  <c r="AV34" i="29"/>
  <c r="AX49" i="29"/>
  <c r="AZ53" i="29"/>
  <c r="BB21" i="29"/>
  <c r="BG52" i="29"/>
  <c r="BB52" i="29"/>
  <c r="BA52" i="29"/>
  <c r="AZ52" i="29"/>
  <c r="AY52" i="29"/>
  <c r="AX52" i="29"/>
  <c r="AW52" i="29"/>
  <c r="AV52" i="29"/>
  <c r="AU52" i="29"/>
  <c r="AT52" i="29"/>
  <c r="AS52" i="29"/>
  <c r="AR52" i="29"/>
  <c r="AQ52" i="29"/>
  <c r="AP52" i="29"/>
  <c r="AO52" i="29"/>
  <c r="AN52" i="29"/>
  <c r="AM52" i="29"/>
  <c r="AL52" i="29"/>
  <c r="AK52" i="29"/>
  <c r="AJ52" i="29"/>
  <c r="AN33" i="29"/>
  <c r="AR50" i="29"/>
  <c r="BA34" i="29"/>
  <c r="BI35" i="29"/>
  <c r="BH35" i="29"/>
  <c r="AR49" i="29"/>
  <c r="AK49" i="29"/>
  <c r="AM53" i="29"/>
  <c r="AN18" i="29"/>
  <c r="AP33" i="29"/>
  <c r="AR37" i="29"/>
  <c r="AT50" i="29"/>
  <c r="AU17" i="29"/>
  <c r="AW21" i="29"/>
  <c r="AY34" i="29"/>
  <c r="BA18" i="29"/>
  <c r="AN17" i="29"/>
  <c r="AV53" i="29"/>
  <c r="BI48" i="29"/>
  <c r="BH48" i="29"/>
  <c r="AK34" i="29"/>
  <c r="AP18" i="29"/>
  <c r="AT37" i="29"/>
  <c r="AY21" i="29"/>
  <c r="BI47" i="29"/>
  <c r="BH47" i="29"/>
  <c r="AK33" i="29"/>
  <c r="AM37" i="29"/>
  <c r="AP17" i="29"/>
  <c r="AV49" i="29"/>
  <c r="AX53" i="29"/>
  <c r="BI28" i="29"/>
  <c r="BH28" i="29"/>
  <c r="AJ50" i="29"/>
  <c r="AK17" i="29"/>
  <c r="AM21" i="29"/>
  <c r="AO34" i="29"/>
  <c r="AQ49" i="29"/>
  <c r="AS53" i="29"/>
  <c r="AT18" i="29"/>
  <c r="AV33" i="29"/>
  <c r="AX37" i="29"/>
  <c r="AZ50" i="29"/>
  <c r="BB18" i="29"/>
  <c r="AP49" i="29"/>
  <c r="AU33" i="29"/>
  <c r="AW37" i="29"/>
  <c r="BA37" i="29"/>
  <c r="AO53" i="29"/>
  <c r="BI46" i="29"/>
  <c r="BH46" i="29"/>
  <c r="AK21" i="29"/>
  <c r="AM34" i="29"/>
  <c r="AO49" i="29"/>
  <c r="AQ53" i="29"/>
  <c r="AT33" i="29"/>
  <c r="AV37" i="29"/>
  <c r="AX50" i="29"/>
  <c r="AY17" i="29"/>
  <c r="AJ49" i="29"/>
  <c r="AM18" i="29"/>
  <c r="AQ37" i="29"/>
  <c r="AS50" i="29"/>
  <c r="AT17" i="29"/>
  <c r="AV21" i="29"/>
  <c r="AX34" i="29"/>
  <c r="AZ37" i="29"/>
  <c r="BG53" i="29"/>
  <c r="BI38" i="29"/>
  <c r="BH38" i="29"/>
  <c r="AS21" i="29"/>
  <c r="AY53" i="29"/>
  <c r="BG33" i="29"/>
  <c r="BB33" i="29"/>
  <c r="BA33" i="29"/>
  <c r="AZ33" i="29"/>
  <c r="AM50" i="29"/>
  <c r="AP21" i="29"/>
  <c r="AR34" i="29"/>
  <c r="BB53" i="29"/>
  <c r="BI32" i="29"/>
  <c r="BH32" i="29"/>
  <c r="AR33" i="29"/>
  <c r="AW17" i="29"/>
  <c r="AO50" i="29"/>
  <c r="AR21" i="29"/>
  <c r="AY18" i="29"/>
  <c r="BB37" i="29"/>
  <c r="BI30" i="29"/>
  <c r="BH30" i="29"/>
  <c r="AR18" i="29"/>
  <c r="BB34" i="29"/>
  <c r="BI45" i="29"/>
  <c r="BH45" i="29"/>
  <c r="BI44" i="29"/>
  <c r="BH44" i="29"/>
  <c r="BI43" i="29"/>
  <c r="BH43" i="29"/>
  <c r="BI27" i="29"/>
  <c r="BH27" i="29"/>
  <c r="AL53" i="29"/>
  <c r="BI42" i="29"/>
  <c r="BH42" i="29"/>
  <c r="BI26" i="29"/>
  <c r="BH26" i="29"/>
  <c r="AL50" i="29"/>
  <c r="AM17" i="29"/>
  <c r="AQ34" i="29"/>
  <c r="AS49" i="29"/>
  <c r="AX33" i="29"/>
  <c r="AJ20" i="29"/>
  <c r="AK20" i="29"/>
  <c r="AL20" i="29"/>
  <c r="AM20" i="29"/>
  <c r="AN20" i="29"/>
  <c r="AO20" i="29"/>
  <c r="AP20" i="29"/>
  <c r="AQ20" i="29"/>
  <c r="AR20" i="29"/>
  <c r="AS20" i="29"/>
  <c r="AT20" i="29"/>
  <c r="AU20" i="29"/>
  <c r="AV20" i="29"/>
  <c r="AW20" i="29"/>
  <c r="AX20" i="29"/>
  <c r="AY20" i="29"/>
  <c r="AZ20" i="29"/>
  <c r="BA20" i="29"/>
  <c r="BB20" i="29"/>
  <c r="AJ35" i="29"/>
  <c r="AJ19" i="29"/>
  <c r="AK35" i="29"/>
  <c r="AK19" i="29"/>
  <c r="AL35" i="29"/>
  <c r="AL19" i="29"/>
  <c r="AM35" i="29"/>
  <c r="AM19" i="29"/>
  <c r="AN35" i="29"/>
  <c r="AN19" i="29"/>
  <c r="AO35" i="29"/>
  <c r="AO19" i="29"/>
  <c r="AP35" i="29"/>
  <c r="AP19" i="29"/>
  <c r="AQ35" i="29"/>
  <c r="AQ19" i="29"/>
  <c r="AR35" i="29"/>
  <c r="AR19" i="29"/>
  <c r="AS35" i="29"/>
  <c r="AS19" i="29"/>
  <c r="AT35" i="29"/>
  <c r="AT19" i="29"/>
  <c r="AU35" i="29"/>
  <c r="AU19" i="29"/>
  <c r="AV35" i="29"/>
  <c r="AV19" i="29"/>
  <c r="AW35" i="29"/>
  <c r="AW19" i="29"/>
  <c r="AX35" i="29"/>
  <c r="AX19" i="29"/>
  <c r="AY35" i="29"/>
  <c r="AY19" i="29"/>
  <c r="AZ35" i="29"/>
  <c r="AZ19" i="29"/>
  <c r="BA35" i="29"/>
  <c r="BA19" i="29"/>
  <c r="BB35" i="29"/>
  <c r="BB19" i="29"/>
  <c r="AJ48" i="29"/>
  <c r="AJ32" i="29"/>
  <c r="AJ16" i="29"/>
  <c r="AK48" i="29"/>
  <c r="AK32" i="29"/>
  <c r="AK16" i="29"/>
  <c r="AL48" i="29"/>
  <c r="AL32" i="29"/>
  <c r="AL16" i="29"/>
  <c r="AM48" i="29"/>
  <c r="AM32" i="29"/>
  <c r="AM16" i="29"/>
  <c r="AN48" i="29"/>
  <c r="AN32" i="29"/>
  <c r="AN16" i="29"/>
  <c r="AO48" i="29"/>
  <c r="AO32" i="29"/>
  <c r="AO16" i="29"/>
  <c r="AP48" i="29"/>
  <c r="AP32" i="29"/>
  <c r="AP16" i="29"/>
  <c r="AQ48" i="29"/>
  <c r="AQ32" i="29"/>
  <c r="AQ16" i="29"/>
  <c r="AR48" i="29"/>
  <c r="AR32" i="29"/>
  <c r="AR16" i="29"/>
  <c r="AS48" i="29"/>
  <c r="AS32" i="29"/>
  <c r="AS16" i="29"/>
  <c r="AT48" i="29"/>
  <c r="AT32" i="29"/>
  <c r="AT16" i="29"/>
  <c r="AU48" i="29"/>
  <c r="AU32" i="29"/>
  <c r="AU16" i="29"/>
  <c r="AV48" i="29"/>
  <c r="AV32" i="29"/>
  <c r="AV16" i="29"/>
  <c r="AW48" i="29"/>
  <c r="AW32" i="29"/>
  <c r="AW16" i="29"/>
  <c r="AX48" i="29"/>
  <c r="AX32" i="29"/>
  <c r="AX16" i="29"/>
  <c r="AY48" i="29"/>
  <c r="AY32" i="29"/>
  <c r="AY16" i="29"/>
  <c r="AZ48" i="29"/>
  <c r="AZ32" i="29"/>
  <c r="AZ16" i="29"/>
  <c r="BA48" i="29"/>
  <c r="BA32" i="29"/>
  <c r="BA16" i="29"/>
  <c r="BB48" i="29"/>
  <c r="BB32" i="29"/>
  <c r="BB16" i="29"/>
  <c r="AJ47" i="29"/>
  <c r="AJ31" i="29"/>
  <c r="AJ15" i="29"/>
  <c r="AK47" i="29"/>
  <c r="AK31" i="29"/>
  <c r="AK15" i="29"/>
  <c r="AL47" i="29"/>
  <c r="AL31" i="29"/>
  <c r="AL15" i="29"/>
  <c r="AM47" i="29"/>
  <c r="AM31" i="29"/>
  <c r="AM15" i="29"/>
  <c r="AN47" i="29"/>
  <c r="AN31" i="29"/>
  <c r="AN15" i="29"/>
  <c r="AO47" i="29"/>
  <c r="AO31" i="29"/>
  <c r="AO15" i="29"/>
  <c r="AP47" i="29"/>
  <c r="AP31" i="29"/>
  <c r="AP15" i="29"/>
  <c r="AQ47" i="29"/>
  <c r="AQ31" i="29"/>
  <c r="AQ15" i="29"/>
  <c r="AR47" i="29"/>
  <c r="AR31" i="29"/>
  <c r="AR15" i="29"/>
  <c r="AS47" i="29"/>
  <c r="AS31" i="29"/>
  <c r="AS15" i="29"/>
  <c r="AT47" i="29"/>
  <c r="AT31" i="29"/>
  <c r="AT15" i="29"/>
  <c r="AU47" i="29"/>
  <c r="AU31" i="29"/>
  <c r="AU15" i="29"/>
  <c r="AV47" i="29"/>
  <c r="AV31" i="29"/>
  <c r="AV15" i="29"/>
  <c r="AW47" i="29"/>
  <c r="AW31" i="29"/>
  <c r="AW15" i="29"/>
  <c r="AX47" i="29"/>
  <c r="AX31" i="29"/>
  <c r="AX15" i="29"/>
  <c r="AY47" i="29"/>
  <c r="AY31" i="29"/>
  <c r="AY15" i="29"/>
  <c r="AZ47" i="29"/>
  <c r="AZ31" i="29"/>
  <c r="AZ15" i="29"/>
  <c r="BA47" i="29"/>
  <c r="BA31" i="29"/>
  <c r="BA15" i="29"/>
  <c r="BB47" i="29"/>
  <c r="BB31" i="29"/>
  <c r="BB15" i="29"/>
  <c r="AJ46" i="29"/>
  <c r="AJ30" i="29"/>
  <c r="AJ14" i="29"/>
  <c r="AK46" i="29"/>
  <c r="AK30" i="29"/>
  <c r="AK14" i="29"/>
  <c r="AL46" i="29"/>
  <c r="AL30" i="29"/>
  <c r="AL14" i="29"/>
  <c r="AM46" i="29"/>
  <c r="AM30" i="29"/>
  <c r="AM14" i="29"/>
  <c r="AN46" i="29"/>
  <c r="AN30" i="29"/>
  <c r="AN14" i="29"/>
  <c r="AO46" i="29"/>
  <c r="AO30" i="29"/>
  <c r="AO14" i="29"/>
  <c r="AP46" i="29"/>
  <c r="AP30" i="29"/>
  <c r="AP14" i="29"/>
  <c r="AQ46" i="29"/>
  <c r="AQ30" i="29"/>
  <c r="AQ14" i="29"/>
  <c r="AR46" i="29"/>
  <c r="AR30" i="29"/>
  <c r="AR14" i="29"/>
  <c r="AS46" i="29"/>
  <c r="AS30" i="29"/>
  <c r="AS14" i="29"/>
  <c r="AT46" i="29"/>
  <c r="AT30" i="29"/>
  <c r="AT14" i="29"/>
  <c r="AU46" i="29"/>
  <c r="AU30" i="29"/>
  <c r="AU14" i="29"/>
  <c r="AV46" i="29"/>
  <c r="AV30" i="29"/>
  <c r="AV14" i="29"/>
  <c r="AW46" i="29"/>
  <c r="AW30" i="29"/>
  <c r="AW14" i="29"/>
  <c r="AX46" i="29"/>
  <c r="AX30" i="29"/>
  <c r="AX14" i="29"/>
  <c r="AY46" i="29"/>
  <c r="AY30" i="29"/>
  <c r="AY14" i="29"/>
  <c r="AZ46" i="29"/>
  <c r="AZ30" i="29"/>
  <c r="AZ14" i="29"/>
  <c r="BA46" i="29"/>
  <c r="BA30" i="29"/>
  <c r="BA14" i="29"/>
  <c r="BB46" i="29"/>
  <c r="BB30" i="29"/>
  <c r="BB14" i="29"/>
  <c r="AJ45" i="29"/>
  <c r="AJ29" i="29"/>
  <c r="AK45" i="29"/>
  <c r="AK29" i="29"/>
  <c r="AL45" i="29"/>
  <c r="AL29" i="29"/>
  <c r="AM45" i="29"/>
  <c r="AM29" i="29"/>
  <c r="AN45" i="29"/>
  <c r="AN29" i="29"/>
  <c r="AO45" i="29"/>
  <c r="AO29" i="29"/>
  <c r="AP45" i="29"/>
  <c r="AP29" i="29"/>
  <c r="AQ45" i="29"/>
  <c r="AQ29" i="29"/>
  <c r="AR45" i="29"/>
  <c r="AR29" i="29"/>
  <c r="AS45" i="29"/>
  <c r="AS29" i="29"/>
  <c r="AT45" i="29"/>
  <c r="AT29" i="29"/>
  <c r="AU45" i="29"/>
  <c r="AU29" i="29"/>
  <c r="AV45" i="29"/>
  <c r="AV29" i="29"/>
  <c r="AW45" i="29"/>
  <c r="AW29" i="29"/>
  <c r="AX45" i="29"/>
  <c r="AX29" i="29"/>
  <c r="AY45" i="29"/>
  <c r="AY29" i="29"/>
  <c r="AZ45" i="29"/>
  <c r="AZ29" i="29"/>
  <c r="BA45" i="29"/>
  <c r="BA29" i="29"/>
  <c r="BB45" i="29"/>
  <c r="BB29" i="29"/>
  <c r="AJ44" i="29"/>
  <c r="AJ28" i="29"/>
  <c r="AK44" i="29"/>
  <c r="AK28" i="29"/>
  <c r="AL44" i="29"/>
  <c r="AL28" i="29"/>
  <c r="AM44" i="29"/>
  <c r="AM28" i="29"/>
  <c r="AN44" i="29"/>
  <c r="AN28" i="29"/>
  <c r="AO44" i="29"/>
  <c r="AO28" i="29"/>
  <c r="AP44" i="29"/>
  <c r="AP28" i="29"/>
  <c r="AQ44" i="29"/>
  <c r="AQ28" i="29"/>
  <c r="AR44" i="29"/>
  <c r="AR28" i="29"/>
  <c r="AS44" i="29"/>
  <c r="AS28" i="29"/>
  <c r="AT44" i="29"/>
  <c r="AT28" i="29"/>
  <c r="AU44" i="29"/>
  <c r="AU28" i="29"/>
  <c r="AV44" i="29"/>
  <c r="AV28" i="29"/>
  <c r="AW44" i="29"/>
  <c r="AW28" i="29"/>
  <c r="AX44" i="29"/>
  <c r="AX28" i="29"/>
  <c r="AY44" i="29"/>
  <c r="AY28" i="29"/>
  <c r="AZ44" i="29"/>
  <c r="AZ28" i="29"/>
  <c r="BA44" i="29"/>
  <c r="BA28" i="29"/>
  <c r="BB44" i="29"/>
  <c r="BB28" i="29"/>
  <c r="AJ43" i="29"/>
  <c r="AJ27" i="29"/>
  <c r="AK43" i="29"/>
  <c r="AK27" i="29"/>
  <c r="AL43" i="29"/>
  <c r="AL27" i="29"/>
  <c r="AM43" i="29"/>
  <c r="AM27" i="29"/>
  <c r="AN43" i="29"/>
  <c r="AN27" i="29"/>
  <c r="AO43" i="29"/>
  <c r="AO27" i="29"/>
  <c r="AP43" i="29"/>
  <c r="AP27" i="29"/>
  <c r="AQ43" i="29"/>
  <c r="AQ27" i="29"/>
  <c r="AR43" i="29"/>
  <c r="AR27" i="29"/>
  <c r="AS43" i="29"/>
  <c r="AS27" i="29"/>
  <c r="AT43" i="29"/>
  <c r="AT27" i="29"/>
  <c r="AU43" i="29"/>
  <c r="AU27" i="29"/>
  <c r="AV43" i="29"/>
  <c r="AV27" i="29"/>
  <c r="AW43" i="29"/>
  <c r="AW27" i="29"/>
  <c r="AX43" i="29"/>
  <c r="AX27" i="29"/>
  <c r="AY43" i="29"/>
  <c r="AY27" i="29"/>
  <c r="AZ43" i="29"/>
  <c r="AZ27" i="29"/>
  <c r="BA43" i="29"/>
  <c r="BA27" i="29"/>
  <c r="BB43" i="29"/>
  <c r="BB27" i="29"/>
  <c r="AJ42" i="29"/>
  <c r="AJ26" i="29"/>
  <c r="AK42" i="29"/>
  <c r="AK26" i="29"/>
  <c r="AL42" i="29"/>
  <c r="AL26" i="29"/>
  <c r="AM42" i="29"/>
  <c r="AM26" i="29"/>
  <c r="AN42" i="29"/>
  <c r="AN26" i="29"/>
  <c r="AO42" i="29"/>
  <c r="AO26" i="29"/>
  <c r="AP42" i="29"/>
  <c r="AP26" i="29"/>
  <c r="AQ42" i="29"/>
  <c r="AQ26" i="29"/>
  <c r="AR42" i="29"/>
  <c r="AR26" i="29"/>
  <c r="AS42" i="29"/>
  <c r="AS26" i="29"/>
  <c r="AT42" i="29"/>
  <c r="AT26" i="29"/>
  <c r="AU42" i="29"/>
  <c r="AU26" i="29"/>
  <c r="AV42" i="29"/>
  <c r="AV26" i="29"/>
  <c r="AW42" i="29"/>
  <c r="AW26" i="29"/>
  <c r="AX42" i="29"/>
  <c r="AX26" i="29"/>
  <c r="AY42" i="29"/>
  <c r="AY26" i="29"/>
  <c r="AZ42" i="29"/>
  <c r="AZ26" i="29"/>
  <c r="BA42" i="29"/>
  <c r="BA26" i="29"/>
  <c r="BB42" i="29"/>
  <c r="BB26" i="29"/>
  <c r="AJ41" i="29"/>
  <c r="AJ25" i="29"/>
  <c r="AK41" i="29"/>
  <c r="AK25" i="29"/>
  <c r="AL41" i="29"/>
  <c r="AL25" i="29"/>
  <c r="AM41" i="29"/>
  <c r="AM25" i="29"/>
  <c r="AN41" i="29"/>
  <c r="AN25" i="29"/>
  <c r="AO41" i="29"/>
  <c r="AO25" i="29"/>
  <c r="AP41" i="29"/>
  <c r="AP25" i="29"/>
  <c r="AQ41" i="29"/>
  <c r="AQ25" i="29"/>
  <c r="AR41" i="29"/>
  <c r="AR25" i="29"/>
  <c r="AS41" i="29"/>
  <c r="AS25" i="29"/>
  <c r="AT41" i="29"/>
  <c r="AT25" i="29"/>
  <c r="AU41" i="29"/>
  <c r="AU25" i="29"/>
  <c r="AV41" i="29"/>
  <c r="AV25" i="29"/>
  <c r="AW41" i="29"/>
  <c r="AW25" i="29"/>
  <c r="AX41" i="29"/>
  <c r="AX25" i="29"/>
  <c r="AY41" i="29"/>
  <c r="AY25" i="29"/>
  <c r="AZ41" i="29"/>
  <c r="AZ25" i="29"/>
  <c r="BA41" i="29"/>
  <c r="BA25" i="29"/>
  <c r="BB41" i="29"/>
  <c r="BB25" i="29"/>
  <c r="AJ40" i="29"/>
  <c r="AJ24" i="29"/>
  <c r="AK40" i="29"/>
  <c r="AK24" i="29"/>
  <c r="AL40" i="29"/>
  <c r="AL24" i="29"/>
  <c r="AM40" i="29"/>
  <c r="AM24" i="29"/>
  <c r="AN40" i="29"/>
  <c r="AN24" i="29"/>
  <c r="AO40" i="29"/>
  <c r="AO24" i="29"/>
  <c r="AP40" i="29"/>
  <c r="AP24" i="29"/>
  <c r="AQ40" i="29"/>
  <c r="AQ24" i="29"/>
  <c r="AR40" i="29"/>
  <c r="AR24" i="29"/>
  <c r="AS40" i="29"/>
  <c r="AS24" i="29"/>
  <c r="AT40" i="29"/>
  <c r="AT24" i="29"/>
  <c r="AU40" i="29"/>
  <c r="AU24" i="29"/>
  <c r="AV40" i="29"/>
  <c r="AV24" i="29"/>
  <c r="AW40" i="29"/>
  <c r="AW24" i="29"/>
  <c r="AX40" i="29"/>
  <c r="AX24" i="29"/>
  <c r="AY40" i="29"/>
  <c r="AY24" i="29"/>
  <c r="AZ40" i="29"/>
  <c r="AZ24" i="29"/>
  <c r="BA40" i="29"/>
  <c r="BA24" i="29"/>
  <c r="BB40" i="29"/>
  <c r="BB24" i="29"/>
  <c r="AJ39" i="29"/>
  <c r="AJ23" i="29"/>
  <c r="AK39" i="29"/>
  <c r="AK23" i="29"/>
  <c r="AL39" i="29"/>
  <c r="AL23" i="29"/>
  <c r="AM39" i="29"/>
  <c r="AM23" i="29"/>
  <c r="AN39" i="29"/>
  <c r="AN23" i="29"/>
  <c r="AO39" i="29"/>
  <c r="AO23" i="29"/>
  <c r="AP39" i="29"/>
  <c r="AP23" i="29"/>
  <c r="AQ39" i="29"/>
  <c r="AQ23" i="29"/>
  <c r="AR39" i="29"/>
  <c r="AR23" i="29"/>
  <c r="AS39" i="29"/>
  <c r="AS23" i="29"/>
  <c r="AT39" i="29"/>
  <c r="AT23" i="29"/>
  <c r="AU39" i="29"/>
  <c r="AU23" i="29"/>
  <c r="AV39" i="29"/>
  <c r="AV23" i="29"/>
  <c r="AW39" i="29"/>
  <c r="AW23" i="29"/>
  <c r="AX39" i="29"/>
  <c r="AX23" i="29"/>
  <c r="AY39" i="29"/>
  <c r="AY23" i="29"/>
  <c r="AZ39" i="29"/>
  <c r="AZ23" i="29"/>
  <c r="BA39" i="29"/>
  <c r="BA23" i="29"/>
  <c r="BB39" i="29"/>
  <c r="BB23" i="29"/>
  <c r="AJ38" i="29"/>
  <c r="AJ22" i="29"/>
  <c r="AK38" i="29"/>
  <c r="AK22" i="29"/>
  <c r="AL38" i="29"/>
  <c r="AL22" i="29"/>
  <c r="AM38" i="29"/>
  <c r="AM22" i="29"/>
  <c r="AN38" i="29"/>
  <c r="AN22" i="29"/>
  <c r="AO38" i="29"/>
  <c r="AO22" i="29"/>
  <c r="AP38" i="29"/>
  <c r="AP22" i="29"/>
  <c r="AQ38" i="29"/>
  <c r="AQ22" i="29"/>
  <c r="AR38" i="29"/>
  <c r="AR22" i="29"/>
  <c r="AS38" i="29"/>
  <c r="AS22" i="29"/>
  <c r="AT38" i="29"/>
  <c r="AT22" i="29"/>
  <c r="AU38" i="29"/>
  <c r="AU22" i="29"/>
  <c r="AV38" i="29"/>
  <c r="AV22" i="29"/>
  <c r="AW38" i="29"/>
  <c r="AW22" i="29"/>
  <c r="AX38" i="29"/>
  <c r="AX22" i="29"/>
  <c r="AY38" i="29"/>
  <c r="AY22" i="29"/>
  <c r="AZ38" i="29"/>
  <c r="AZ22" i="29"/>
  <c r="BA38" i="29"/>
  <c r="BA22" i="29"/>
  <c r="BB38" i="29"/>
  <c r="BB22" i="29"/>
  <c r="U41" i="33"/>
  <c r="W34" i="33"/>
  <c r="BG25" i="29" l="1"/>
  <c r="BI25" i="29" s="1"/>
  <c r="BG23" i="29"/>
  <c r="BH23" i="29" s="1"/>
  <c r="BG24" i="29"/>
  <c r="BI24" i="29"/>
  <c r="BH24" i="29"/>
  <c r="BG15" i="29"/>
  <c r="BH15" i="29" s="1"/>
  <c r="BG17" i="29"/>
  <c r="BH17" i="29" s="1"/>
  <c r="BG19" i="29"/>
  <c r="BI19" i="29" s="1"/>
  <c r="BG21" i="29"/>
  <c r="BI21" i="29" s="1"/>
  <c r="BG20" i="29"/>
  <c r="BH20" i="29" s="1"/>
  <c r="BG18" i="29"/>
  <c r="BI18" i="29" s="1"/>
  <c r="BG22" i="29"/>
  <c r="BH22" i="29" s="1"/>
  <c r="BG16" i="29"/>
  <c r="BI16" i="29" s="1"/>
  <c r="BG14" i="29"/>
  <c r="BI14" i="29" s="1"/>
  <c r="BI33" i="29"/>
  <c r="BH33" i="29"/>
  <c r="BI36" i="29"/>
  <c r="BH36" i="29"/>
  <c r="BI37" i="29"/>
  <c r="BH37" i="29"/>
  <c r="BI53" i="29"/>
  <c r="BH53" i="29"/>
  <c r="BI52" i="29"/>
  <c r="BH52" i="29"/>
  <c r="BI34" i="29"/>
  <c r="BH34" i="29"/>
  <c r="BI51" i="29"/>
  <c r="BH51" i="29"/>
  <c r="BI49" i="29"/>
  <c r="BH49" i="29"/>
  <c r="BI23" i="29" l="1"/>
  <c r="BH25" i="29"/>
  <c r="BI20" i="29"/>
  <c r="BI17" i="29"/>
  <c r="BH19" i="29"/>
  <c r="BI22" i="29"/>
  <c r="BI15" i="29"/>
  <c r="BH21" i="29"/>
  <c r="BH18" i="29"/>
  <c r="BH16" i="29"/>
  <c r="BH14" i="29"/>
  <c r="J73" i="26"/>
  <c r="I73" i="26"/>
  <c r="C4" i="2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N23" i="18"/>
  <c r="D27" i="14" l="1"/>
  <c r="R54" i="12" l="1"/>
  <c r="H72" i="30"/>
  <c r="H72" i="13"/>
  <c r="T11" i="32"/>
  <c r="N86" i="33"/>
  <c r="N43" i="33"/>
  <c r="L84" i="32"/>
  <c r="M84" i="32"/>
  <c r="H72" i="10"/>
  <c r="H81" i="23" s="1"/>
  <c r="J81" i="23" s="1"/>
  <c r="J200" i="23"/>
  <c r="J199" i="23"/>
  <c r="J198" i="23"/>
  <c r="J197" i="23"/>
  <c r="J196" i="23"/>
  <c r="J195" i="23"/>
  <c r="J194" i="23"/>
  <c r="J193" i="23"/>
  <c r="J192" i="23"/>
  <c r="J191" i="23"/>
  <c r="J189" i="23"/>
  <c r="J188" i="23"/>
  <c r="J187" i="23"/>
  <c r="J186" i="23"/>
  <c r="J185" i="23"/>
  <c r="J184" i="23"/>
  <c r="J183" i="23"/>
  <c r="J182" i="23"/>
  <c r="H85" i="23"/>
  <c r="J85" i="23" s="1"/>
  <c r="G79" i="23"/>
  <c r="Q50" i="23" s="1"/>
  <c r="J100" i="23"/>
  <c r="J99" i="23"/>
  <c r="J98" i="23"/>
  <c r="J97" i="23"/>
  <c r="J96" i="23"/>
  <c r="J95" i="23"/>
  <c r="J94" i="23"/>
  <c r="J92" i="23"/>
  <c r="H89" i="23"/>
  <c r="J89" i="23" s="1"/>
  <c r="J88" i="23"/>
  <c r="J86" i="23"/>
  <c r="J84" i="23"/>
  <c r="J82" i="23"/>
  <c r="H72" i="14"/>
  <c r="K72" i="26"/>
  <c r="H83" i="23" s="1"/>
  <c r="J83" i="23" s="1"/>
  <c r="H72" i="26"/>
  <c r="P71" i="29"/>
  <c r="H181" i="23" s="1"/>
  <c r="H201" i="23" s="1"/>
  <c r="U50" i="23" s="1"/>
  <c r="J71" i="29"/>
  <c r="G179" i="23" l="1"/>
  <c r="J181" i="23"/>
  <c r="J201" i="23" s="1"/>
  <c r="AB54" i="29" l="1"/>
  <c r="E54" i="29"/>
  <c r="F54" i="29"/>
  <c r="G54" i="29"/>
  <c r="H54" i="29"/>
  <c r="I54" i="29"/>
  <c r="J54" i="29"/>
  <c r="K54" i="29"/>
  <c r="L54" i="29"/>
  <c r="M54" i="29"/>
  <c r="N54" i="29"/>
  <c r="O54" i="29"/>
  <c r="P54" i="29"/>
  <c r="Q54" i="29"/>
  <c r="R54" i="29"/>
  <c r="S54" i="29"/>
  <c r="T54" i="29"/>
  <c r="U54" i="29"/>
  <c r="V54" i="29"/>
  <c r="C81" i="23" l="1"/>
  <c r="M57" i="23"/>
  <c r="H57" i="23"/>
  <c r="C57" i="23"/>
  <c r="M32" i="23"/>
  <c r="F18" i="1" l="1"/>
  <c r="E18" i="1"/>
  <c r="D18" i="1"/>
  <c r="AC28" i="29"/>
  <c r="AC29" i="29"/>
  <c r="AC30" i="29"/>
  <c r="AC31" i="29"/>
  <c r="AC32" i="29"/>
  <c r="AC33" i="29"/>
  <c r="AC34" i="29"/>
  <c r="AC35" i="29"/>
  <c r="AC36" i="29"/>
  <c r="AC37" i="29"/>
  <c r="AC38" i="29"/>
  <c r="AC39" i="29"/>
  <c r="AC40" i="29"/>
  <c r="AC41" i="29"/>
  <c r="AC42" i="29"/>
  <c r="AC43" i="29"/>
  <c r="AC44" i="29"/>
  <c r="AC45" i="29"/>
  <c r="AE45" i="29" s="1"/>
  <c r="AC46" i="29"/>
  <c r="AC47" i="29"/>
  <c r="AC48" i="29"/>
  <c r="AE48" i="29" s="1"/>
  <c r="AC49" i="29"/>
  <c r="AC50" i="29"/>
  <c r="AC51" i="29"/>
  <c r="AC52" i="29"/>
  <c r="AC53" i="29"/>
  <c r="J61" i="29"/>
  <c r="P61" i="29"/>
  <c r="J62" i="29"/>
  <c r="P62" i="29"/>
  <c r="J63" i="29"/>
  <c r="P63" i="29"/>
  <c r="J64" i="29"/>
  <c r="P64" i="29"/>
  <c r="J65" i="29"/>
  <c r="P65" i="29"/>
  <c r="J66" i="29"/>
  <c r="P66" i="29"/>
  <c r="J67" i="29"/>
  <c r="P67" i="29"/>
  <c r="J68" i="29"/>
  <c r="P68" i="29"/>
  <c r="J69" i="29"/>
  <c r="P69" i="29"/>
  <c r="J70" i="29"/>
  <c r="P70" i="29"/>
  <c r="K72" i="29"/>
  <c r="L72" i="29"/>
  <c r="M72" i="29"/>
  <c r="N72" i="29"/>
  <c r="O72" i="29"/>
  <c r="P72" i="29" l="1"/>
  <c r="V61" i="29" s="1"/>
  <c r="K69" i="26"/>
  <c r="K68" i="26"/>
  <c r="AZ54" i="28" l="1"/>
  <c r="BC6" i="28" l="1"/>
  <c r="BC7" i="28"/>
  <c r="BC8" i="28"/>
  <c r="BC9" i="28"/>
  <c r="BC10" i="28"/>
  <c r="BC11" i="28"/>
  <c r="BC12" i="28"/>
  <c r="BC13" i="28"/>
  <c r="BC14" i="28"/>
  <c r="BC15" i="28"/>
  <c r="BC16" i="28"/>
  <c r="BC17" i="28"/>
  <c r="BC18" i="28"/>
  <c r="BC19" i="28"/>
  <c r="BC20" i="28"/>
  <c r="BC21" i="28"/>
  <c r="BC22" i="28"/>
  <c r="BC23" i="28"/>
  <c r="BC24" i="28"/>
  <c r="BC25" i="28"/>
  <c r="BC26" i="28"/>
  <c r="BC27" i="28"/>
  <c r="BC28" i="28"/>
  <c r="BC29" i="28"/>
  <c r="BC30" i="28"/>
  <c r="BC31" i="28"/>
  <c r="BC32" i="28"/>
  <c r="BC33" i="28"/>
  <c r="BC34" i="28"/>
  <c r="BC35" i="28"/>
  <c r="BC36" i="28"/>
  <c r="BC37" i="28"/>
  <c r="BC38" i="28"/>
  <c r="BC39" i="28"/>
  <c r="BC40" i="28"/>
  <c r="BC41" i="28"/>
  <c r="BC42" i="28"/>
  <c r="BC43" i="28"/>
  <c r="BC44" i="28"/>
  <c r="BC45" i="28"/>
  <c r="BC46" i="28"/>
  <c r="BC47" i="28"/>
  <c r="BC48" i="28"/>
  <c r="BC49" i="28"/>
  <c r="BC50" i="28"/>
  <c r="BC51" i="28"/>
  <c r="BC52" i="28"/>
  <c r="C39" i="10" l="1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U54" i="14" l="1"/>
  <c r="X54" i="13"/>
  <c r="W54" i="13"/>
  <c r="V54" i="13"/>
  <c r="U54" i="13"/>
  <c r="T54" i="13"/>
  <c r="S54" i="13"/>
  <c r="R54" i="13"/>
  <c r="AA54" i="14"/>
  <c r="Z54" i="14"/>
  <c r="Y54" i="14"/>
  <c r="X54" i="14"/>
  <c r="W54" i="14"/>
  <c r="V54" i="14"/>
  <c r="T54" i="14"/>
  <c r="S54" i="14"/>
  <c r="R54" i="14"/>
  <c r="Q54" i="14"/>
  <c r="P54" i="14"/>
  <c r="O54" i="14"/>
  <c r="N54" i="14"/>
  <c r="M54" i="14"/>
  <c r="L54" i="14"/>
  <c r="K54" i="14"/>
  <c r="J54" i="14"/>
  <c r="I54" i="14"/>
  <c r="H54" i="14"/>
  <c r="G54" i="14"/>
  <c r="F54" i="14"/>
  <c r="E54" i="14"/>
  <c r="Y32" i="13"/>
  <c r="AA32" i="13" s="1"/>
  <c r="Y33" i="13"/>
  <c r="AA33" i="13" s="1"/>
  <c r="Y34" i="13"/>
  <c r="AA34" i="13" s="1"/>
  <c r="Y35" i="13"/>
  <c r="AA35" i="13" s="1"/>
  <c r="Y36" i="13"/>
  <c r="AA36" i="13" s="1"/>
  <c r="Y37" i="13"/>
  <c r="AA37" i="13" s="1"/>
  <c r="Y38" i="13"/>
  <c r="AA38" i="13" s="1"/>
  <c r="Y39" i="13"/>
  <c r="Z39" i="13" s="1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Y33" i="10"/>
  <c r="Z33" i="10"/>
  <c r="AA33" i="10"/>
  <c r="AB33" i="10"/>
  <c r="AC33" i="10"/>
  <c r="AD33" i="10"/>
  <c r="AE33" i="10"/>
  <c r="AF33" i="10"/>
  <c r="AG33" i="10"/>
  <c r="AH33" i="10"/>
  <c r="AI33" i="10"/>
  <c r="AJ33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Y35" i="10"/>
  <c r="Z35" i="10"/>
  <c r="AA35" i="10"/>
  <c r="AB35" i="10"/>
  <c r="AC35" i="10"/>
  <c r="AD35" i="10"/>
  <c r="AE35" i="10"/>
  <c r="AF35" i="10"/>
  <c r="AG35" i="10"/>
  <c r="AH35" i="10"/>
  <c r="AI35" i="10"/>
  <c r="AJ35" i="10"/>
  <c r="Y36" i="10"/>
  <c r="Z36" i="10"/>
  <c r="AA36" i="10"/>
  <c r="AB36" i="10"/>
  <c r="AC36" i="10"/>
  <c r="AD36" i="10"/>
  <c r="AE36" i="10"/>
  <c r="AF36" i="10"/>
  <c r="AG36" i="10"/>
  <c r="AH36" i="10"/>
  <c r="AI36" i="10"/>
  <c r="AJ36" i="10"/>
  <c r="Y37" i="10"/>
  <c r="Z37" i="10"/>
  <c r="AA37" i="10"/>
  <c r="AB37" i="10"/>
  <c r="AC37" i="10"/>
  <c r="AD37" i="10"/>
  <c r="AE37" i="10"/>
  <c r="AF37" i="10"/>
  <c r="AG37" i="10"/>
  <c r="AH37" i="10"/>
  <c r="AI37" i="10"/>
  <c r="AJ37" i="10"/>
  <c r="Y38" i="10"/>
  <c r="Z38" i="10"/>
  <c r="AA38" i="10"/>
  <c r="AB38" i="10"/>
  <c r="AC38" i="10"/>
  <c r="AD38" i="10"/>
  <c r="AE38" i="10"/>
  <c r="AF38" i="10"/>
  <c r="AG38" i="10"/>
  <c r="AH38" i="10"/>
  <c r="AI38" i="10"/>
  <c r="AJ38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Y41" i="10"/>
  <c r="Z41" i="10"/>
  <c r="AA41" i="10"/>
  <c r="AB41" i="10"/>
  <c r="AC41" i="10"/>
  <c r="AD41" i="10"/>
  <c r="AE41" i="10"/>
  <c r="AF41" i="10"/>
  <c r="AG41" i="10"/>
  <c r="AH41" i="10"/>
  <c r="AI41" i="10"/>
  <c r="AJ41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Y44" i="10"/>
  <c r="Z44" i="10"/>
  <c r="AA44" i="10"/>
  <c r="AB44" i="10"/>
  <c r="AC44" i="10"/>
  <c r="AD44" i="10"/>
  <c r="AE44" i="10"/>
  <c r="AF44" i="10"/>
  <c r="AG44" i="10"/>
  <c r="AH44" i="10"/>
  <c r="AI44" i="10"/>
  <c r="AJ44" i="10"/>
  <c r="Y45" i="10"/>
  <c r="Z45" i="10"/>
  <c r="AA45" i="10"/>
  <c r="AB45" i="10"/>
  <c r="AC45" i="10"/>
  <c r="AD45" i="10"/>
  <c r="AE45" i="10"/>
  <c r="AF45" i="10"/>
  <c r="AG45" i="10"/>
  <c r="AH45" i="10"/>
  <c r="AI45" i="10"/>
  <c r="AJ45" i="10"/>
  <c r="Y46" i="10"/>
  <c r="Z46" i="10"/>
  <c r="AA46" i="10"/>
  <c r="AB46" i="10"/>
  <c r="AC46" i="10"/>
  <c r="AD46" i="10"/>
  <c r="AE46" i="10"/>
  <c r="AF46" i="10"/>
  <c r="AG46" i="10"/>
  <c r="AH46" i="10"/>
  <c r="AI46" i="10"/>
  <c r="AJ46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Y48" i="10"/>
  <c r="Z48" i="10"/>
  <c r="AA48" i="10"/>
  <c r="AB48" i="10"/>
  <c r="AC48" i="10"/>
  <c r="AD48" i="10"/>
  <c r="AE48" i="10"/>
  <c r="AF48" i="10"/>
  <c r="AG48" i="10"/>
  <c r="AH48" i="10"/>
  <c r="AI48" i="10"/>
  <c r="AJ48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Y51" i="10"/>
  <c r="Z51" i="10"/>
  <c r="AA51" i="10"/>
  <c r="AB51" i="10"/>
  <c r="AC51" i="10"/>
  <c r="AD51" i="10"/>
  <c r="AE51" i="10"/>
  <c r="AF51" i="10"/>
  <c r="AG51" i="10"/>
  <c r="AH51" i="10"/>
  <c r="AI51" i="10"/>
  <c r="AJ51" i="10"/>
  <c r="Y52" i="10"/>
  <c r="Z52" i="10"/>
  <c r="AA52" i="10"/>
  <c r="AB52" i="10"/>
  <c r="AC52" i="10"/>
  <c r="AD52" i="10"/>
  <c r="AE52" i="10"/>
  <c r="AF52" i="10"/>
  <c r="AG52" i="10"/>
  <c r="AH52" i="10"/>
  <c r="AI52" i="10"/>
  <c r="AJ52" i="10"/>
  <c r="Y53" i="10"/>
  <c r="Z53" i="10"/>
  <c r="AA53" i="10"/>
  <c r="AB53" i="10"/>
  <c r="AC53" i="10"/>
  <c r="AD53" i="10"/>
  <c r="AE53" i="10"/>
  <c r="AF53" i="10"/>
  <c r="AG53" i="10"/>
  <c r="AH53" i="10"/>
  <c r="AI53" i="10"/>
  <c r="AJ53" i="10"/>
  <c r="Y32" i="12"/>
  <c r="AA32" i="12" s="1"/>
  <c r="Y33" i="12"/>
  <c r="AA33" i="12" s="1"/>
  <c r="Y34" i="12"/>
  <c r="AA34" i="12" s="1"/>
  <c r="Y35" i="12"/>
  <c r="AA35" i="12" s="1"/>
  <c r="Y36" i="12"/>
  <c r="AA36" i="12" s="1"/>
  <c r="Y37" i="12"/>
  <c r="AA37" i="12" s="1"/>
  <c r="Y38" i="12"/>
  <c r="AA38" i="12" s="1"/>
  <c r="Y39" i="12"/>
  <c r="Z39" i="12" s="1"/>
  <c r="Y31" i="12"/>
  <c r="CG30" i="9" a="1"/>
  <c r="CG30" i="9" s="1"/>
  <c r="EG30" i="9" s="1"/>
  <c r="CG29" i="9" a="1"/>
  <c r="CG29" i="9" s="1"/>
  <c r="DR29" i="9" s="1"/>
  <c r="CG28" i="9" a="1"/>
  <c r="CG28" i="9" s="1"/>
  <c r="DS28" i="9" s="1"/>
  <c r="CG27" i="9" a="1"/>
  <c r="CG27" i="9" s="1"/>
  <c r="EG27" i="9" s="1"/>
  <c r="C38" i="9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Z38" i="13" l="1"/>
  <c r="Z37" i="13"/>
  <c r="Z36" i="13"/>
  <c r="Z35" i="13"/>
  <c r="Z34" i="13"/>
  <c r="Z33" i="13"/>
  <c r="Z32" i="13"/>
  <c r="AA39" i="13"/>
  <c r="FH27" i="9"/>
  <c r="FI28" i="9"/>
  <c r="FJ28" i="9"/>
  <c r="FH29" i="9"/>
  <c r="FI29" i="9"/>
  <c r="FJ29" i="9"/>
  <c r="FH30" i="9"/>
  <c r="FI30" i="9"/>
  <c r="FJ30" i="9"/>
  <c r="FI27" i="9"/>
  <c r="FJ27" i="9"/>
  <c r="FH28" i="9"/>
  <c r="Z36" i="12"/>
  <c r="Z35" i="12"/>
  <c r="Z34" i="12"/>
  <c r="Z33" i="12"/>
  <c r="Z38" i="12"/>
  <c r="Z32" i="12"/>
  <c r="Z37" i="12"/>
  <c r="AA39" i="12"/>
  <c r="CS28" i="9"/>
  <c r="CR29" i="9"/>
  <c r="DF29" i="9"/>
  <c r="DL29" i="9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AC37" i="16"/>
  <c r="AC36" i="16"/>
  <c r="M63" i="1"/>
  <c r="T10" i="69" l="1"/>
  <c r="U9" i="69"/>
  <c r="W33" i="33"/>
  <c r="M24" i="1" l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4" i="1"/>
  <c r="M65" i="1"/>
  <c r="W54" i="28" l="1"/>
  <c r="H71" i="10" l="1"/>
  <c r="H70" i="10"/>
  <c r="H69" i="10"/>
  <c r="H68" i="10"/>
  <c r="H67" i="10"/>
  <c r="H66" i="10"/>
  <c r="H32" i="23" s="1"/>
  <c r="H65" i="10"/>
  <c r="C32" i="23" s="1"/>
  <c r="H64" i="10"/>
  <c r="M8" i="23" s="1"/>
  <c r="H63" i="10"/>
  <c r="H62" i="10"/>
  <c r="C8" i="23" s="1"/>
  <c r="G73" i="10"/>
  <c r="C181" i="23" l="1"/>
  <c r="M156" i="23"/>
  <c r="H156" i="23"/>
  <c r="C156" i="23"/>
  <c r="M132" i="23"/>
  <c r="H132" i="23"/>
  <c r="C132" i="23"/>
  <c r="C108" i="23"/>
  <c r="H108" i="23"/>
  <c r="M108" i="23"/>
  <c r="AC35" i="30" l="1"/>
  <c r="AD35" i="30"/>
  <c r="AE35" i="30"/>
  <c r="AF35" i="30"/>
  <c r="AG35" i="30"/>
  <c r="AH35" i="30"/>
  <c r="AI35" i="30"/>
  <c r="AJ35" i="30"/>
  <c r="AK35" i="30"/>
  <c r="AL35" i="30"/>
  <c r="AM35" i="30"/>
  <c r="AN35" i="30"/>
  <c r="AO35" i="30"/>
  <c r="AP35" i="30"/>
  <c r="AQ35" i="30"/>
  <c r="AR35" i="30"/>
  <c r="AS35" i="30"/>
  <c r="AT35" i="30"/>
  <c r="AU35" i="30"/>
  <c r="AC36" i="30"/>
  <c r="AD36" i="30"/>
  <c r="AE36" i="30"/>
  <c r="AF36" i="30"/>
  <c r="AG36" i="30"/>
  <c r="AH36" i="30"/>
  <c r="AI36" i="30"/>
  <c r="AJ36" i="30"/>
  <c r="AK36" i="30"/>
  <c r="AL36" i="30"/>
  <c r="AM36" i="30"/>
  <c r="AN36" i="30"/>
  <c r="AO36" i="30"/>
  <c r="AP36" i="30"/>
  <c r="AQ36" i="30"/>
  <c r="AR36" i="30"/>
  <c r="AS36" i="30"/>
  <c r="AT36" i="30"/>
  <c r="AU36" i="30"/>
  <c r="AC37" i="30"/>
  <c r="AD37" i="30"/>
  <c r="AE37" i="30"/>
  <c r="AF37" i="30"/>
  <c r="AG37" i="30"/>
  <c r="AH37" i="30"/>
  <c r="AI37" i="30"/>
  <c r="AJ37" i="30"/>
  <c r="AK37" i="30"/>
  <c r="AL37" i="30"/>
  <c r="AM37" i="30"/>
  <c r="AN37" i="30"/>
  <c r="AO37" i="30"/>
  <c r="AP37" i="30"/>
  <c r="AQ37" i="30"/>
  <c r="AR37" i="30"/>
  <c r="AS37" i="30"/>
  <c r="AT37" i="30"/>
  <c r="AU37" i="30"/>
  <c r="AC38" i="30"/>
  <c r="AD38" i="30"/>
  <c r="AE38" i="30"/>
  <c r="AF38" i="30"/>
  <c r="AG38" i="30"/>
  <c r="AH38" i="30"/>
  <c r="AI38" i="30"/>
  <c r="AJ38" i="30"/>
  <c r="AK38" i="30"/>
  <c r="AL38" i="30"/>
  <c r="AM38" i="30"/>
  <c r="AN38" i="30"/>
  <c r="AO38" i="30"/>
  <c r="AP38" i="30"/>
  <c r="AQ38" i="30"/>
  <c r="AR38" i="30"/>
  <c r="AS38" i="30"/>
  <c r="AT38" i="30"/>
  <c r="AU38" i="30"/>
  <c r="AC39" i="30"/>
  <c r="AD39" i="30"/>
  <c r="AE39" i="30"/>
  <c r="AF39" i="30"/>
  <c r="AG39" i="30"/>
  <c r="AH39" i="30"/>
  <c r="AI39" i="30"/>
  <c r="AJ39" i="30"/>
  <c r="AK39" i="30"/>
  <c r="AL39" i="30"/>
  <c r="AM39" i="30"/>
  <c r="AN39" i="30"/>
  <c r="AO39" i="30"/>
  <c r="AP39" i="30"/>
  <c r="AQ39" i="30"/>
  <c r="AR39" i="30"/>
  <c r="AS39" i="30"/>
  <c r="AT39" i="30"/>
  <c r="AU39" i="30"/>
  <c r="AC40" i="30"/>
  <c r="AD40" i="30"/>
  <c r="AE40" i="30"/>
  <c r="AF40" i="30"/>
  <c r="AG40" i="30"/>
  <c r="AH40" i="30"/>
  <c r="AI40" i="30"/>
  <c r="AJ40" i="30"/>
  <c r="AK40" i="30"/>
  <c r="AL40" i="30"/>
  <c r="AM40" i="30"/>
  <c r="AN40" i="30"/>
  <c r="AO40" i="30"/>
  <c r="AP40" i="30"/>
  <c r="AQ40" i="30"/>
  <c r="AR40" i="30"/>
  <c r="AS40" i="30"/>
  <c r="AT40" i="30"/>
  <c r="AU40" i="30"/>
  <c r="AC41" i="30"/>
  <c r="AD41" i="30"/>
  <c r="AE41" i="30"/>
  <c r="AF41" i="30"/>
  <c r="AG41" i="30"/>
  <c r="AH41" i="30"/>
  <c r="AI41" i="30"/>
  <c r="AJ41" i="30"/>
  <c r="AK41" i="30"/>
  <c r="AL41" i="30"/>
  <c r="AM41" i="30"/>
  <c r="AN41" i="30"/>
  <c r="AO41" i="30"/>
  <c r="AP41" i="30"/>
  <c r="AQ41" i="30"/>
  <c r="AR41" i="30"/>
  <c r="AS41" i="30"/>
  <c r="AT41" i="30"/>
  <c r="AU41" i="30"/>
  <c r="AC42" i="30"/>
  <c r="AD42" i="30"/>
  <c r="AE42" i="30"/>
  <c r="AF42" i="30"/>
  <c r="AG42" i="30"/>
  <c r="AH42" i="30"/>
  <c r="AI42" i="30"/>
  <c r="AJ42" i="30"/>
  <c r="AK42" i="30"/>
  <c r="AL42" i="30"/>
  <c r="AM42" i="30"/>
  <c r="AN42" i="30"/>
  <c r="AO42" i="30"/>
  <c r="AP42" i="30"/>
  <c r="AQ42" i="30"/>
  <c r="AR42" i="30"/>
  <c r="AS42" i="30"/>
  <c r="AT42" i="30"/>
  <c r="AU42" i="30"/>
  <c r="AC43" i="30"/>
  <c r="AD43" i="30"/>
  <c r="AE43" i="30"/>
  <c r="AF43" i="30"/>
  <c r="AG43" i="30"/>
  <c r="AH43" i="30"/>
  <c r="AI43" i="30"/>
  <c r="AJ43" i="30"/>
  <c r="AK43" i="30"/>
  <c r="AL43" i="30"/>
  <c r="AM43" i="30"/>
  <c r="AN43" i="30"/>
  <c r="AO43" i="30"/>
  <c r="AP43" i="30"/>
  <c r="AQ43" i="30"/>
  <c r="AR43" i="30"/>
  <c r="AS43" i="30"/>
  <c r="AT43" i="30"/>
  <c r="AU43" i="30"/>
  <c r="AC44" i="30"/>
  <c r="AD44" i="30"/>
  <c r="AE44" i="30"/>
  <c r="AF44" i="30"/>
  <c r="AG44" i="30"/>
  <c r="AH44" i="30"/>
  <c r="AI44" i="30"/>
  <c r="AJ44" i="30"/>
  <c r="AK44" i="30"/>
  <c r="AL44" i="30"/>
  <c r="AM44" i="30"/>
  <c r="AN44" i="30"/>
  <c r="AO44" i="30"/>
  <c r="AP44" i="30"/>
  <c r="AQ44" i="30"/>
  <c r="AR44" i="30"/>
  <c r="AS44" i="30"/>
  <c r="AT44" i="30"/>
  <c r="AU44" i="30"/>
  <c r="AC45" i="30"/>
  <c r="AD45" i="30"/>
  <c r="AE45" i="30"/>
  <c r="AF45" i="30"/>
  <c r="AG45" i="30"/>
  <c r="AH45" i="30"/>
  <c r="AI45" i="30"/>
  <c r="AJ45" i="30"/>
  <c r="AK45" i="30"/>
  <c r="AL45" i="30"/>
  <c r="AM45" i="30"/>
  <c r="AN45" i="30"/>
  <c r="AO45" i="30"/>
  <c r="AP45" i="30"/>
  <c r="AQ45" i="30"/>
  <c r="AR45" i="30"/>
  <c r="AS45" i="30"/>
  <c r="AT45" i="30"/>
  <c r="AU45" i="30"/>
  <c r="AC46" i="30"/>
  <c r="AD46" i="30"/>
  <c r="AE46" i="30"/>
  <c r="AF46" i="30"/>
  <c r="AG46" i="30"/>
  <c r="AH46" i="30"/>
  <c r="AI46" i="30"/>
  <c r="AJ46" i="30"/>
  <c r="AK46" i="30"/>
  <c r="AL46" i="30"/>
  <c r="AM46" i="30"/>
  <c r="AN46" i="30"/>
  <c r="AO46" i="30"/>
  <c r="AP46" i="30"/>
  <c r="AQ46" i="30"/>
  <c r="AR46" i="30"/>
  <c r="AS46" i="30"/>
  <c r="AT46" i="30"/>
  <c r="AU46" i="30"/>
  <c r="AC47" i="30"/>
  <c r="AD47" i="30"/>
  <c r="AE47" i="30"/>
  <c r="AF47" i="30"/>
  <c r="AG47" i="30"/>
  <c r="AH47" i="30"/>
  <c r="AI47" i="30"/>
  <c r="AJ47" i="30"/>
  <c r="AK47" i="30"/>
  <c r="AL47" i="30"/>
  <c r="AM47" i="30"/>
  <c r="AN47" i="30"/>
  <c r="AO47" i="30"/>
  <c r="AP47" i="30"/>
  <c r="AQ47" i="30"/>
  <c r="AR47" i="30"/>
  <c r="AS47" i="30"/>
  <c r="AT47" i="30"/>
  <c r="AU47" i="30"/>
  <c r="AC48" i="30"/>
  <c r="AD48" i="30"/>
  <c r="AE48" i="30"/>
  <c r="AF48" i="30"/>
  <c r="AG48" i="30"/>
  <c r="AH48" i="30"/>
  <c r="AI48" i="30"/>
  <c r="AJ48" i="30"/>
  <c r="AK48" i="30"/>
  <c r="AL48" i="30"/>
  <c r="AM48" i="30"/>
  <c r="AN48" i="30"/>
  <c r="AO48" i="30"/>
  <c r="AP48" i="30"/>
  <c r="AQ48" i="30"/>
  <c r="AR48" i="30"/>
  <c r="AS48" i="30"/>
  <c r="AT48" i="30"/>
  <c r="AU48" i="30"/>
  <c r="AC49" i="30"/>
  <c r="AD49" i="30"/>
  <c r="AE49" i="30"/>
  <c r="AF49" i="30"/>
  <c r="AG49" i="30"/>
  <c r="AH49" i="30"/>
  <c r="AI49" i="30"/>
  <c r="AJ49" i="30"/>
  <c r="AK49" i="30"/>
  <c r="AL49" i="30"/>
  <c r="AM49" i="30"/>
  <c r="AN49" i="30"/>
  <c r="AO49" i="30"/>
  <c r="AP49" i="30"/>
  <c r="AQ49" i="30"/>
  <c r="AR49" i="30"/>
  <c r="AS49" i="30"/>
  <c r="AT49" i="30"/>
  <c r="AU49" i="30"/>
  <c r="AC50" i="30"/>
  <c r="AD50" i="30"/>
  <c r="AE50" i="30"/>
  <c r="AF50" i="30"/>
  <c r="AG50" i="30"/>
  <c r="AH50" i="30"/>
  <c r="AI50" i="30"/>
  <c r="AJ50" i="30"/>
  <c r="AK50" i="30"/>
  <c r="AL50" i="30"/>
  <c r="AM50" i="30"/>
  <c r="AN50" i="30"/>
  <c r="AO50" i="30"/>
  <c r="AP50" i="30"/>
  <c r="AQ50" i="30"/>
  <c r="AR50" i="30"/>
  <c r="AS50" i="30"/>
  <c r="AT50" i="30"/>
  <c r="AU50" i="30"/>
  <c r="AC51" i="30"/>
  <c r="AD51" i="30"/>
  <c r="AE51" i="30"/>
  <c r="AF51" i="30"/>
  <c r="AG51" i="30"/>
  <c r="AH51" i="30"/>
  <c r="AI51" i="30"/>
  <c r="AJ51" i="30"/>
  <c r="AK51" i="30"/>
  <c r="AL51" i="30"/>
  <c r="AM51" i="30"/>
  <c r="AN51" i="30"/>
  <c r="AO51" i="30"/>
  <c r="AP51" i="30"/>
  <c r="AQ51" i="30"/>
  <c r="AR51" i="30"/>
  <c r="AS51" i="30"/>
  <c r="AT51" i="30"/>
  <c r="AU51" i="30"/>
  <c r="AC52" i="30"/>
  <c r="AD52" i="30"/>
  <c r="AE52" i="30"/>
  <c r="AF52" i="30"/>
  <c r="AG52" i="30"/>
  <c r="AH52" i="30"/>
  <c r="AI52" i="30"/>
  <c r="AJ52" i="30"/>
  <c r="AK52" i="30"/>
  <c r="AL52" i="30"/>
  <c r="AM52" i="30"/>
  <c r="AN52" i="30"/>
  <c r="AO52" i="30"/>
  <c r="AP52" i="30"/>
  <c r="AQ52" i="30"/>
  <c r="AR52" i="30"/>
  <c r="AS52" i="30"/>
  <c r="AT52" i="30"/>
  <c r="AU52" i="30"/>
  <c r="AC53" i="30"/>
  <c r="AD53" i="30"/>
  <c r="AE53" i="30"/>
  <c r="AF53" i="30"/>
  <c r="AG53" i="30"/>
  <c r="AH53" i="30"/>
  <c r="AI53" i="30"/>
  <c r="AJ53" i="30"/>
  <c r="AK53" i="30"/>
  <c r="AL53" i="30"/>
  <c r="AM53" i="30"/>
  <c r="AN53" i="30"/>
  <c r="AO53" i="30"/>
  <c r="AP53" i="30"/>
  <c r="AQ53" i="30"/>
  <c r="AR53" i="30"/>
  <c r="AS53" i="30"/>
  <c r="AT53" i="30"/>
  <c r="AU53" i="30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AH33" i="14"/>
  <c r="AI33" i="14"/>
  <c r="AJ33" i="14"/>
  <c r="AK33" i="14"/>
  <c r="AL33" i="14"/>
  <c r="AM33" i="14"/>
  <c r="AN33" i="14"/>
  <c r="AO33" i="14"/>
  <c r="AP33" i="14"/>
  <c r="AQ33" i="14"/>
  <c r="AR33" i="14"/>
  <c r="AS33" i="14"/>
  <c r="AT33" i="14"/>
  <c r="AU33" i="14"/>
  <c r="AV33" i="14"/>
  <c r="AW33" i="14"/>
  <c r="AX33" i="14"/>
  <c r="AY33" i="14"/>
  <c r="AZ33" i="14"/>
  <c r="BA33" i="14"/>
  <c r="BB33" i="14"/>
  <c r="BC33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AF29" i="13"/>
  <c r="AG29" i="13"/>
  <c r="AH29" i="13"/>
  <c r="AI29" i="13"/>
  <c r="AJ29" i="13"/>
  <c r="AK29" i="13"/>
  <c r="AL29" i="13"/>
  <c r="AM29" i="13"/>
  <c r="AN29" i="13"/>
  <c r="AO29" i="13"/>
  <c r="AP29" i="13"/>
  <c r="AQ29" i="13"/>
  <c r="AR29" i="13"/>
  <c r="AS29" i="13"/>
  <c r="AT29" i="13"/>
  <c r="AU29" i="13"/>
  <c r="AV29" i="13"/>
  <c r="AW29" i="13"/>
  <c r="AX29" i="13"/>
  <c r="AF30" i="13"/>
  <c r="AG30" i="13"/>
  <c r="AH30" i="13"/>
  <c r="AI30" i="13"/>
  <c r="AJ30" i="13"/>
  <c r="AK30" i="13"/>
  <c r="AL30" i="13"/>
  <c r="AM30" i="13"/>
  <c r="AN30" i="13"/>
  <c r="AO30" i="13"/>
  <c r="AP30" i="13"/>
  <c r="AQ30" i="13"/>
  <c r="AR30" i="13"/>
  <c r="AS30" i="13"/>
  <c r="AT30" i="13"/>
  <c r="AU30" i="13"/>
  <c r="AV30" i="13"/>
  <c r="AW30" i="13"/>
  <c r="AX30" i="13"/>
  <c r="AF31" i="13"/>
  <c r="AG31" i="13"/>
  <c r="AH31" i="13"/>
  <c r="AI31" i="13"/>
  <c r="AJ31" i="13"/>
  <c r="AK31" i="13"/>
  <c r="AL31" i="13"/>
  <c r="AM31" i="13"/>
  <c r="AN31" i="13"/>
  <c r="AO31" i="13"/>
  <c r="AP31" i="13"/>
  <c r="AQ31" i="13"/>
  <c r="AR31" i="13"/>
  <c r="AS31" i="13"/>
  <c r="AT31" i="13"/>
  <c r="AU31" i="13"/>
  <c r="AV31" i="13"/>
  <c r="AW31" i="13"/>
  <c r="AX31" i="13"/>
  <c r="AF32" i="13"/>
  <c r="AG32" i="13"/>
  <c r="AH32" i="13"/>
  <c r="AI32" i="13"/>
  <c r="AJ32" i="13"/>
  <c r="AK32" i="13"/>
  <c r="AL32" i="13"/>
  <c r="AM32" i="13"/>
  <c r="AN32" i="13"/>
  <c r="AO32" i="13"/>
  <c r="AP32" i="13"/>
  <c r="AQ32" i="13"/>
  <c r="AR32" i="13"/>
  <c r="AS32" i="13"/>
  <c r="AT32" i="13"/>
  <c r="AU32" i="13"/>
  <c r="AV32" i="13"/>
  <c r="AW32" i="13"/>
  <c r="AX32" i="13"/>
  <c r="AF33" i="13"/>
  <c r="AG33" i="13"/>
  <c r="AH33" i="13"/>
  <c r="AI33" i="13"/>
  <c r="AJ33" i="13"/>
  <c r="AK33" i="13"/>
  <c r="AL33" i="13"/>
  <c r="AM33" i="13"/>
  <c r="AN33" i="13"/>
  <c r="AO33" i="13"/>
  <c r="AP33" i="13"/>
  <c r="AQ33" i="13"/>
  <c r="AR33" i="13"/>
  <c r="AS33" i="13"/>
  <c r="AT33" i="13"/>
  <c r="AU33" i="13"/>
  <c r="AV33" i="13"/>
  <c r="AW33" i="13"/>
  <c r="AX33" i="13"/>
  <c r="AF34" i="13"/>
  <c r="AG34" i="13"/>
  <c r="AH34" i="13"/>
  <c r="AI34" i="13"/>
  <c r="AJ34" i="13"/>
  <c r="AK34" i="13"/>
  <c r="AL34" i="13"/>
  <c r="AM34" i="13"/>
  <c r="AN34" i="13"/>
  <c r="AO34" i="13"/>
  <c r="AP34" i="13"/>
  <c r="AQ34" i="13"/>
  <c r="AR34" i="13"/>
  <c r="AS34" i="13"/>
  <c r="AT34" i="13"/>
  <c r="AU34" i="13"/>
  <c r="AV34" i="13"/>
  <c r="AW34" i="13"/>
  <c r="AX34" i="13"/>
  <c r="AF35" i="13"/>
  <c r="AG35" i="13"/>
  <c r="AH35" i="13"/>
  <c r="AI35" i="13"/>
  <c r="AJ35" i="13"/>
  <c r="AK35" i="13"/>
  <c r="AL35" i="13"/>
  <c r="AM35" i="13"/>
  <c r="AN35" i="13"/>
  <c r="AO35" i="13"/>
  <c r="AP35" i="13"/>
  <c r="AQ35" i="13"/>
  <c r="AR35" i="13"/>
  <c r="AS35" i="13"/>
  <c r="AT35" i="13"/>
  <c r="AU35" i="13"/>
  <c r="AV35" i="13"/>
  <c r="AW35" i="13"/>
  <c r="AX35" i="13"/>
  <c r="AF36" i="13"/>
  <c r="AG36" i="13"/>
  <c r="AH36" i="13"/>
  <c r="AI36" i="13"/>
  <c r="AJ36" i="13"/>
  <c r="AK36" i="13"/>
  <c r="AL36" i="13"/>
  <c r="AM36" i="13"/>
  <c r="AN36" i="13"/>
  <c r="AO36" i="13"/>
  <c r="AP36" i="13"/>
  <c r="AQ36" i="13"/>
  <c r="AR36" i="13"/>
  <c r="AS36" i="13"/>
  <c r="AT36" i="13"/>
  <c r="AU36" i="13"/>
  <c r="AV36" i="13"/>
  <c r="AW36" i="13"/>
  <c r="AX36" i="13"/>
  <c r="AF37" i="13"/>
  <c r="AG37" i="13"/>
  <c r="AH37" i="13"/>
  <c r="AI37" i="13"/>
  <c r="AJ37" i="13"/>
  <c r="AK37" i="13"/>
  <c r="AL37" i="13"/>
  <c r="AM37" i="13"/>
  <c r="AN37" i="13"/>
  <c r="AO37" i="13"/>
  <c r="AP37" i="13"/>
  <c r="AQ37" i="13"/>
  <c r="AR37" i="13"/>
  <c r="AS37" i="13"/>
  <c r="AT37" i="13"/>
  <c r="AU37" i="13"/>
  <c r="AV37" i="13"/>
  <c r="AW37" i="13"/>
  <c r="AX37" i="13"/>
  <c r="AF38" i="13"/>
  <c r="AG38" i="13"/>
  <c r="AH38" i="13"/>
  <c r="AI38" i="13"/>
  <c r="AJ38" i="13"/>
  <c r="AK38" i="13"/>
  <c r="AL38" i="13"/>
  <c r="AM38" i="13"/>
  <c r="AN38" i="13"/>
  <c r="AO38" i="13"/>
  <c r="AP38" i="13"/>
  <c r="AQ38" i="13"/>
  <c r="AR38" i="13"/>
  <c r="AS38" i="13"/>
  <c r="AT38" i="13"/>
  <c r="AU38" i="13"/>
  <c r="AV38" i="13"/>
  <c r="AW38" i="13"/>
  <c r="AX38" i="13"/>
  <c r="AF39" i="13"/>
  <c r="AG39" i="13"/>
  <c r="AH39" i="13"/>
  <c r="AI39" i="13"/>
  <c r="AJ39" i="13"/>
  <c r="AK39" i="13"/>
  <c r="AL39" i="13"/>
  <c r="AM39" i="13"/>
  <c r="AN39" i="13"/>
  <c r="AO39" i="13"/>
  <c r="AP39" i="13"/>
  <c r="AQ39" i="13"/>
  <c r="AR39" i="13"/>
  <c r="AS39" i="13"/>
  <c r="AT39" i="13"/>
  <c r="AU39" i="13"/>
  <c r="AV39" i="13"/>
  <c r="AW39" i="13"/>
  <c r="AX39" i="13"/>
  <c r="AF40" i="13"/>
  <c r="AG40" i="13"/>
  <c r="AH40" i="13"/>
  <c r="AI40" i="13"/>
  <c r="AJ40" i="13"/>
  <c r="AK40" i="13"/>
  <c r="AL40" i="13"/>
  <c r="AM40" i="13"/>
  <c r="AN40" i="13"/>
  <c r="AO40" i="13"/>
  <c r="AP40" i="13"/>
  <c r="AQ40" i="13"/>
  <c r="AR40" i="13"/>
  <c r="AS40" i="13"/>
  <c r="AT40" i="13"/>
  <c r="AU40" i="13"/>
  <c r="AV40" i="13"/>
  <c r="AW40" i="13"/>
  <c r="AX40" i="13"/>
  <c r="AF41" i="13"/>
  <c r="AG41" i="13"/>
  <c r="AH41" i="13"/>
  <c r="AI41" i="13"/>
  <c r="AJ41" i="13"/>
  <c r="AK41" i="13"/>
  <c r="AL41" i="13"/>
  <c r="AM41" i="13"/>
  <c r="AN41" i="13"/>
  <c r="AO41" i="13"/>
  <c r="AP41" i="13"/>
  <c r="AQ41" i="13"/>
  <c r="AR41" i="13"/>
  <c r="AS41" i="13"/>
  <c r="AT41" i="13"/>
  <c r="AU41" i="13"/>
  <c r="AV41" i="13"/>
  <c r="AW41" i="13"/>
  <c r="AX41" i="13"/>
  <c r="AF42" i="13"/>
  <c r="AG42" i="13"/>
  <c r="AH42" i="13"/>
  <c r="AI42" i="13"/>
  <c r="AJ42" i="13"/>
  <c r="AK42" i="13"/>
  <c r="AL42" i="13"/>
  <c r="AM42" i="13"/>
  <c r="AN42" i="13"/>
  <c r="AO42" i="13"/>
  <c r="AP42" i="13"/>
  <c r="AQ42" i="13"/>
  <c r="AR42" i="13"/>
  <c r="AS42" i="13"/>
  <c r="AT42" i="13"/>
  <c r="AU42" i="13"/>
  <c r="AV42" i="13"/>
  <c r="AW42" i="13"/>
  <c r="AX42" i="13"/>
  <c r="AF43" i="13"/>
  <c r="AG43" i="13"/>
  <c r="AH43" i="13"/>
  <c r="AI43" i="13"/>
  <c r="AJ43" i="13"/>
  <c r="AK43" i="13"/>
  <c r="AL43" i="13"/>
  <c r="AM43" i="13"/>
  <c r="AN43" i="13"/>
  <c r="AO43" i="13"/>
  <c r="AP43" i="13"/>
  <c r="AQ43" i="13"/>
  <c r="AR43" i="13"/>
  <c r="AS43" i="13"/>
  <c r="AT43" i="13"/>
  <c r="AU43" i="13"/>
  <c r="AV43" i="13"/>
  <c r="AW43" i="13"/>
  <c r="AX43" i="13"/>
  <c r="AF44" i="13"/>
  <c r="AG44" i="13"/>
  <c r="AH44" i="13"/>
  <c r="AI44" i="13"/>
  <c r="AJ44" i="13"/>
  <c r="AK44" i="13"/>
  <c r="AL44" i="13"/>
  <c r="AM44" i="13"/>
  <c r="AN44" i="13"/>
  <c r="AO44" i="13"/>
  <c r="AP44" i="13"/>
  <c r="AQ44" i="13"/>
  <c r="AR44" i="13"/>
  <c r="AS44" i="13"/>
  <c r="AT44" i="13"/>
  <c r="AU44" i="13"/>
  <c r="AV44" i="13"/>
  <c r="AW44" i="13"/>
  <c r="AX44" i="13"/>
  <c r="AF45" i="13"/>
  <c r="AG45" i="13"/>
  <c r="AH45" i="13"/>
  <c r="AI45" i="13"/>
  <c r="AJ45" i="13"/>
  <c r="AK45" i="13"/>
  <c r="AL45" i="13"/>
  <c r="AM45" i="13"/>
  <c r="AN45" i="13"/>
  <c r="AO45" i="13"/>
  <c r="AP45" i="13"/>
  <c r="AQ45" i="13"/>
  <c r="AR45" i="13"/>
  <c r="AS45" i="13"/>
  <c r="AT45" i="13"/>
  <c r="AU45" i="13"/>
  <c r="AV45" i="13"/>
  <c r="AW45" i="13"/>
  <c r="AX45" i="13"/>
  <c r="AF46" i="13"/>
  <c r="AG46" i="13"/>
  <c r="AH46" i="13"/>
  <c r="AI46" i="13"/>
  <c r="AJ46" i="13"/>
  <c r="AK46" i="13"/>
  <c r="AL46" i="13"/>
  <c r="AM46" i="13"/>
  <c r="AN46" i="13"/>
  <c r="AO46" i="13"/>
  <c r="AP46" i="13"/>
  <c r="AQ46" i="13"/>
  <c r="AR46" i="13"/>
  <c r="AS46" i="13"/>
  <c r="AT46" i="13"/>
  <c r="AU46" i="13"/>
  <c r="AV46" i="13"/>
  <c r="AW46" i="13"/>
  <c r="AX46" i="13"/>
  <c r="AF47" i="13"/>
  <c r="AG47" i="13"/>
  <c r="AH47" i="13"/>
  <c r="AI47" i="13"/>
  <c r="AJ47" i="13"/>
  <c r="AK47" i="13"/>
  <c r="AL47" i="13"/>
  <c r="AM47" i="13"/>
  <c r="AN47" i="13"/>
  <c r="AO47" i="13"/>
  <c r="AP47" i="13"/>
  <c r="AQ47" i="13"/>
  <c r="AR47" i="13"/>
  <c r="AS47" i="13"/>
  <c r="AT47" i="13"/>
  <c r="AU47" i="13"/>
  <c r="AV47" i="13"/>
  <c r="AW47" i="13"/>
  <c r="AX47" i="13"/>
  <c r="AF48" i="13"/>
  <c r="AG48" i="13"/>
  <c r="AH48" i="13"/>
  <c r="AI48" i="13"/>
  <c r="AJ48" i="13"/>
  <c r="AK48" i="13"/>
  <c r="AL48" i="13"/>
  <c r="AM48" i="13"/>
  <c r="AN48" i="13"/>
  <c r="AO48" i="13"/>
  <c r="AP48" i="13"/>
  <c r="AQ48" i="13"/>
  <c r="AR48" i="13"/>
  <c r="AS48" i="13"/>
  <c r="AT48" i="13"/>
  <c r="AU48" i="13"/>
  <c r="AV48" i="13"/>
  <c r="AW48" i="13"/>
  <c r="AX48" i="13"/>
  <c r="AF49" i="13"/>
  <c r="AG49" i="13"/>
  <c r="AH49" i="13"/>
  <c r="AI49" i="13"/>
  <c r="AJ49" i="13"/>
  <c r="AK49" i="13"/>
  <c r="AL49" i="13"/>
  <c r="AM49" i="13"/>
  <c r="AN49" i="13"/>
  <c r="AO49" i="13"/>
  <c r="AP49" i="13"/>
  <c r="AQ49" i="13"/>
  <c r="AR49" i="13"/>
  <c r="AS49" i="13"/>
  <c r="AT49" i="13"/>
  <c r="AU49" i="13"/>
  <c r="AV49" i="13"/>
  <c r="AW49" i="13"/>
  <c r="AX49" i="13"/>
  <c r="AF50" i="13"/>
  <c r="AG50" i="13"/>
  <c r="AH50" i="13"/>
  <c r="AI50" i="13"/>
  <c r="AJ50" i="13"/>
  <c r="AK50" i="13"/>
  <c r="AL50" i="13"/>
  <c r="AM50" i="13"/>
  <c r="AN50" i="13"/>
  <c r="AO50" i="13"/>
  <c r="AP50" i="13"/>
  <c r="AQ50" i="13"/>
  <c r="AR50" i="13"/>
  <c r="AS50" i="13"/>
  <c r="AT50" i="13"/>
  <c r="AU50" i="13"/>
  <c r="AV50" i="13"/>
  <c r="AW50" i="13"/>
  <c r="AX50" i="13"/>
  <c r="AF51" i="13"/>
  <c r="AG51" i="13"/>
  <c r="AH51" i="13"/>
  <c r="AI51" i="13"/>
  <c r="AJ51" i="13"/>
  <c r="AK51" i="13"/>
  <c r="AL51" i="13"/>
  <c r="AM51" i="13"/>
  <c r="AN51" i="13"/>
  <c r="AO51" i="13"/>
  <c r="AP51" i="13"/>
  <c r="AQ51" i="13"/>
  <c r="AR51" i="13"/>
  <c r="AS51" i="13"/>
  <c r="AT51" i="13"/>
  <c r="AU51" i="13"/>
  <c r="AV51" i="13"/>
  <c r="AW51" i="13"/>
  <c r="AX51" i="13"/>
  <c r="AF52" i="13"/>
  <c r="AG52" i="13"/>
  <c r="AH52" i="13"/>
  <c r="AI52" i="13"/>
  <c r="AJ52" i="13"/>
  <c r="AK52" i="13"/>
  <c r="AL52" i="13"/>
  <c r="AM52" i="13"/>
  <c r="AN52" i="13"/>
  <c r="AO52" i="13"/>
  <c r="AP52" i="13"/>
  <c r="AQ52" i="13"/>
  <c r="AR52" i="13"/>
  <c r="AS52" i="13"/>
  <c r="AT52" i="13"/>
  <c r="AU52" i="13"/>
  <c r="AV52" i="13"/>
  <c r="AW52" i="13"/>
  <c r="AX52" i="13"/>
  <c r="AF53" i="13"/>
  <c r="AG53" i="13"/>
  <c r="AH53" i="13"/>
  <c r="AI53" i="13"/>
  <c r="AJ53" i="13"/>
  <c r="AK53" i="13"/>
  <c r="AL53" i="13"/>
  <c r="AM53" i="13"/>
  <c r="AN53" i="13"/>
  <c r="AO53" i="13"/>
  <c r="AP53" i="13"/>
  <c r="AQ53" i="13"/>
  <c r="AR53" i="13"/>
  <c r="AS53" i="13"/>
  <c r="AT53" i="13"/>
  <c r="AU53" i="13"/>
  <c r="AV53" i="13"/>
  <c r="AW53" i="13"/>
  <c r="AX53" i="13"/>
  <c r="W29" i="26"/>
  <c r="X29" i="26"/>
  <c r="Y29" i="26"/>
  <c r="Z29" i="26"/>
  <c r="AA29" i="26"/>
  <c r="AB29" i="26"/>
  <c r="AC29" i="26"/>
  <c r="AD29" i="26"/>
  <c r="AE29" i="26"/>
  <c r="AF29" i="26"/>
  <c r="AG29" i="26"/>
  <c r="AH29" i="26"/>
  <c r="W30" i="26"/>
  <c r="X30" i="26"/>
  <c r="Y30" i="26"/>
  <c r="Z30" i="26"/>
  <c r="AA30" i="26"/>
  <c r="AB30" i="26"/>
  <c r="AC30" i="26"/>
  <c r="AD30" i="26"/>
  <c r="AE30" i="26"/>
  <c r="AF30" i="26"/>
  <c r="AG30" i="26"/>
  <c r="AH30" i="26"/>
  <c r="W31" i="26"/>
  <c r="X31" i="26"/>
  <c r="Y31" i="26"/>
  <c r="Z31" i="26"/>
  <c r="AA31" i="26"/>
  <c r="AB31" i="26"/>
  <c r="AC31" i="26"/>
  <c r="AD31" i="26"/>
  <c r="AE31" i="26"/>
  <c r="AF31" i="26"/>
  <c r="AG31" i="26"/>
  <c r="AH31" i="26"/>
  <c r="W32" i="26"/>
  <c r="X32" i="26"/>
  <c r="Y32" i="26"/>
  <c r="Z32" i="26"/>
  <c r="AA32" i="26"/>
  <c r="AB32" i="26"/>
  <c r="AC32" i="26"/>
  <c r="AD32" i="26"/>
  <c r="AE32" i="26"/>
  <c r="AF32" i="26"/>
  <c r="AG32" i="26"/>
  <c r="AH32" i="26"/>
  <c r="W33" i="26"/>
  <c r="X33" i="26"/>
  <c r="Y33" i="26"/>
  <c r="Z33" i="26"/>
  <c r="AA33" i="26"/>
  <c r="AB33" i="26"/>
  <c r="AC33" i="26"/>
  <c r="AD33" i="26"/>
  <c r="AE33" i="26"/>
  <c r="AF33" i="26"/>
  <c r="AG33" i="26"/>
  <c r="AH33" i="26"/>
  <c r="W34" i="26"/>
  <c r="X34" i="26"/>
  <c r="Y34" i="26"/>
  <c r="Z34" i="26"/>
  <c r="AA34" i="26"/>
  <c r="AB34" i="26"/>
  <c r="AC34" i="26"/>
  <c r="AD34" i="26"/>
  <c r="AE34" i="26"/>
  <c r="AF34" i="26"/>
  <c r="AG34" i="26"/>
  <c r="AH34" i="26"/>
  <c r="W35" i="26"/>
  <c r="X35" i="26"/>
  <c r="Y35" i="26"/>
  <c r="Z35" i="26"/>
  <c r="AA35" i="26"/>
  <c r="AB35" i="26"/>
  <c r="AC35" i="26"/>
  <c r="AD35" i="26"/>
  <c r="AE35" i="26"/>
  <c r="AF35" i="26"/>
  <c r="AG35" i="26"/>
  <c r="AH35" i="26"/>
  <c r="W36" i="26"/>
  <c r="X36" i="26"/>
  <c r="Y36" i="26"/>
  <c r="Z36" i="26"/>
  <c r="AA36" i="26"/>
  <c r="AB36" i="26"/>
  <c r="AC36" i="26"/>
  <c r="AD36" i="26"/>
  <c r="AE36" i="26"/>
  <c r="AF36" i="26"/>
  <c r="AG36" i="26"/>
  <c r="AH36" i="26"/>
  <c r="W37" i="26"/>
  <c r="X37" i="26"/>
  <c r="Y37" i="26"/>
  <c r="Z37" i="26"/>
  <c r="AA37" i="26"/>
  <c r="AB37" i="26"/>
  <c r="AC37" i="26"/>
  <c r="AD37" i="26"/>
  <c r="AE37" i="26"/>
  <c r="AF37" i="26"/>
  <c r="AG37" i="26"/>
  <c r="AH37" i="26"/>
  <c r="W38" i="26"/>
  <c r="X38" i="26"/>
  <c r="Y38" i="26"/>
  <c r="Z38" i="26"/>
  <c r="AA38" i="26"/>
  <c r="AB38" i="26"/>
  <c r="AC38" i="26"/>
  <c r="AD38" i="26"/>
  <c r="AE38" i="26"/>
  <c r="AF38" i="26"/>
  <c r="AG38" i="26"/>
  <c r="AH38" i="26"/>
  <c r="W39" i="26"/>
  <c r="X39" i="26"/>
  <c r="Y39" i="26"/>
  <c r="Z39" i="26"/>
  <c r="AA39" i="26"/>
  <c r="AB39" i="26"/>
  <c r="AC39" i="26"/>
  <c r="AD39" i="26"/>
  <c r="AE39" i="26"/>
  <c r="AF39" i="26"/>
  <c r="AG39" i="26"/>
  <c r="AH39" i="26"/>
  <c r="W40" i="26"/>
  <c r="X40" i="26"/>
  <c r="Y40" i="26"/>
  <c r="Z40" i="26"/>
  <c r="AA40" i="26"/>
  <c r="AB40" i="26"/>
  <c r="AC40" i="26"/>
  <c r="AD40" i="26"/>
  <c r="AE40" i="26"/>
  <c r="AF40" i="26"/>
  <c r="AG40" i="26"/>
  <c r="AH40" i="26"/>
  <c r="W41" i="26"/>
  <c r="X41" i="26"/>
  <c r="Y41" i="26"/>
  <c r="Z41" i="26"/>
  <c r="AA41" i="26"/>
  <c r="AB41" i="26"/>
  <c r="AC41" i="26"/>
  <c r="AD41" i="26"/>
  <c r="AE41" i="26"/>
  <c r="AF41" i="26"/>
  <c r="AG41" i="26"/>
  <c r="AH41" i="26"/>
  <c r="W42" i="26"/>
  <c r="X42" i="26"/>
  <c r="Y42" i="26"/>
  <c r="Z42" i="26"/>
  <c r="AA42" i="26"/>
  <c r="AB42" i="26"/>
  <c r="AC42" i="26"/>
  <c r="AD42" i="26"/>
  <c r="AE42" i="26"/>
  <c r="AF42" i="26"/>
  <c r="AG42" i="26"/>
  <c r="AH42" i="26"/>
  <c r="W43" i="26"/>
  <c r="X43" i="26"/>
  <c r="Y43" i="26"/>
  <c r="Z43" i="26"/>
  <c r="AA43" i="26"/>
  <c r="AB43" i="26"/>
  <c r="AC43" i="26"/>
  <c r="AD43" i="26"/>
  <c r="AE43" i="26"/>
  <c r="AF43" i="26"/>
  <c r="AG43" i="26"/>
  <c r="AH43" i="26"/>
  <c r="W44" i="26"/>
  <c r="X44" i="26"/>
  <c r="Y44" i="26"/>
  <c r="Z44" i="26"/>
  <c r="AA44" i="26"/>
  <c r="AB44" i="26"/>
  <c r="AC44" i="26"/>
  <c r="AD44" i="26"/>
  <c r="AE44" i="26"/>
  <c r="AF44" i="26"/>
  <c r="AG44" i="26"/>
  <c r="AH44" i="26"/>
  <c r="W45" i="26"/>
  <c r="X45" i="26"/>
  <c r="Y45" i="26"/>
  <c r="Z45" i="26"/>
  <c r="AA45" i="26"/>
  <c r="AB45" i="26"/>
  <c r="AC45" i="26"/>
  <c r="AD45" i="26"/>
  <c r="AE45" i="26"/>
  <c r="AF45" i="26"/>
  <c r="AG45" i="26"/>
  <c r="AH45" i="26"/>
  <c r="W46" i="26"/>
  <c r="X46" i="26"/>
  <c r="Y46" i="26"/>
  <c r="Z46" i="26"/>
  <c r="AA46" i="26"/>
  <c r="AB46" i="26"/>
  <c r="AC46" i="26"/>
  <c r="AD46" i="26"/>
  <c r="AE46" i="26"/>
  <c r="AF46" i="26"/>
  <c r="AG46" i="26"/>
  <c r="AH46" i="26"/>
  <c r="W47" i="26"/>
  <c r="X47" i="26"/>
  <c r="Y47" i="26"/>
  <c r="Z47" i="26"/>
  <c r="AA47" i="26"/>
  <c r="AB47" i="26"/>
  <c r="AC47" i="26"/>
  <c r="AD47" i="26"/>
  <c r="AE47" i="26"/>
  <c r="AF47" i="26"/>
  <c r="AG47" i="26"/>
  <c r="AH47" i="26"/>
  <c r="W48" i="26"/>
  <c r="X48" i="26"/>
  <c r="Y48" i="26"/>
  <c r="Z48" i="26"/>
  <c r="AA48" i="26"/>
  <c r="AB48" i="26"/>
  <c r="AC48" i="26"/>
  <c r="AD48" i="26"/>
  <c r="AE48" i="26"/>
  <c r="AF48" i="26"/>
  <c r="AG48" i="26"/>
  <c r="AH48" i="26"/>
  <c r="W49" i="26"/>
  <c r="X49" i="26"/>
  <c r="Y49" i="26"/>
  <c r="Z49" i="26"/>
  <c r="AA49" i="26"/>
  <c r="AB49" i="26"/>
  <c r="AC49" i="26"/>
  <c r="AD49" i="26"/>
  <c r="AE49" i="26"/>
  <c r="AF49" i="26"/>
  <c r="AG49" i="26"/>
  <c r="AH49" i="26"/>
  <c r="W50" i="26"/>
  <c r="X50" i="26"/>
  <c r="Y50" i="26"/>
  <c r="Z50" i="26"/>
  <c r="AA50" i="26"/>
  <c r="AB50" i="26"/>
  <c r="AC50" i="26"/>
  <c r="AD50" i="26"/>
  <c r="AE50" i="26"/>
  <c r="AF50" i="26"/>
  <c r="AG50" i="26"/>
  <c r="AH50" i="26"/>
  <c r="W51" i="26"/>
  <c r="X51" i="26"/>
  <c r="Y51" i="26"/>
  <c r="Z51" i="26"/>
  <c r="AA51" i="26"/>
  <c r="AB51" i="26"/>
  <c r="AC51" i="26"/>
  <c r="AD51" i="26"/>
  <c r="AE51" i="26"/>
  <c r="AF51" i="26"/>
  <c r="AG51" i="26"/>
  <c r="AH51" i="26"/>
  <c r="W52" i="26"/>
  <c r="X52" i="26"/>
  <c r="Y52" i="26"/>
  <c r="Z52" i="26"/>
  <c r="AA52" i="26"/>
  <c r="AB52" i="26"/>
  <c r="AC52" i="26"/>
  <c r="AD52" i="26"/>
  <c r="AE52" i="26"/>
  <c r="AF52" i="26"/>
  <c r="AG52" i="26"/>
  <c r="AH52" i="26"/>
  <c r="W53" i="26"/>
  <c r="X53" i="26"/>
  <c r="Y53" i="26"/>
  <c r="Z53" i="26"/>
  <c r="AA53" i="26"/>
  <c r="AB53" i="26"/>
  <c r="AC53" i="26"/>
  <c r="AD53" i="26"/>
  <c r="AE53" i="26"/>
  <c r="AF53" i="26"/>
  <c r="AG53" i="26"/>
  <c r="AH53" i="26"/>
  <c r="Y29" i="10"/>
  <c r="Z29" i="10"/>
  <c r="AA29" i="10"/>
  <c r="AB29" i="10"/>
  <c r="AC29" i="10"/>
  <c r="AD29" i="10"/>
  <c r="AE29" i="10"/>
  <c r="AF29" i="10"/>
  <c r="AG29" i="10"/>
  <c r="AH29" i="10"/>
  <c r="AI29" i="10"/>
  <c r="AJ29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Y31" i="10"/>
  <c r="Z31" i="10"/>
  <c r="AA31" i="10"/>
  <c r="AB31" i="10"/>
  <c r="AC31" i="10"/>
  <c r="AD31" i="10"/>
  <c r="AE31" i="10"/>
  <c r="AF31" i="10"/>
  <c r="AG31" i="10"/>
  <c r="AH31" i="10"/>
  <c r="AI31" i="10"/>
  <c r="AJ31" i="10"/>
  <c r="C201" i="23"/>
  <c r="U49" i="23" s="1"/>
  <c r="E81" i="23"/>
  <c r="H59" i="23"/>
  <c r="C59" i="23"/>
  <c r="E200" i="23"/>
  <c r="E199" i="23"/>
  <c r="E198" i="23"/>
  <c r="E197" i="23"/>
  <c r="E196" i="23"/>
  <c r="E195" i="23"/>
  <c r="E194" i="23"/>
  <c r="E193" i="23"/>
  <c r="E192" i="23"/>
  <c r="E191" i="23"/>
  <c r="E189" i="23"/>
  <c r="E188" i="23"/>
  <c r="E187" i="23"/>
  <c r="E186" i="23"/>
  <c r="E185" i="23"/>
  <c r="E184" i="23"/>
  <c r="E183" i="23"/>
  <c r="E182" i="23"/>
  <c r="E181" i="23"/>
  <c r="B79" i="23"/>
  <c r="B179" i="23" s="1"/>
  <c r="E100" i="23"/>
  <c r="E99" i="23"/>
  <c r="E98" i="23"/>
  <c r="E97" i="23"/>
  <c r="E96" i="23"/>
  <c r="E95" i="23"/>
  <c r="E94" i="23"/>
  <c r="E92" i="23"/>
  <c r="E88" i="23"/>
  <c r="E86" i="23"/>
  <c r="E84" i="23"/>
  <c r="E82" i="23"/>
  <c r="L55" i="23"/>
  <c r="Q48" i="23" s="1"/>
  <c r="G55" i="23"/>
  <c r="Q47" i="23" s="1"/>
  <c r="B55" i="23"/>
  <c r="L30" i="23"/>
  <c r="G30" i="23"/>
  <c r="B30" i="23"/>
  <c r="L6" i="23"/>
  <c r="G6" i="23"/>
  <c r="B6" i="23"/>
  <c r="B106" i="23" s="1"/>
  <c r="L72" i="30"/>
  <c r="H93" i="23" s="1"/>
  <c r="J93" i="23" s="1"/>
  <c r="L71" i="30"/>
  <c r="C93" i="23" s="1"/>
  <c r="E93" i="23" s="1"/>
  <c r="L70" i="30"/>
  <c r="M69" i="23" s="1"/>
  <c r="L69" i="30"/>
  <c r="H69" i="23" s="1"/>
  <c r="L68" i="30"/>
  <c r="C69" i="23" s="1"/>
  <c r="L67" i="30"/>
  <c r="M44" i="23" s="1"/>
  <c r="L66" i="30"/>
  <c r="H44" i="23" s="1"/>
  <c r="L65" i="30"/>
  <c r="C44" i="23" s="1"/>
  <c r="L64" i="30"/>
  <c r="M20" i="23" s="1"/>
  <c r="L63" i="30"/>
  <c r="H20" i="23" s="1"/>
  <c r="L62" i="30"/>
  <c r="C20" i="23" s="1"/>
  <c r="E20" i="23" s="1"/>
  <c r="K73" i="30"/>
  <c r="J73" i="30"/>
  <c r="M63" i="14"/>
  <c r="H18" i="23" s="1"/>
  <c r="M64" i="14"/>
  <c r="M18" i="23" s="1"/>
  <c r="M65" i="14"/>
  <c r="C42" i="23" s="1"/>
  <c r="E42" i="23" s="1"/>
  <c r="M66" i="14"/>
  <c r="H42" i="23" s="1"/>
  <c r="J42" i="23" s="1"/>
  <c r="M67" i="14"/>
  <c r="M42" i="23" s="1"/>
  <c r="O42" i="23" s="1"/>
  <c r="M68" i="14"/>
  <c r="C67" i="23" s="1"/>
  <c r="M69" i="14"/>
  <c r="H67" i="23" s="1"/>
  <c r="M70" i="14"/>
  <c r="M67" i="23" s="1"/>
  <c r="M71" i="14"/>
  <c r="C91" i="23" s="1"/>
  <c r="E91" i="23" s="1"/>
  <c r="M72" i="14"/>
  <c r="H91" i="23" s="1"/>
  <c r="M62" i="14"/>
  <c r="C18" i="23" s="1"/>
  <c r="E18" i="23" s="1"/>
  <c r="L73" i="14"/>
  <c r="K73" i="14"/>
  <c r="J73" i="14"/>
  <c r="I73" i="14"/>
  <c r="M72" i="65"/>
  <c r="M71" i="65"/>
  <c r="C89" i="23" s="1"/>
  <c r="E89" i="23" s="1"/>
  <c r="M70" i="65"/>
  <c r="M65" i="23" s="1"/>
  <c r="M69" i="65"/>
  <c r="H65" i="23" s="1"/>
  <c r="M68" i="65"/>
  <c r="C65" i="23" s="1"/>
  <c r="M67" i="65"/>
  <c r="M66" i="65"/>
  <c r="M65" i="65"/>
  <c r="M64" i="65"/>
  <c r="M16" i="23" s="1"/>
  <c r="M62" i="65"/>
  <c r="M63" i="65"/>
  <c r="L73" i="65"/>
  <c r="K73" i="65"/>
  <c r="J73" i="65"/>
  <c r="I73" i="65"/>
  <c r="M63" i="13"/>
  <c r="H14" i="23" s="1"/>
  <c r="M64" i="13"/>
  <c r="M14" i="23" s="1"/>
  <c r="M65" i="13"/>
  <c r="C38" i="23" s="1"/>
  <c r="M66" i="13"/>
  <c r="H38" i="23" s="1"/>
  <c r="M67" i="13"/>
  <c r="M38" i="23" s="1"/>
  <c r="M68" i="13"/>
  <c r="C63" i="23" s="1"/>
  <c r="M69" i="13"/>
  <c r="H63" i="23" s="1"/>
  <c r="M70" i="13"/>
  <c r="M63" i="23" s="1"/>
  <c r="M71" i="13"/>
  <c r="C87" i="23" s="1"/>
  <c r="E87" i="23" s="1"/>
  <c r="M72" i="13"/>
  <c r="H87" i="23" s="1"/>
  <c r="J87" i="23" s="1"/>
  <c r="M62" i="13"/>
  <c r="C14" i="23" s="1"/>
  <c r="E14" i="23" s="1"/>
  <c r="L73" i="13"/>
  <c r="K73" i="13"/>
  <c r="J73" i="13"/>
  <c r="I73" i="13"/>
  <c r="M71" i="12"/>
  <c r="C85" i="23" s="1"/>
  <c r="E85" i="23" s="1"/>
  <c r="M70" i="12"/>
  <c r="M61" i="23" s="1"/>
  <c r="M69" i="12"/>
  <c r="H61" i="23" s="1"/>
  <c r="M68" i="12"/>
  <c r="C61" i="23" s="1"/>
  <c r="M67" i="12"/>
  <c r="M36" i="23" s="1"/>
  <c r="M66" i="12"/>
  <c r="H36" i="23" s="1"/>
  <c r="M65" i="12"/>
  <c r="C36" i="23" s="1"/>
  <c r="M64" i="12"/>
  <c r="M12" i="23" s="1"/>
  <c r="M62" i="12"/>
  <c r="C12" i="23" s="1"/>
  <c r="E12" i="23" s="1"/>
  <c r="M63" i="12"/>
  <c r="H12" i="23" s="1"/>
  <c r="L73" i="12"/>
  <c r="K73" i="12"/>
  <c r="J73" i="12"/>
  <c r="J91" i="23" l="1"/>
  <c r="J101" i="23" s="1"/>
  <c r="H101" i="23"/>
  <c r="S50" i="23" s="1"/>
  <c r="V50" i="23" s="1"/>
  <c r="X50" i="23" s="1"/>
  <c r="H16" i="23"/>
  <c r="H8" i="23"/>
  <c r="H40" i="23"/>
  <c r="C40" i="23"/>
  <c r="C16" i="23"/>
  <c r="E16" i="23" s="1"/>
  <c r="M40" i="23"/>
  <c r="Q49" i="23"/>
  <c r="E201" i="23"/>
  <c r="L73" i="30"/>
  <c r="S62" i="30" s="1"/>
  <c r="H63" i="30" l="1"/>
  <c r="H64" i="30"/>
  <c r="H65" i="30"/>
  <c r="H66" i="30"/>
  <c r="H67" i="30"/>
  <c r="H68" i="30"/>
  <c r="H69" i="30"/>
  <c r="H70" i="30"/>
  <c r="H71" i="30"/>
  <c r="H68" i="14"/>
  <c r="H69" i="14"/>
  <c r="H70" i="14"/>
  <c r="H71" i="14"/>
  <c r="H63" i="65"/>
  <c r="H64" i="65"/>
  <c r="H65" i="65"/>
  <c r="H66" i="65"/>
  <c r="H67" i="65"/>
  <c r="H68" i="65"/>
  <c r="H69" i="65"/>
  <c r="H70" i="65"/>
  <c r="H71" i="65"/>
  <c r="H72" i="65"/>
  <c r="H63" i="13"/>
  <c r="H64" i="13"/>
  <c r="H65" i="13"/>
  <c r="H66" i="13"/>
  <c r="H67" i="13"/>
  <c r="H68" i="13"/>
  <c r="H69" i="13"/>
  <c r="H70" i="13"/>
  <c r="H71" i="13"/>
  <c r="H68" i="12"/>
  <c r="H69" i="12"/>
  <c r="H70" i="12"/>
  <c r="H71" i="12"/>
  <c r="H72" i="12"/>
  <c r="H68" i="26"/>
  <c r="H69" i="26"/>
  <c r="H70" i="26"/>
  <c r="H71" i="26"/>
  <c r="K62" i="26"/>
  <c r="K64" i="26"/>
  <c r="M10" i="23" s="1"/>
  <c r="K65" i="26"/>
  <c r="C34" i="23" s="1"/>
  <c r="K66" i="26"/>
  <c r="H34" i="23" s="1"/>
  <c r="K67" i="26"/>
  <c r="M34" i="23" s="1"/>
  <c r="K70" i="26"/>
  <c r="M59" i="23" s="1"/>
  <c r="K71" i="26"/>
  <c r="C83" i="23" s="1"/>
  <c r="K63" i="26"/>
  <c r="H10" i="23" s="1"/>
  <c r="H62" i="30"/>
  <c r="H63" i="14"/>
  <c r="H64" i="14"/>
  <c r="H65" i="14"/>
  <c r="H66" i="14"/>
  <c r="H67" i="14"/>
  <c r="H62" i="14"/>
  <c r="H62" i="65"/>
  <c r="H62" i="13"/>
  <c r="H63" i="12"/>
  <c r="H64" i="12"/>
  <c r="H65" i="12"/>
  <c r="H66" i="12"/>
  <c r="H67" i="12"/>
  <c r="H62" i="12"/>
  <c r="H63" i="26"/>
  <c r="H64" i="26"/>
  <c r="H65" i="26"/>
  <c r="H66" i="26"/>
  <c r="H67" i="26"/>
  <c r="H62" i="26"/>
  <c r="I73" i="30"/>
  <c r="M73" i="14"/>
  <c r="S62" i="14" s="1"/>
  <c r="M73" i="65"/>
  <c r="T62" i="65" s="1"/>
  <c r="M73" i="13"/>
  <c r="I73" i="12"/>
  <c r="F73" i="10"/>
  <c r="CG53" i="9" a="1"/>
  <c r="CG53" i="9" s="1"/>
  <c r="CG52" i="9" a="1"/>
  <c r="CG52" i="9" s="1"/>
  <c r="CG51" i="9" a="1"/>
  <c r="CG51" i="9" s="1"/>
  <c r="CG50" i="9" a="1"/>
  <c r="CG50" i="9" s="1"/>
  <c r="CG49" i="9" a="1"/>
  <c r="CG49" i="9" s="1"/>
  <c r="CG48" i="9" a="1"/>
  <c r="CG48" i="9" s="1"/>
  <c r="CG47" i="9" a="1"/>
  <c r="CG47" i="9" s="1"/>
  <c r="CG46" i="9" a="1"/>
  <c r="CG46" i="9" s="1"/>
  <c r="CG45" i="9" a="1"/>
  <c r="CG45" i="9" s="1"/>
  <c r="CG44" i="9" a="1"/>
  <c r="CG44" i="9" s="1"/>
  <c r="CG43" i="9" a="1"/>
  <c r="CG43" i="9" s="1"/>
  <c r="CG42" i="9" a="1"/>
  <c r="CG42" i="9" s="1"/>
  <c r="CG41" i="9" a="1"/>
  <c r="CG41" i="9" s="1"/>
  <c r="CG40" i="9" a="1"/>
  <c r="CG40" i="9" s="1"/>
  <c r="CG39" i="9" a="1"/>
  <c r="CG39" i="9" s="1"/>
  <c r="CG38" i="9" a="1"/>
  <c r="CG38" i="9" s="1"/>
  <c r="CG37" i="9" a="1"/>
  <c r="CG37" i="9" s="1"/>
  <c r="CG36" i="9" a="1"/>
  <c r="CG36" i="9" s="1"/>
  <c r="CG35" i="9" a="1"/>
  <c r="CG35" i="9" s="1"/>
  <c r="CG34" i="9" a="1"/>
  <c r="CG34" i="9" s="1"/>
  <c r="CG33" i="9" a="1"/>
  <c r="CG33" i="9" s="1"/>
  <c r="CG32" i="9" a="1"/>
  <c r="CG32" i="9" s="1"/>
  <c r="CG31" i="9" a="1"/>
  <c r="CG31" i="9" s="1"/>
  <c r="EA27" i="9" a="1"/>
  <c r="EA27" i="9" s="1"/>
  <c r="CC6" i="9"/>
  <c r="CE6" i="9" s="1"/>
  <c r="CC7" i="9"/>
  <c r="CE7" i="9" s="1"/>
  <c r="CC8" i="9"/>
  <c r="CE8" i="9" s="1"/>
  <c r="CC9" i="9"/>
  <c r="CE9" i="9" s="1"/>
  <c r="CC10" i="9"/>
  <c r="CD10" i="9" s="1"/>
  <c r="CC11" i="9"/>
  <c r="CD11" i="9" s="1"/>
  <c r="CC12" i="9"/>
  <c r="CE12" i="9" s="1"/>
  <c r="CC13" i="9"/>
  <c r="CD13" i="9" s="1"/>
  <c r="CC14" i="9"/>
  <c r="CE14" i="9" s="1"/>
  <c r="CC15" i="9"/>
  <c r="CE15" i="9" s="1"/>
  <c r="CC16" i="9"/>
  <c r="CE16" i="9" s="1"/>
  <c r="CC17" i="9"/>
  <c r="CD17" i="9" s="1"/>
  <c r="CC18" i="9"/>
  <c r="CE18" i="9" s="1"/>
  <c r="CC19" i="9"/>
  <c r="CE19" i="9" s="1"/>
  <c r="CC20" i="9"/>
  <c r="CE20" i="9" s="1"/>
  <c r="CC21" i="9"/>
  <c r="CE21" i="9" s="1"/>
  <c r="CC22" i="9"/>
  <c r="CE22" i="9" s="1"/>
  <c r="CC23" i="9"/>
  <c r="CE23" i="9" s="1"/>
  <c r="CC24" i="9"/>
  <c r="CE24" i="9" s="1"/>
  <c r="CC25" i="9"/>
  <c r="CE25" i="9" s="1"/>
  <c r="CC26" i="9"/>
  <c r="CE26" i="9" s="1"/>
  <c r="CC27" i="9"/>
  <c r="CE27" i="9" s="1"/>
  <c r="CC28" i="9"/>
  <c r="CE28" i="9" s="1"/>
  <c r="CC29" i="9"/>
  <c r="CE29" i="9" s="1"/>
  <c r="CC30" i="9"/>
  <c r="CE30" i="9" s="1"/>
  <c r="CC31" i="9"/>
  <c r="CE31" i="9" s="1"/>
  <c r="CC32" i="9"/>
  <c r="CE32" i="9" s="1"/>
  <c r="CC33" i="9"/>
  <c r="CD33" i="9" s="1"/>
  <c r="CC34" i="9"/>
  <c r="CE34" i="9" s="1"/>
  <c r="CC35" i="9"/>
  <c r="CE35" i="9" s="1"/>
  <c r="CC36" i="9"/>
  <c r="CE36" i="9" s="1"/>
  <c r="CC37" i="9"/>
  <c r="CE37" i="9" s="1"/>
  <c r="CC38" i="9"/>
  <c r="CE38" i="9" s="1"/>
  <c r="CC39" i="9"/>
  <c r="CE39" i="9" s="1"/>
  <c r="CC40" i="9"/>
  <c r="CD40" i="9" s="1"/>
  <c r="CC41" i="9"/>
  <c r="CE41" i="9" s="1"/>
  <c r="CC42" i="9"/>
  <c r="CE42" i="9" s="1"/>
  <c r="CC43" i="9"/>
  <c r="CE43" i="9" s="1"/>
  <c r="CC44" i="9"/>
  <c r="CE44" i="9" s="1"/>
  <c r="CC45" i="9"/>
  <c r="CE45" i="9" s="1"/>
  <c r="CC46" i="9"/>
  <c r="CE46" i="9" s="1"/>
  <c r="CC47" i="9"/>
  <c r="CD47" i="9" s="1"/>
  <c r="CC48" i="9"/>
  <c r="CE48" i="9" s="1"/>
  <c r="CC49" i="9"/>
  <c r="CE49" i="9" s="1"/>
  <c r="CC50" i="9"/>
  <c r="CD50" i="9" s="1"/>
  <c r="CC51" i="9"/>
  <c r="CE51" i="9" s="1"/>
  <c r="CC52" i="9"/>
  <c r="CE52" i="9" s="1"/>
  <c r="CC53" i="9"/>
  <c r="CE53" i="9" s="1"/>
  <c r="BR54" i="9"/>
  <c r="BS54" i="9"/>
  <c r="BT54" i="9"/>
  <c r="BU54" i="9"/>
  <c r="BV54" i="9"/>
  <c r="BW54" i="9"/>
  <c r="BX54" i="9"/>
  <c r="BY54" i="9"/>
  <c r="BZ54" i="9"/>
  <c r="CA54" i="9"/>
  <c r="CB54" i="9"/>
  <c r="C10" i="23" l="1"/>
  <c r="E10" i="23" s="1"/>
  <c r="K73" i="26"/>
  <c r="S62" i="13"/>
  <c r="FJ35" i="9"/>
  <c r="FI35" i="9"/>
  <c r="FH35" i="9"/>
  <c r="FJ39" i="9"/>
  <c r="FI39" i="9"/>
  <c r="FH39" i="9"/>
  <c r="FJ34" i="9"/>
  <c r="FI34" i="9"/>
  <c r="FH34" i="9"/>
  <c r="FJ41" i="9"/>
  <c r="FI41" i="9"/>
  <c r="FH41" i="9"/>
  <c r="FI33" i="9"/>
  <c r="FH33" i="9"/>
  <c r="FJ33" i="9"/>
  <c r="FJ42" i="9"/>
  <c r="FI42" i="9"/>
  <c r="FH42" i="9"/>
  <c r="FJ40" i="9"/>
  <c r="FI40" i="9"/>
  <c r="FH40" i="9"/>
  <c r="FH43" i="9"/>
  <c r="FJ43" i="9"/>
  <c r="FI43" i="9"/>
  <c r="FJ44" i="9"/>
  <c r="FI44" i="9"/>
  <c r="FH44" i="9"/>
  <c r="FJ45" i="9"/>
  <c r="FI45" i="9"/>
  <c r="FH45" i="9"/>
  <c r="FJ46" i="9"/>
  <c r="FI46" i="9"/>
  <c r="FH46" i="9"/>
  <c r="FJ47" i="9"/>
  <c r="FI47" i="9"/>
  <c r="FH47" i="9"/>
  <c r="FI48" i="9"/>
  <c r="FH48" i="9"/>
  <c r="FJ48" i="9"/>
  <c r="FJ49" i="9"/>
  <c r="FI49" i="9"/>
  <c r="FH49" i="9"/>
  <c r="FJ31" i="9"/>
  <c r="FI31" i="9"/>
  <c r="FH31" i="9"/>
  <c r="FJ50" i="9"/>
  <c r="FI50" i="9"/>
  <c r="FH50" i="9"/>
  <c r="FJ51" i="9"/>
  <c r="FI51" i="9"/>
  <c r="FH51" i="9"/>
  <c r="FJ32" i="9"/>
  <c r="FI32" i="9"/>
  <c r="FH32" i="9"/>
  <c r="FJ52" i="9"/>
  <c r="FI52" i="9"/>
  <c r="FH52" i="9"/>
  <c r="FJ37" i="9"/>
  <c r="FI37" i="9"/>
  <c r="FH37" i="9"/>
  <c r="FJ53" i="9"/>
  <c r="FI53" i="9"/>
  <c r="FH53" i="9"/>
  <c r="FJ36" i="9"/>
  <c r="FI36" i="9"/>
  <c r="FH36" i="9"/>
  <c r="FJ38" i="9"/>
  <c r="FI38" i="9"/>
  <c r="FH38" i="9"/>
  <c r="EW32" i="9" a="1"/>
  <c r="EW32" i="9" s="1"/>
  <c r="CH46" i="9"/>
  <c r="CH47" i="9"/>
  <c r="CV31" i="9" a="1"/>
  <c r="CV31" i="9" s="1"/>
  <c r="H73" i="10"/>
  <c r="N62" i="10" s="1"/>
  <c r="N64" i="10" s="1"/>
  <c r="E83" i="23"/>
  <c r="E101" i="23" s="1"/>
  <c r="C101" i="23"/>
  <c r="S49" i="23" s="1"/>
  <c r="O62" i="26"/>
  <c r="O63" i="26" s="1"/>
  <c r="O64" i="26" s="1"/>
  <c r="T63" i="65"/>
  <c r="T64" i="65" s="1"/>
  <c r="BR56" i="9"/>
  <c r="BR60" i="9" s="1"/>
  <c r="CH31" i="9"/>
  <c r="EH27" i="9" a="1"/>
  <c r="EH27" i="9" s="1"/>
  <c r="FB32" i="9" a="1"/>
  <c r="FB32" i="9" s="1"/>
  <c r="EG32" i="9" a="1"/>
  <c r="EG32" i="9" s="1"/>
  <c r="DV32" i="9" a="1"/>
  <c r="DV32" i="9" s="1"/>
  <c r="DK32" i="9" a="1"/>
  <c r="DK32" i="9" s="1"/>
  <c r="DA32" i="9" a="1"/>
  <c r="DA32" i="9" s="1"/>
  <c r="CQ32" i="9" a="1"/>
  <c r="CQ32" i="9" s="1"/>
  <c r="EH32" i="9" a="1"/>
  <c r="EH32" i="9" s="1"/>
  <c r="DW32" i="9" a="1"/>
  <c r="DW32" i="9" s="1"/>
  <c r="CZ32" i="9" a="1"/>
  <c r="CZ32" i="9" s="1"/>
  <c r="CO32" i="9" a="1"/>
  <c r="CO32" i="9" s="1"/>
  <c r="FD32" i="9" a="1"/>
  <c r="FD32" i="9" s="1"/>
  <c r="ET32" i="9" a="1"/>
  <c r="ET32" i="9" s="1"/>
  <c r="DU32" i="9" a="1"/>
  <c r="DU32" i="9" s="1"/>
  <c r="DJ32" i="9" a="1"/>
  <c r="DJ32" i="9" s="1"/>
  <c r="EZ32" i="9" a="1"/>
  <c r="EZ32" i="9" s="1"/>
  <c r="EP32" i="9" a="1"/>
  <c r="EP32" i="9" s="1"/>
  <c r="EC32" i="9" a="1"/>
  <c r="EC32" i="9" s="1"/>
  <c r="DR32" i="9" a="1"/>
  <c r="DR32" i="9" s="1"/>
  <c r="DG32" i="9" a="1"/>
  <c r="DG32" i="9" s="1"/>
  <c r="CK32" i="9" a="1"/>
  <c r="CK32" i="9" s="1"/>
  <c r="FF32" i="9" a="1"/>
  <c r="FF32" i="9" s="1"/>
  <c r="ES32" i="9" a="1"/>
  <c r="ES32" i="9" s="1"/>
  <c r="ED32" i="9" a="1"/>
  <c r="ED32" i="9" s="1"/>
  <c r="DC32" i="9" a="1"/>
  <c r="DC32" i="9" s="1"/>
  <c r="CP32" i="9" a="1"/>
  <c r="CP32" i="9" s="1"/>
  <c r="FE32" i="9" a="1"/>
  <c r="FE32" i="9" s="1"/>
  <c r="EQ32" i="9" a="1"/>
  <c r="EQ32" i="9" s="1"/>
  <c r="EB32" i="9" a="1"/>
  <c r="EB32" i="9" s="1"/>
  <c r="DN32" i="9" a="1"/>
  <c r="DN32" i="9" s="1"/>
  <c r="DB32" i="9" a="1"/>
  <c r="DB32" i="9" s="1"/>
  <c r="DM32" i="9" a="1"/>
  <c r="DM32" i="9" s="1"/>
  <c r="CM32" i="9" a="1"/>
  <c r="CM32" i="9" s="1"/>
  <c r="FC32" i="9" a="1"/>
  <c r="FC32" i="9" s="1"/>
  <c r="EO32" i="9" a="1"/>
  <c r="EO32" i="9" s="1"/>
  <c r="EA32" i="9" a="1"/>
  <c r="EA32" i="9" s="1"/>
  <c r="CY32" i="9" a="1"/>
  <c r="CY32" i="9" s="1"/>
  <c r="CL32" i="9" a="1"/>
  <c r="CL32" i="9" s="1"/>
  <c r="FA32" i="9" a="1"/>
  <c r="FA32" i="9" s="1"/>
  <c r="DZ32" i="9" a="1"/>
  <c r="DZ32" i="9" s="1"/>
  <c r="DL32" i="9" a="1"/>
  <c r="DL32" i="9" s="1"/>
  <c r="CJ32" i="9" a="1"/>
  <c r="CJ32" i="9" s="1"/>
  <c r="EN32" i="9" a="1"/>
  <c r="EN32" i="9" s="1"/>
  <c r="CX32" i="9" a="1"/>
  <c r="CX32" i="9" s="1"/>
  <c r="CI32" i="9" a="1"/>
  <c r="CI32" i="9" s="1"/>
  <c r="EY32" i="9" a="1"/>
  <c r="EY32" i="9" s="1"/>
  <c r="EL32" i="9" a="1"/>
  <c r="EL32" i="9" s="1"/>
  <c r="CV32" i="9" a="1"/>
  <c r="CV32" i="9" s="1"/>
  <c r="EU32" i="9" a="1"/>
  <c r="EU32" i="9" s="1"/>
  <c r="DS32" i="9" a="1"/>
  <c r="DS32" i="9" s="1"/>
  <c r="EM32" i="9" a="1"/>
  <c r="EM32" i="9" s="1"/>
  <c r="DP32" i="9" a="1"/>
  <c r="DP32" i="9" s="1"/>
  <c r="CR32" i="9" a="1"/>
  <c r="CR32" i="9" s="1"/>
  <c r="EF32" i="9" a="1"/>
  <c r="EF32" i="9" s="1"/>
  <c r="DE32" i="9" a="1"/>
  <c r="DE32" i="9" s="1"/>
  <c r="FG32" i="9" a="1"/>
  <c r="FG32" i="9" s="1"/>
  <c r="EE32" i="9" a="1"/>
  <c r="EE32" i="9" s="1"/>
  <c r="DD32" i="9" a="1"/>
  <c r="DD32" i="9" s="1"/>
  <c r="DY32" i="9" a="1"/>
  <c r="DY32" i="9" s="1"/>
  <c r="CW32" i="9" a="1"/>
  <c r="CW32" i="9" s="1"/>
  <c r="EX32" i="9" a="1"/>
  <c r="EX32" i="9" s="1"/>
  <c r="DX32" i="9" a="1"/>
  <c r="DX32" i="9" s="1"/>
  <c r="CU32" i="9" a="1"/>
  <c r="CU32" i="9" s="1"/>
  <c r="EV32" i="9" a="1"/>
  <c r="EV32" i="9" s="1"/>
  <c r="DQ32" i="9" a="1"/>
  <c r="DQ32" i="9" s="1"/>
  <c r="DO32" i="9" a="1"/>
  <c r="DO32" i="9" s="1"/>
  <c r="EK32" i="9" a="1"/>
  <c r="EK32" i="9" s="1"/>
  <c r="DH32" i="9" a="1"/>
  <c r="DH32" i="9" s="1"/>
  <c r="DT32" i="9" a="1"/>
  <c r="DT32" i="9" s="1"/>
  <c r="DI32" i="9" a="1"/>
  <c r="DI32" i="9" s="1"/>
  <c r="CH32" i="9"/>
  <c r="DF32" i="9" a="1"/>
  <c r="DF32" i="9" s="1"/>
  <c r="CT32" i="9" a="1"/>
  <c r="CT32" i="9" s="1"/>
  <c r="CS32" i="9" a="1"/>
  <c r="CS32" i="9" s="1"/>
  <c r="CN32" i="9" a="1"/>
  <c r="CN32" i="9" s="1"/>
  <c r="EJ32" i="9" a="1"/>
  <c r="EJ32" i="9" s="1"/>
  <c r="EI32" i="9" a="1"/>
  <c r="EI32" i="9" s="1"/>
  <c r="ES48" i="9" a="1"/>
  <c r="ES48" i="9" s="1"/>
  <c r="EH48" i="9" a="1"/>
  <c r="EH48" i="9" s="1"/>
  <c r="DW48" i="9" a="1"/>
  <c r="DW48" i="9" s="1"/>
  <c r="DA48" i="9" a="1"/>
  <c r="DA48" i="9" s="1"/>
  <c r="CP48" i="9" a="1"/>
  <c r="CP48" i="9" s="1"/>
  <c r="FD48" i="9" a="1"/>
  <c r="FD48" i="9" s="1"/>
  <c r="ER48" i="9" a="1"/>
  <c r="ER48" i="9" s="1"/>
  <c r="DV48" i="9" a="1"/>
  <c r="DV48" i="9" s="1"/>
  <c r="DK48" i="9" a="1"/>
  <c r="DK48" i="9" s="1"/>
  <c r="CZ48" i="9" a="1"/>
  <c r="CZ48" i="9" s="1"/>
  <c r="CO48" i="9" a="1"/>
  <c r="CO48" i="9" s="1"/>
  <c r="FC48" i="9" a="1"/>
  <c r="FC48" i="9" s="1"/>
  <c r="EQ48" i="9" a="1"/>
  <c r="EQ48" i="9" s="1"/>
  <c r="EF48" i="9" a="1"/>
  <c r="EF48" i="9" s="1"/>
  <c r="DT48" i="9" a="1"/>
  <c r="DT48" i="9" s="1"/>
  <c r="DJ48" i="9" a="1"/>
  <c r="DJ48" i="9" s="1"/>
  <c r="CY48" i="9" a="1"/>
  <c r="CY48" i="9" s="1"/>
  <c r="FB48" i="9" a="1"/>
  <c r="FB48" i="9" s="1"/>
  <c r="EP48" i="9" a="1"/>
  <c r="EP48" i="9" s="1"/>
  <c r="EE48" i="9" a="1"/>
  <c r="EE48" i="9" s="1"/>
  <c r="CM48" i="9" a="1"/>
  <c r="CM48" i="9" s="1"/>
  <c r="EZ48" i="9" a="1"/>
  <c r="EZ48" i="9" s="1"/>
  <c r="EN48" i="9" a="1"/>
  <c r="EN48" i="9" s="1"/>
  <c r="ED48" i="9" a="1"/>
  <c r="ED48" i="9" s="1"/>
  <c r="DH48" i="9" a="1"/>
  <c r="DH48" i="9" s="1"/>
  <c r="CK48" i="9" a="1"/>
  <c r="CK48" i="9" s="1"/>
  <c r="DR48" i="9" a="1"/>
  <c r="DR48" i="9" s="1"/>
  <c r="DG48" i="9" a="1"/>
  <c r="DG48" i="9" s="1"/>
  <c r="CW48" i="9" a="1"/>
  <c r="CW48" i="9" s="1"/>
  <c r="CJ48" i="9" a="1"/>
  <c r="CJ48" i="9" s="1"/>
  <c r="EY48" i="9" a="1"/>
  <c r="EY48" i="9" s="1"/>
  <c r="EM48" i="9" a="1"/>
  <c r="EM48" i="9" s="1"/>
  <c r="EC48" i="9" a="1"/>
  <c r="EC48" i="9" s="1"/>
  <c r="DQ48" i="9" a="1"/>
  <c r="DQ48" i="9" s="1"/>
  <c r="CV48" i="9" a="1"/>
  <c r="CV48" i="9" s="1"/>
  <c r="CI48" i="9" a="1"/>
  <c r="CI48" i="9" s="1"/>
  <c r="EW48" i="9" a="1"/>
  <c r="EW48" i="9" s="1"/>
  <c r="EA48" i="9" a="1"/>
  <c r="EA48" i="9" s="1"/>
  <c r="DO48" i="9" a="1"/>
  <c r="DO48" i="9" s="1"/>
  <c r="DD48" i="9" a="1"/>
  <c r="DD48" i="9" s="1"/>
  <c r="CT48" i="9" a="1"/>
  <c r="CT48" i="9" s="1"/>
  <c r="EO48" i="9" a="1"/>
  <c r="EO48" i="9" s="1"/>
  <c r="DS48" i="9" a="1"/>
  <c r="DS48" i="9" s="1"/>
  <c r="CX48" i="9" a="1"/>
  <c r="CX48" i="9" s="1"/>
  <c r="EL48" i="9" a="1"/>
  <c r="EL48" i="9" s="1"/>
  <c r="DP48" i="9" a="1"/>
  <c r="DP48" i="9" s="1"/>
  <c r="CU48" i="9" a="1"/>
  <c r="CU48" i="9" s="1"/>
  <c r="EK48" i="9" a="1"/>
  <c r="EK48" i="9" s="1"/>
  <c r="CS48" i="9" a="1"/>
  <c r="CS48" i="9" s="1"/>
  <c r="DI48" i="9" a="1"/>
  <c r="DI48" i="9" s="1"/>
  <c r="EI48" i="9" a="1"/>
  <c r="EI48" i="9" s="1"/>
  <c r="DF48" i="9" a="1"/>
  <c r="DF48" i="9" s="1"/>
  <c r="FG48" i="9" a="1"/>
  <c r="FG48" i="9" s="1"/>
  <c r="EG48" i="9" a="1"/>
  <c r="EG48" i="9" s="1"/>
  <c r="DE48" i="9" a="1"/>
  <c r="DE48" i="9" s="1"/>
  <c r="FF48" i="9" a="1"/>
  <c r="FF48" i="9" s="1"/>
  <c r="FE48" i="9" a="1"/>
  <c r="FE48" i="9" s="1"/>
  <c r="EB48" i="9" a="1"/>
  <c r="EB48" i="9" s="1"/>
  <c r="DC48" i="9" a="1"/>
  <c r="DC48" i="9" s="1"/>
  <c r="DB48" i="9" a="1"/>
  <c r="DB48" i="9" s="1"/>
  <c r="FA48" i="9" a="1"/>
  <c r="FA48" i="9" s="1"/>
  <c r="DZ48" i="9" a="1"/>
  <c r="DZ48" i="9" s="1"/>
  <c r="DX48" i="9" a="1"/>
  <c r="DX48" i="9" s="1"/>
  <c r="EV48" i="9" a="1"/>
  <c r="EV48" i="9" s="1"/>
  <c r="DU48" i="9" a="1"/>
  <c r="DU48" i="9" s="1"/>
  <c r="CR48" i="9" a="1"/>
  <c r="CR48" i="9" s="1"/>
  <c r="EU48" i="9" a="1"/>
  <c r="EU48" i="9" s="1"/>
  <c r="CQ48" i="9" a="1"/>
  <c r="CQ48" i="9" s="1"/>
  <c r="ET48" i="9" a="1"/>
  <c r="ET48" i="9" s="1"/>
  <c r="DN48" i="9" a="1"/>
  <c r="DN48" i="9" s="1"/>
  <c r="CN48" i="9" a="1"/>
  <c r="CN48" i="9" s="1"/>
  <c r="DM48" i="9" a="1"/>
  <c r="DM48" i="9" s="1"/>
  <c r="CL48" i="9" a="1"/>
  <c r="CL48" i="9" s="1"/>
  <c r="DL48" i="9" a="1"/>
  <c r="DL48" i="9" s="1"/>
  <c r="EX48" i="9" a="1"/>
  <c r="EX48" i="9" s="1"/>
  <c r="EJ48" i="9" a="1"/>
  <c r="EJ48" i="9" s="1"/>
  <c r="DY48" i="9" a="1"/>
  <c r="DY48" i="9" s="1"/>
  <c r="CH48" i="9"/>
  <c r="FG33" i="9" a="1"/>
  <c r="FG33" i="9" s="1"/>
  <c r="DX33" i="9" a="1"/>
  <c r="DX33" i="9" s="1"/>
  <c r="CZ33" i="9" a="1"/>
  <c r="CZ33" i="9" s="1"/>
  <c r="CM33" i="9" a="1"/>
  <c r="CM33" i="9" s="1"/>
  <c r="EQ33" i="9" a="1"/>
  <c r="EQ33" i="9" s="1"/>
  <c r="ED33" i="9" a="1"/>
  <c r="ED33" i="9" s="1"/>
  <c r="DQ33" i="9" a="1"/>
  <c r="DQ33" i="9" s="1"/>
  <c r="FB33" i="9" a="1"/>
  <c r="FB33" i="9" s="1"/>
  <c r="EP33" i="9" a="1"/>
  <c r="EP33" i="9" s="1"/>
  <c r="DP33" i="9" a="1"/>
  <c r="DP33" i="9" s="1"/>
  <c r="DD33" i="9" a="1"/>
  <c r="DD33" i="9" s="1"/>
  <c r="CQ33" i="9" a="1"/>
  <c r="CQ33" i="9" s="1"/>
  <c r="EY33" i="9" a="1"/>
  <c r="EY33" i="9" s="1"/>
  <c r="EA33" i="9" a="1"/>
  <c r="EA33" i="9" s="1"/>
  <c r="DM33" i="9" a="1"/>
  <c r="DM33" i="9" s="1"/>
  <c r="EX33" i="9" a="1"/>
  <c r="EX33" i="9" s="1"/>
  <c r="EM33" i="9" a="1"/>
  <c r="EM33" i="9" s="1"/>
  <c r="DZ33" i="9" a="1"/>
  <c r="DZ33" i="9" s="1"/>
  <c r="DL33" i="9" a="1"/>
  <c r="DL33" i="9" s="1"/>
  <c r="CK33" i="9" a="1"/>
  <c r="CK33" i="9" s="1"/>
  <c r="ET33" i="9" a="1"/>
  <c r="ET33" i="9" s="1"/>
  <c r="EE33" i="9" a="1"/>
  <c r="EE33" i="9" s="1"/>
  <c r="DK33" i="9" a="1"/>
  <c r="DK33" i="9" s="1"/>
  <c r="CV33" i="9" a="1"/>
  <c r="CV33" i="9" s="1"/>
  <c r="ES33" i="9" a="1"/>
  <c r="ES33" i="9" s="1"/>
  <c r="EB33" i="9" a="1"/>
  <c r="EB33" i="9" s="1"/>
  <c r="DJ33" i="9" a="1"/>
  <c r="DJ33" i="9" s="1"/>
  <c r="CT33" i="9" a="1"/>
  <c r="CT33" i="9" s="1"/>
  <c r="DI33" i="9" a="1"/>
  <c r="DI33" i="9" s="1"/>
  <c r="FF33" i="9" a="1"/>
  <c r="FF33" i="9" s="1"/>
  <c r="ER33" i="9" a="1"/>
  <c r="ER33" i="9" s="1"/>
  <c r="DY33" i="9" a="1"/>
  <c r="DY33" i="9" s="1"/>
  <c r="DH33" i="9" a="1"/>
  <c r="DH33" i="9" s="1"/>
  <c r="CS33" i="9" a="1"/>
  <c r="CS33" i="9" s="1"/>
  <c r="FE33" i="9" a="1"/>
  <c r="FE33" i="9" s="1"/>
  <c r="CR33" i="9" a="1"/>
  <c r="CR33" i="9" s="1"/>
  <c r="FD33" i="9" a="1"/>
  <c r="FD33" i="9" s="1"/>
  <c r="EO33" i="9" a="1"/>
  <c r="EO33" i="9" s="1"/>
  <c r="DW33" i="9" a="1"/>
  <c r="DW33" i="9" s="1"/>
  <c r="DG33" i="9" a="1"/>
  <c r="DG33" i="9" s="1"/>
  <c r="CP33" i="9" a="1"/>
  <c r="CP33" i="9" s="1"/>
  <c r="FC33" i="9" a="1"/>
  <c r="FC33" i="9" s="1"/>
  <c r="EL33" i="9" a="1"/>
  <c r="EL33" i="9" s="1"/>
  <c r="DE33" i="9" a="1"/>
  <c r="DE33" i="9" s="1"/>
  <c r="CN33" i="9" a="1"/>
  <c r="CN33" i="9" s="1"/>
  <c r="DT33" i="9" a="1"/>
  <c r="DT33" i="9" s="1"/>
  <c r="CO33" i="9" a="1"/>
  <c r="CO33" i="9" s="1"/>
  <c r="EV33" i="9" a="1"/>
  <c r="EV33" i="9" s="1"/>
  <c r="DR33" i="9" a="1"/>
  <c r="DR33" i="9" s="1"/>
  <c r="CJ33" i="9" a="1"/>
  <c r="CJ33" i="9" s="1"/>
  <c r="EZ33" i="9" a="1"/>
  <c r="EZ33" i="9" s="1"/>
  <c r="EW33" i="9" a="1"/>
  <c r="EW33" i="9" s="1"/>
  <c r="DO33" i="9" a="1"/>
  <c r="DO33" i="9" s="1"/>
  <c r="EU33" i="9" a="1"/>
  <c r="EU33" i="9" s="1"/>
  <c r="DN33" i="9" a="1"/>
  <c r="DN33" i="9" s="1"/>
  <c r="EN33" i="9" a="1"/>
  <c r="EN33" i="9" s="1"/>
  <c r="DF33" i="9" a="1"/>
  <c r="DF33" i="9" s="1"/>
  <c r="EK33" i="9" a="1"/>
  <c r="EK33" i="9" s="1"/>
  <c r="EH33" i="9" a="1"/>
  <c r="EH33" i="9" s="1"/>
  <c r="DA33" i="9" a="1"/>
  <c r="DA33" i="9" s="1"/>
  <c r="EG33" i="9" a="1"/>
  <c r="EG33" i="9" s="1"/>
  <c r="CY33" i="9" a="1"/>
  <c r="CY33" i="9" s="1"/>
  <c r="EF33" i="9" a="1"/>
  <c r="EF33" i="9" s="1"/>
  <c r="CX33" i="9" a="1"/>
  <c r="CX33" i="9" s="1"/>
  <c r="EC33" i="9" a="1"/>
  <c r="EC33" i="9" s="1"/>
  <c r="CU33" i="9" a="1"/>
  <c r="CU33" i="9" s="1"/>
  <c r="DU33" i="9" a="1"/>
  <c r="DU33" i="9" s="1"/>
  <c r="DS33" i="9" a="1"/>
  <c r="DS33" i="9" s="1"/>
  <c r="DC33" i="9" a="1"/>
  <c r="DC33" i="9" s="1"/>
  <c r="CH33" i="9"/>
  <c r="DB33" i="9" a="1"/>
  <c r="DB33" i="9" s="1"/>
  <c r="CW33" i="9" a="1"/>
  <c r="CW33" i="9" s="1"/>
  <c r="CL33" i="9" a="1"/>
  <c r="CL33" i="9" s="1"/>
  <c r="CI33" i="9" a="1"/>
  <c r="CI33" i="9" s="1"/>
  <c r="FA33" i="9" a="1"/>
  <c r="FA33" i="9" s="1"/>
  <c r="EI33" i="9" a="1"/>
  <c r="EI33" i="9" s="1"/>
  <c r="DV33" i="9" a="1"/>
  <c r="DV33" i="9" s="1"/>
  <c r="FF49" i="9" a="1"/>
  <c r="FF49" i="9" s="1"/>
  <c r="DX49" i="9" a="1"/>
  <c r="DX49" i="9" s="1"/>
  <c r="DN49" i="9" a="1"/>
  <c r="DN49" i="9" s="1"/>
  <c r="DC49" i="9" a="1"/>
  <c r="DC49" i="9" s="1"/>
  <c r="CQ49" i="9" a="1"/>
  <c r="CQ49" i="9" s="1"/>
  <c r="FE49" i="9" a="1"/>
  <c r="FE49" i="9" s="1"/>
  <c r="ET49" i="9" a="1"/>
  <c r="ET49" i="9" s="1"/>
  <c r="EI49" i="9" a="1"/>
  <c r="EI49" i="9" s="1"/>
  <c r="DW49" i="9" a="1"/>
  <c r="DW49" i="9" s="1"/>
  <c r="DM49" i="9" a="1"/>
  <c r="DM49" i="9" s="1"/>
  <c r="FC49" i="9" a="1"/>
  <c r="FC49" i="9" s="1"/>
  <c r="DV49" i="9" a="1"/>
  <c r="DV49" i="9" s="1"/>
  <c r="DL49" i="9" a="1"/>
  <c r="DL49" i="9" s="1"/>
  <c r="DA49" i="9" a="1"/>
  <c r="DA49" i="9" s="1"/>
  <c r="CO49" i="9" a="1"/>
  <c r="CO49" i="9" s="1"/>
  <c r="ER49" i="9" a="1"/>
  <c r="ER49" i="9" s="1"/>
  <c r="EG49" i="9" a="1"/>
  <c r="EG49" i="9" s="1"/>
  <c r="CZ49" i="9" a="1"/>
  <c r="CZ49" i="9" s="1"/>
  <c r="EQ49" i="9" a="1"/>
  <c r="EQ49" i="9" s="1"/>
  <c r="EE49" i="9" a="1"/>
  <c r="EE49" i="9" s="1"/>
  <c r="DJ49" i="9" a="1"/>
  <c r="DJ49" i="9" s="1"/>
  <c r="FA49" i="9" a="1"/>
  <c r="FA49" i="9" s="1"/>
  <c r="EP49" i="9" a="1"/>
  <c r="EP49" i="9" s="1"/>
  <c r="DT49" i="9" a="1"/>
  <c r="DT49" i="9" s="1"/>
  <c r="CX49" i="9" a="1"/>
  <c r="CX49" i="9" s="1"/>
  <c r="CM49" i="9" a="1"/>
  <c r="CM49" i="9" s="1"/>
  <c r="EZ49" i="9" a="1"/>
  <c r="EZ49" i="9" s="1"/>
  <c r="EO49" i="9" a="1"/>
  <c r="EO49" i="9" s="1"/>
  <c r="ED49" i="9" a="1"/>
  <c r="ED49" i="9" s="1"/>
  <c r="DS49" i="9" a="1"/>
  <c r="DS49" i="9" s="1"/>
  <c r="DI49" i="9" a="1"/>
  <c r="DI49" i="9" s="1"/>
  <c r="CL49" i="9" a="1"/>
  <c r="CL49" i="9" s="1"/>
  <c r="EX49" i="9" a="1"/>
  <c r="EX49" i="9" s="1"/>
  <c r="EM49" i="9" a="1"/>
  <c r="EM49" i="9" s="1"/>
  <c r="EB49" i="9" a="1"/>
  <c r="EB49" i="9" s="1"/>
  <c r="DQ49" i="9" a="1"/>
  <c r="DQ49" i="9" s="1"/>
  <c r="CU49" i="9" a="1"/>
  <c r="CU49" i="9" s="1"/>
  <c r="CI49" i="9" a="1"/>
  <c r="CI49" i="9" s="1"/>
  <c r="FB49" i="9" a="1"/>
  <c r="FB49" i="9" s="1"/>
  <c r="EF49" i="9" a="1"/>
  <c r="EF49" i="9" s="1"/>
  <c r="DK49" i="9" a="1"/>
  <c r="DK49" i="9" s="1"/>
  <c r="CN49" i="9" a="1"/>
  <c r="CN49" i="9" s="1"/>
  <c r="DG49" i="9" a="1"/>
  <c r="DG49" i="9" s="1"/>
  <c r="CJ49" i="9" a="1"/>
  <c r="CJ49" i="9" s="1"/>
  <c r="EA49" i="9" a="1"/>
  <c r="EA49" i="9" s="1"/>
  <c r="DF49" i="9" a="1"/>
  <c r="DF49" i="9" s="1"/>
  <c r="DP49" i="9" a="1"/>
  <c r="DP49" i="9" s="1"/>
  <c r="CP49" i="9" a="1"/>
  <c r="CP49" i="9" s="1"/>
  <c r="EN49" i="9" a="1"/>
  <c r="EN49" i="9" s="1"/>
  <c r="DO49" i="9" a="1"/>
  <c r="DO49" i="9" s="1"/>
  <c r="CK49" i="9" a="1"/>
  <c r="CK49" i="9" s="1"/>
  <c r="EL49" i="9" a="1"/>
  <c r="EL49" i="9" s="1"/>
  <c r="EK49" i="9" a="1"/>
  <c r="EK49" i="9" s="1"/>
  <c r="DH49" i="9" a="1"/>
  <c r="DH49" i="9" s="1"/>
  <c r="EJ49" i="9" a="1"/>
  <c r="EJ49" i="9" s="1"/>
  <c r="DE49" i="9" a="1"/>
  <c r="DE49" i="9" s="1"/>
  <c r="EH49" i="9" a="1"/>
  <c r="EH49" i="9" s="1"/>
  <c r="DD49" i="9" a="1"/>
  <c r="DD49" i="9" s="1"/>
  <c r="EC49" i="9" a="1"/>
  <c r="EC49" i="9" s="1"/>
  <c r="FD49" i="9" a="1"/>
  <c r="FD49" i="9" s="1"/>
  <c r="DZ49" i="9" a="1"/>
  <c r="DZ49" i="9" s="1"/>
  <c r="CY49" i="9" a="1"/>
  <c r="CY49" i="9" s="1"/>
  <c r="EY49" i="9" a="1"/>
  <c r="EY49" i="9" s="1"/>
  <c r="DY49" i="9" a="1"/>
  <c r="DY49" i="9" s="1"/>
  <c r="CW49" i="9" a="1"/>
  <c r="CW49" i="9" s="1"/>
  <c r="EW49" i="9" a="1"/>
  <c r="EW49" i="9" s="1"/>
  <c r="CV49" i="9" a="1"/>
  <c r="CV49" i="9" s="1"/>
  <c r="EV49" i="9" a="1"/>
  <c r="EV49" i="9" s="1"/>
  <c r="DU49" i="9" a="1"/>
  <c r="DU49" i="9" s="1"/>
  <c r="CT49" i="9" a="1"/>
  <c r="CT49" i="9" s="1"/>
  <c r="EU49" i="9" a="1"/>
  <c r="EU49" i="9" s="1"/>
  <c r="CS49" i="9" a="1"/>
  <c r="CS49" i="9" s="1"/>
  <c r="ES49" i="9" a="1"/>
  <c r="ES49" i="9" s="1"/>
  <c r="DR49" i="9" a="1"/>
  <c r="DR49" i="9" s="1"/>
  <c r="FG49" i="9" a="1"/>
  <c r="FG49" i="9" s="1"/>
  <c r="CR49" i="9" a="1"/>
  <c r="CR49" i="9" s="1"/>
  <c r="DB49" i="9" a="1"/>
  <c r="DB49" i="9" s="1"/>
  <c r="CH49" i="9"/>
  <c r="CV27" i="9" a="1"/>
  <c r="CV27" i="9" s="1"/>
  <c r="EN34" i="9" a="1"/>
  <c r="EN34" i="9" s="1"/>
  <c r="EB34" i="9" a="1"/>
  <c r="EB34" i="9" s="1"/>
  <c r="DQ34" i="9" a="1"/>
  <c r="DQ34" i="9" s="1"/>
  <c r="CT34" i="9" a="1"/>
  <c r="CT34" i="9" s="1"/>
  <c r="EY34" i="9" a="1"/>
  <c r="EY34" i="9" s="1"/>
  <c r="EM34" i="9" a="1"/>
  <c r="EM34" i="9" s="1"/>
  <c r="DO34" i="9" a="1"/>
  <c r="DO34" i="9" s="1"/>
  <c r="CP34" i="9" a="1"/>
  <c r="CP34" i="9" s="1"/>
  <c r="EX34" i="9" a="1"/>
  <c r="EX34" i="9" s="1"/>
  <c r="EL34" i="9" a="1"/>
  <c r="EL34" i="9" s="1"/>
  <c r="DZ34" i="9" a="1"/>
  <c r="DZ34" i="9" s="1"/>
  <c r="DB34" i="9" a="1"/>
  <c r="DB34" i="9" s="1"/>
  <c r="CO34" i="9" a="1"/>
  <c r="CO34" i="9" s="1"/>
  <c r="EV34" i="9" a="1"/>
  <c r="EV34" i="9" s="1"/>
  <c r="DX34" i="9" a="1"/>
  <c r="DX34" i="9" s="1"/>
  <c r="DL34" i="9" a="1"/>
  <c r="DL34" i="9" s="1"/>
  <c r="CY34" i="9" a="1"/>
  <c r="CY34" i="9" s="1"/>
  <c r="CL34" i="9" a="1"/>
  <c r="CL34" i="9" s="1"/>
  <c r="FG34" i="9" a="1"/>
  <c r="FG34" i="9" s="1"/>
  <c r="EU34" i="9" a="1"/>
  <c r="EU34" i="9" s="1"/>
  <c r="EH34" i="9" a="1"/>
  <c r="EH34" i="9" s="1"/>
  <c r="DK34" i="9" a="1"/>
  <c r="DK34" i="9" s="1"/>
  <c r="CX34" i="9" a="1"/>
  <c r="CX34" i="9" s="1"/>
  <c r="EZ34" i="9" a="1"/>
  <c r="EZ34" i="9" s="1"/>
  <c r="DS34" i="9" a="1"/>
  <c r="DS34" i="9" s="1"/>
  <c r="DC34" i="9" a="1"/>
  <c r="DC34" i="9" s="1"/>
  <c r="CK34" i="9" a="1"/>
  <c r="CK34" i="9" s="1"/>
  <c r="EW34" i="9" a="1"/>
  <c r="EW34" i="9" s="1"/>
  <c r="EF34" i="9" a="1"/>
  <c r="EF34" i="9" s="1"/>
  <c r="DR34" i="9" a="1"/>
  <c r="DR34" i="9" s="1"/>
  <c r="DA34" i="9" a="1"/>
  <c r="DA34" i="9" s="1"/>
  <c r="CJ34" i="9" a="1"/>
  <c r="CJ34" i="9" s="1"/>
  <c r="DP34" i="9" a="1"/>
  <c r="DP34" i="9" s="1"/>
  <c r="CZ34" i="9" a="1"/>
  <c r="CZ34" i="9" s="1"/>
  <c r="CI34" i="9" a="1"/>
  <c r="CI34" i="9" s="1"/>
  <c r="ET34" i="9" a="1"/>
  <c r="ET34" i="9" s="1"/>
  <c r="EE34" i="9" a="1"/>
  <c r="EE34" i="9" s="1"/>
  <c r="CW34" i="9" a="1"/>
  <c r="CW34" i="9" s="1"/>
  <c r="ES34" i="9" a="1"/>
  <c r="ES34" i="9" s="1"/>
  <c r="ED34" i="9" a="1"/>
  <c r="ED34" i="9" s="1"/>
  <c r="DN34" i="9" a="1"/>
  <c r="DN34" i="9" s="1"/>
  <c r="DM34" i="9" a="1"/>
  <c r="DM34" i="9" s="1"/>
  <c r="CV34" i="9" a="1"/>
  <c r="CV34" i="9" s="1"/>
  <c r="EQ34" i="9" a="1"/>
  <c r="EQ34" i="9" s="1"/>
  <c r="EA34" i="9" a="1"/>
  <c r="EA34" i="9" s="1"/>
  <c r="FF34" i="9" a="1"/>
  <c r="FF34" i="9" s="1"/>
  <c r="EG34" i="9" a="1"/>
  <c r="EG34" i="9" s="1"/>
  <c r="DE34" i="9" a="1"/>
  <c r="DE34" i="9" s="1"/>
  <c r="FE34" i="9" a="1"/>
  <c r="FE34" i="9" s="1"/>
  <c r="EO34" i="9" a="1"/>
  <c r="EO34" i="9" s="1"/>
  <c r="DH34" i="9" a="1"/>
  <c r="DH34" i="9" s="1"/>
  <c r="DG34" i="9" a="1"/>
  <c r="DG34" i="9" s="1"/>
  <c r="EK34" i="9" a="1"/>
  <c r="EK34" i="9" s="1"/>
  <c r="DF34" i="9" a="1"/>
  <c r="DF34" i="9" s="1"/>
  <c r="EI34" i="9" a="1"/>
  <c r="EI34" i="9" s="1"/>
  <c r="CU34" i="9" a="1"/>
  <c r="CU34" i="9" s="1"/>
  <c r="EC34" i="9" a="1"/>
  <c r="EC34" i="9" s="1"/>
  <c r="FD34" i="9" a="1"/>
  <c r="FD34" i="9" s="1"/>
  <c r="DW34" i="9" a="1"/>
  <c r="DW34" i="9" s="1"/>
  <c r="CQ34" i="9" a="1"/>
  <c r="CQ34" i="9" s="1"/>
  <c r="FC34" i="9" a="1"/>
  <c r="FC34" i="9" s="1"/>
  <c r="DV34" i="9" a="1"/>
  <c r="DV34" i="9" s="1"/>
  <c r="CN34" i="9" a="1"/>
  <c r="CN34" i="9" s="1"/>
  <c r="FB34" i="9" a="1"/>
  <c r="FB34" i="9" s="1"/>
  <c r="DU34" i="9" a="1"/>
  <c r="DU34" i="9" s="1"/>
  <c r="CM34" i="9" a="1"/>
  <c r="CM34" i="9" s="1"/>
  <c r="DT34" i="9" a="1"/>
  <c r="DT34" i="9" s="1"/>
  <c r="DJ34" i="9" a="1"/>
  <c r="DJ34" i="9" s="1"/>
  <c r="CH34" i="9"/>
  <c r="DI34" i="9" a="1"/>
  <c r="DI34" i="9" s="1"/>
  <c r="DD34" i="9" a="1"/>
  <c r="DD34" i="9" s="1"/>
  <c r="CS34" i="9" a="1"/>
  <c r="CS34" i="9" s="1"/>
  <c r="CR34" i="9" a="1"/>
  <c r="CR34" i="9" s="1"/>
  <c r="FA34" i="9" a="1"/>
  <c r="FA34" i="9" s="1"/>
  <c r="ER34" i="9" a="1"/>
  <c r="ER34" i="9" s="1"/>
  <c r="EJ34" i="9" a="1"/>
  <c r="EJ34" i="9" s="1"/>
  <c r="DY34" i="9" a="1"/>
  <c r="DY34" i="9" s="1"/>
  <c r="FC50" i="9" a="1"/>
  <c r="FC50" i="9" s="1"/>
  <c r="ER50" i="9" a="1"/>
  <c r="ER50" i="9" s="1"/>
  <c r="EH50" i="9" a="1"/>
  <c r="EH50" i="9" s="1"/>
  <c r="FB50" i="9" a="1"/>
  <c r="FB50" i="9" s="1"/>
  <c r="DW50" i="9" a="1"/>
  <c r="DW50" i="9" s="1"/>
  <c r="DL50" i="9" a="1"/>
  <c r="DL50" i="9" s="1"/>
  <c r="DC50" i="9" a="1"/>
  <c r="DC50" i="9" s="1"/>
  <c r="CR50" i="9" a="1"/>
  <c r="CR50" i="9" s="1"/>
  <c r="FA50" i="9" a="1"/>
  <c r="FA50" i="9" s="1"/>
  <c r="EP50" i="9" a="1"/>
  <c r="EP50" i="9" s="1"/>
  <c r="EF50" i="9" a="1"/>
  <c r="EF50" i="9" s="1"/>
  <c r="DU50" i="9" a="1"/>
  <c r="DU50" i="9" s="1"/>
  <c r="DK50" i="9" a="1"/>
  <c r="DK50" i="9" s="1"/>
  <c r="DJ50" i="9" a="1"/>
  <c r="DJ50" i="9" s="1"/>
  <c r="DA50" i="9" a="1"/>
  <c r="DA50" i="9" s="1"/>
  <c r="CP50" i="9" a="1"/>
  <c r="CP50" i="9" s="1"/>
  <c r="EZ50" i="9" a="1"/>
  <c r="EZ50" i="9" s="1"/>
  <c r="EO50" i="9" a="1"/>
  <c r="EO50" i="9" s="1"/>
  <c r="EE50" i="9" a="1"/>
  <c r="EE50" i="9" s="1"/>
  <c r="DT50" i="9" a="1"/>
  <c r="DT50" i="9" s="1"/>
  <c r="CO50" i="9" a="1"/>
  <c r="CO50" i="9" s="1"/>
  <c r="EY50" i="9" a="1"/>
  <c r="EY50" i="9" s="1"/>
  <c r="DS50" i="9" a="1"/>
  <c r="DS50" i="9" s="1"/>
  <c r="DI50" i="9" a="1"/>
  <c r="DI50" i="9" s="1"/>
  <c r="CZ50" i="9" a="1"/>
  <c r="CZ50" i="9" s="1"/>
  <c r="CN50" i="9" a="1"/>
  <c r="CN50" i="9" s="1"/>
  <c r="EX50" i="9" a="1"/>
  <c r="EX50" i="9" s="1"/>
  <c r="EN50" i="9" a="1"/>
  <c r="EN50" i="9" s="1"/>
  <c r="ED50" i="9" a="1"/>
  <c r="ED50" i="9" s="1"/>
  <c r="DR50" i="9" a="1"/>
  <c r="DR50" i="9" s="1"/>
  <c r="DH50" i="9" a="1"/>
  <c r="DH50" i="9" s="1"/>
  <c r="CY50" i="9" a="1"/>
  <c r="CY50" i="9" s="1"/>
  <c r="CM50" i="9" a="1"/>
  <c r="CM50" i="9" s="1"/>
  <c r="EC50" i="9" a="1"/>
  <c r="EC50" i="9" s="1"/>
  <c r="CX50" i="9" a="1"/>
  <c r="CX50" i="9" s="1"/>
  <c r="CL50" i="9" a="1"/>
  <c r="CL50" i="9" s="1"/>
  <c r="FF50" i="9" a="1"/>
  <c r="FF50" i="9" s="1"/>
  <c r="EU50" i="9" a="1"/>
  <c r="EU50" i="9" s="1"/>
  <c r="EK50" i="9" a="1"/>
  <c r="EK50" i="9" s="1"/>
  <c r="DZ50" i="9" a="1"/>
  <c r="DZ50" i="9" s="1"/>
  <c r="DO50" i="9" a="1"/>
  <c r="DO50" i="9" s="1"/>
  <c r="DF50" i="9" a="1"/>
  <c r="DF50" i="9" s="1"/>
  <c r="EV50" i="9" a="1"/>
  <c r="EV50" i="9" s="1"/>
  <c r="DY50" i="9" a="1"/>
  <c r="DY50" i="9" s="1"/>
  <c r="DD50" i="9" a="1"/>
  <c r="DD50" i="9" s="1"/>
  <c r="DX50" i="9" a="1"/>
  <c r="DX50" i="9" s="1"/>
  <c r="CW50" i="9" a="1"/>
  <c r="CW50" i="9" s="1"/>
  <c r="ES50" i="9" a="1"/>
  <c r="ES50" i="9" s="1"/>
  <c r="DV50" i="9" a="1"/>
  <c r="DV50" i="9" s="1"/>
  <c r="CV50" i="9" a="1"/>
  <c r="CV50" i="9" s="1"/>
  <c r="DQ50" i="9" a="1"/>
  <c r="DQ50" i="9" s="1"/>
  <c r="CS50" i="9" a="1"/>
  <c r="CS50" i="9" s="1"/>
  <c r="EW50" i="9" a="1"/>
  <c r="EW50" i="9" s="1"/>
  <c r="DP50" i="9" a="1"/>
  <c r="DP50" i="9" s="1"/>
  <c r="CQ50" i="9" a="1"/>
  <c r="CQ50" i="9" s="1"/>
  <c r="ET50" i="9" a="1"/>
  <c r="ET50" i="9" s="1"/>
  <c r="DN50" i="9" a="1"/>
  <c r="DN50" i="9" s="1"/>
  <c r="CK50" i="9" a="1"/>
  <c r="CK50" i="9" s="1"/>
  <c r="EQ50" i="9" a="1"/>
  <c r="EQ50" i="9" s="1"/>
  <c r="CJ50" i="9" a="1"/>
  <c r="CJ50" i="9" s="1"/>
  <c r="EM50" i="9" a="1"/>
  <c r="EM50" i="9" s="1"/>
  <c r="DM50" i="9" a="1"/>
  <c r="DM50" i="9" s="1"/>
  <c r="EL50" i="9" a="1"/>
  <c r="EL50" i="9" s="1"/>
  <c r="CI50" i="9" a="1"/>
  <c r="CI50" i="9" s="1"/>
  <c r="EJ50" i="9" a="1"/>
  <c r="EJ50" i="9" s="1"/>
  <c r="EI50" i="9" a="1"/>
  <c r="EI50" i="9" s="1"/>
  <c r="DE50" i="9" a="1"/>
  <c r="DE50" i="9" s="1"/>
  <c r="FG50" i="9" a="1"/>
  <c r="FG50" i="9" s="1"/>
  <c r="EG50" i="9" a="1"/>
  <c r="EG50" i="9" s="1"/>
  <c r="EB50" i="9" a="1"/>
  <c r="EB50" i="9" s="1"/>
  <c r="DB50" i="9" a="1"/>
  <c r="DB50" i="9" s="1"/>
  <c r="FE50" i="9" a="1"/>
  <c r="FE50" i="9" s="1"/>
  <c r="EA50" i="9" a="1"/>
  <c r="EA50" i="9" s="1"/>
  <c r="CU50" i="9" a="1"/>
  <c r="CU50" i="9" s="1"/>
  <c r="FD50" i="9" a="1"/>
  <c r="FD50" i="9" s="1"/>
  <c r="DG50" i="9" a="1"/>
  <c r="DG50" i="9" s="1"/>
  <c r="CT50" i="9" a="1"/>
  <c r="CT50" i="9" s="1"/>
  <c r="CH50" i="9"/>
  <c r="ER32" i="9" a="1"/>
  <c r="ER32" i="9" s="1"/>
  <c r="FB35" i="9" a="1"/>
  <c r="FB35" i="9" s="1"/>
  <c r="ES35" i="9" a="1"/>
  <c r="ES35" i="9" s="1"/>
  <c r="EH35" i="9" a="1"/>
  <c r="EH35" i="9" s="1"/>
  <c r="DI35" i="9" a="1"/>
  <c r="DI35" i="9" s="1"/>
  <c r="CY35" i="9" a="1"/>
  <c r="CY35" i="9" s="1"/>
  <c r="CL35" i="9" a="1"/>
  <c r="CL35" i="9" s="1"/>
  <c r="FA35" i="9" a="1"/>
  <c r="FA35" i="9" s="1"/>
  <c r="EY35" i="9" a="1"/>
  <c r="EY35" i="9" s="1"/>
  <c r="EW35" i="9" a="1"/>
  <c r="EW35" i="9" s="1"/>
  <c r="DZ35" i="9" a="1"/>
  <c r="DZ35" i="9" s="1"/>
  <c r="DL35" i="9" a="1"/>
  <c r="DL35" i="9" s="1"/>
  <c r="DA35" i="9" a="1"/>
  <c r="DA35" i="9" s="1"/>
  <c r="CN35" i="9" a="1"/>
  <c r="CN35" i="9" s="1"/>
  <c r="EK35" i="9" a="1"/>
  <c r="EK35" i="9" s="1"/>
  <c r="DY35" i="9" a="1"/>
  <c r="DY35" i="9" s="1"/>
  <c r="CZ35" i="9" a="1"/>
  <c r="CZ35" i="9" s="1"/>
  <c r="CM35" i="9" a="1"/>
  <c r="CM35" i="9" s="1"/>
  <c r="ET35" i="9" a="1"/>
  <c r="ET35" i="9" s="1"/>
  <c r="EI35" i="9" a="1"/>
  <c r="EI35" i="9" s="1"/>
  <c r="DU35" i="9" a="1"/>
  <c r="DU35" i="9" s="1"/>
  <c r="DH35" i="9" a="1"/>
  <c r="DH35" i="9" s="1"/>
  <c r="CW35" i="9" a="1"/>
  <c r="CW35" i="9" s="1"/>
  <c r="CI35" i="9" a="1"/>
  <c r="CI35" i="9" s="1"/>
  <c r="FE35" i="9" a="1"/>
  <c r="FE35" i="9" s="1"/>
  <c r="EG35" i="9" a="1"/>
  <c r="EG35" i="9" s="1"/>
  <c r="DT35" i="9" a="1"/>
  <c r="DT35" i="9" s="1"/>
  <c r="DG35" i="9" a="1"/>
  <c r="DG35" i="9" s="1"/>
  <c r="CV35" i="9" a="1"/>
  <c r="CV35" i="9" s="1"/>
  <c r="EA35" i="9" a="1"/>
  <c r="EA35" i="9" s="1"/>
  <c r="DF35" i="9" a="1"/>
  <c r="DF35" i="9" s="1"/>
  <c r="CR35" i="9" a="1"/>
  <c r="CR35" i="9" s="1"/>
  <c r="FC35" i="9" a="1"/>
  <c r="FC35" i="9" s="1"/>
  <c r="EN35" i="9" a="1"/>
  <c r="EN35" i="9" s="1"/>
  <c r="DW35" i="9" a="1"/>
  <c r="DW35" i="9" s="1"/>
  <c r="DE35" i="9" a="1"/>
  <c r="DE35" i="9" s="1"/>
  <c r="CP35" i="9" a="1"/>
  <c r="CP35" i="9" s="1"/>
  <c r="EM35" i="9" a="1"/>
  <c r="EM35" i="9" s="1"/>
  <c r="DV35" i="9" a="1"/>
  <c r="DV35" i="9" s="1"/>
  <c r="EL35" i="9" a="1"/>
  <c r="EL35" i="9" s="1"/>
  <c r="DS35" i="9" a="1"/>
  <c r="DS35" i="9" s="1"/>
  <c r="DD35" i="9" a="1"/>
  <c r="DD35" i="9" s="1"/>
  <c r="CO35" i="9" a="1"/>
  <c r="CO35" i="9" s="1"/>
  <c r="EZ35" i="9" a="1"/>
  <c r="EZ35" i="9" s="1"/>
  <c r="CK35" i="9" a="1"/>
  <c r="CK35" i="9" s="1"/>
  <c r="EJ35" i="9" a="1"/>
  <c r="EJ35" i="9" s="1"/>
  <c r="DR35" i="9" a="1"/>
  <c r="DR35" i="9" s="1"/>
  <c r="DC35" i="9" a="1"/>
  <c r="DC35" i="9" s="1"/>
  <c r="EF35" i="9" a="1"/>
  <c r="EF35" i="9" s="1"/>
  <c r="DP35" i="9" a="1"/>
  <c r="DP35" i="9" s="1"/>
  <c r="ER35" i="9" a="1"/>
  <c r="ER35" i="9" s="1"/>
  <c r="EP35" i="9" a="1"/>
  <c r="EP35" i="9" s="1"/>
  <c r="DK35" i="9" a="1"/>
  <c r="DK35" i="9" s="1"/>
  <c r="ED35" i="9" a="1"/>
  <c r="ED35" i="9" s="1"/>
  <c r="FG35" i="9" a="1"/>
  <c r="FG35" i="9" s="1"/>
  <c r="EC35" i="9" a="1"/>
  <c r="EC35" i="9" s="1"/>
  <c r="CU35" i="9" a="1"/>
  <c r="CU35" i="9" s="1"/>
  <c r="FF35" i="9" a="1"/>
  <c r="FF35" i="9" s="1"/>
  <c r="CS35" i="9" a="1"/>
  <c r="CS35" i="9" s="1"/>
  <c r="FD35" i="9" a="1"/>
  <c r="FD35" i="9" s="1"/>
  <c r="DX35" i="9" a="1"/>
  <c r="DX35" i="9" s="1"/>
  <c r="CQ35" i="9" a="1"/>
  <c r="CQ35" i="9" s="1"/>
  <c r="DN35" i="9" a="1"/>
  <c r="DN35" i="9" s="1"/>
  <c r="EU35" i="9" a="1"/>
  <c r="EU35" i="9" s="1"/>
  <c r="DM35" i="9" a="1"/>
  <c r="DM35" i="9" s="1"/>
  <c r="DJ35" i="9" a="1"/>
  <c r="DJ35" i="9" s="1"/>
  <c r="EO35" i="9" a="1"/>
  <c r="EO35" i="9" s="1"/>
  <c r="DQ35" i="9" a="1"/>
  <c r="DQ35" i="9" s="1"/>
  <c r="DO35" i="9" a="1"/>
  <c r="DO35" i="9" s="1"/>
  <c r="CH35" i="9"/>
  <c r="DB35" i="9" a="1"/>
  <c r="DB35" i="9" s="1"/>
  <c r="CX35" i="9" a="1"/>
  <c r="CX35" i="9" s="1"/>
  <c r="CT35" i="9" a="1"/>
  <c r="CT35" i="9" s="1"/>
  <c r="CJ35" i="9" a="1"/>
  <c r="CJ35" i="9" s="1"/>
  <c r="EX35" i="9" a="1"/>
  <c r="EX35" i="9" s="1"/>
  <c r="EV35" i="9" a="1"/>
  <c r="EV35" i="9" s="1"/>
  <c r="EE35" i="9" a="1"/>
  <c r="EE35" i="9" s="1"/>
  <c r="EB35" i="9" a="1"/>
  <c r="EB35" i="9" s="1"/>
  <c r="DK51" i="9" a="1"/>
  <c r="DK51" i="9" s="1"/>
  <c r="CZ51" i="9" a="1"/>
  <c r="CZ51" i="9" s="1"/>
  <c r="FC51" i="9" a="1"/>
  <c r="FC51" i="9" s="1"/>
  <c r="ER51" i="9" a="1"/>
  <c r="ER51" i="9" s="1"/>
  <c r="EH51" i="9" a="1"/>
  <c r="EH51" i="9" s="1"/>
  <c r="DV51" i="9" a="1"/>
  <c r="DV51" i="9" s="1"/>
  <c r="DJ51" i="9" a="1"/>
  <c r="DJ51" i="9" s="1"/>
  <c r="CY51" i="9" a="1"/>
  <c r="CY51" i="9" s="1"/>
  <c r="CN51" i="9" a="1"/>
  <c r="CN51" i="9" s="1"/>
  <c r="FB51" i="9" a="1"/>
  <c r="FB51" i="9" s="1"/>
  <c r="EQ51" i="9" a="1"/>
  <c r="EQ51" i="9" s="1"/>
  <c r="EF51" i="9" a="1"/>
  <c r="EF51" i="9" s="1"/>
  <c r="DI51" i="9" a="1"/>
  <c r="DI51" i="9" s="1"/>
  <c r="CW51" i="9" a="1"/>
  <c r="CW51" i="9" s="1"/>
  <c r="CM51" i="9" a="1"/>
  <c r="CM51" i="9" s="1"/>
  <c r="FA51" i="9" a="1"/>
  <c r="FA51" i="9" s="1"/>
  <c r="EP51" i="9" a="1"/>
  <c r="EP51" i="9" s="1"/>
  <c r="DT51" i="9" a="1"/>
  <c r="DT51" i="9" s="1"/>
  <c r="DH51" i="9" a="1"/>
  <c r="DH51" i="9" s="1"/>
  <c r="CL51" i="9" a="1"/>
  <c r="CL51" i="9" s="1"/>
  <c r="EE51" i="9" a="1"/>
  <c r="EE51" i="9" s="1"/>
  <c r="CV51" i="9" a="1"/>
  <c r="CV51" i="9" s="1"/>
  <c r="CK51" i="9" a="1"/>
  <c r="CK51" i="9" s="1"/>
  <c r="EZ51" i="9" a="1"/>
  <c r="EZ51" i="9" s="1"/>
  <c r="EO51" i="9" a="1"/>
  <c r="EO51" i="9" s="1"/>
  <c r="ED51" i="9" a="1"/>
  <c r="ED51" i="9" s="1"/>
  <c r="DS51" i="9" a="1"/>
  <c r="DS51" i="9" s="1"/>
  <c r="DG51" i="9" a="1"/>
  <c r="DG51" i="9" s="1"/>
  <c r="CU51" i="9" a="1"/>
  <c r="CU51" i="9" s="1"/>
  <c r="EN51" i="9" a="1"/>
  <c r="EN51" i="9" s="1"/>
  <c r="EC51" i="9" a="1"/>
  <c r="EC51" i="9" s="1"/>
  <c r="DR51" i="9" a="1"/>
  <c r="DR51" i="9" s="1"/>
  <c r="DF51" i="9" a="1"/>
  <c r="DF51" i="9" s="1"/>
  <c r="CT51" i="9" a="1"/>
  <c r="CT51" i="9" s="1"/>
  <c r="CJ51" i="9" a="1"/>
  <c r="CJ51" i="9" s="1"/>
  <c r="EY51" i="9" a="1"/>
  <c r="EY51" i="9" s="1"/>
  <c r="DE51" i="9" a="1"/>
  <c r="DE51" i="9" s="1"/>
  <c r="EV51" i="9" a="1"/>
  <c r="EV51" i="9" s="1"/>
  <c r="EL51" i="9" a="1"/>
  <c r="EL51" i="9" s="1"/>
  <c r="DZ51" i="9" a="1"/>
  <c r="DZ51" i="9" s="1"/>
  <c r="DO51" i="9" a="1"/>
  <c r="DO51" i="9" s="1"/>
  <c r="CR51" i="9" a="1"/>
  <c r="CR51" i="9" s="1"/>
  <c r="DX51" i="9" a="1"/>
  <c r="DX51" i="9" s="1"/>
  <c r="CX51" i="9" a="1"/>
  <c r="CX51" i="9" s="1"/>
  <c r="ET51" i="9" a="1"/>
  <c r="ET51" i="9" s="1"/>
  <c r="DU51" i="9" a="1"/>
  <c r="DU51" i="9" s="1"/>
  <c r="ES51" i="9" a="1"/>
  <c r="ES51" i="9" s="1"/>
  <c r="DQ51" i="9" a="1"/>
  <c r="DQ51" i="9" s="1"/>
  <c r="CQ51" i="9" a="1"/>
  <c r="CQ51" i="9" s="1"/>
  <c r="EK51" i="9" a="1"/>
  <c r="EK51" i="9" s="1"/>
  <c r="DD51" i="9" a="1"/>
  <c r="DD51" i="9" s="1"/>
  <c r="EJ51" i="9" a="1"/>
  <c r="EJ51" i="9" s="1"/>
  <c r="DC51" i="9" a="1"/>
  <c r="DC51" i="9" s="1"/>
  <c r="EI51" i="9" a="1"/>
  <c r="EI51" i="9" s="1"/>
  <c r="DB51" i="9" a="1"/>
  <c r="DB51" i="9" s="1"/>
  <c r="FG51" i="9" a="1"/>
  <c r="FG51" i="9" s="1"/>
  <c r="EG51" i="9" a="1"/>
  <c r="EG51" i="9" s="1"/>
  <c r="DA51" i="9" a="1"/>
  <c r="DA51" i="9" s="1"/>
  <c r="FF51" i="9" a="1"/>
  <c r="FF51" i="9" s="1"/>
  <c r="EB51" i="9" a="1"/>
  <c r="EB51" i="9" s="1"/>
  <c r="FE51" i="9" a="1"/>
  <c r="FE51" i="9" s="1"/>
  <c r="EA51" i="9" a="1"/>
  <c r="EA51" i="9" s="1"/>
  <c r="CS51" i="9" a="1"/>
  <c r="CS51" i="9" s="1"/>
  <c r="DY51" i="9" a="1"/>
  <c r="DY51" i="9" s="1"/>
  <c r="DW51" i="9" a="1"/>
  <c r="DW51" i="9" s="1"/>
  <c r="CO51" i="9" a="1"/>
  <c r="CO51" i="9" s="1"/>
  <c r="EX51" i="9" a="1"/>
  <c r="EX51" i="9" s="1"/>
  <c r="DP51" i="9" a="1"/>
  <c r="DP51" i="9" s="1"/>
  <c r="EW51" i="9" a="1"/>
  <c r="EW51" i="9" s="1"/>
  <c r="DN51" i="9" a="1"/>
  <c r="DN51" i="9" s="1"/>
  <c r="CI51" i="9" a="1"/>
  <c r="CI51" i="9" s="1"/>
  <c r="EU51" i="9" a="1"/>
  <c r="EU51" i="9" s="1"/>
  <c r="DM51" i="9" a="1"/>
  <c r="DM51" i="9" s="1"/>
  <c r="EM51" i="9" a="1"/>
  <c r="EM51" i="9" s="1"/>
  <c r="DL51" i="9" a="1"/>
  <c r="DL51" i="9" s="1"/>
  <c r="FD51" i="9" a="1"/>
  <c r="FD51" i="9" s="1"/>
  <c r="CP51" i="9" a="1"/>
  <c r="CP51" i="9" s="1"/>
  <c r="CH51" i="9"/>
  <c r="FD36" i="9" a="1"/>
  <c r="FD36" i="9" s="1"/>
  <c r="EU36" i="9" a="1"/>
  <c r="EU36" i="9" s="1"/>
  <c r="EB36" i="9" a="1"/>
  <c r="EB36" i="9" s="1"/>
  <c r="CM36" i="9" a="1"/>
  <c r="CM36" i="9" s="1"/>
  <c r="EK36" i="9" a="1"/>
  <c r="EK36" i="9" s="1"/>
  <c r="DR36" i="9" a="1"/>
  <c r="DR36" i="9" s="1"/>
  <c r="FC36" i="9" a="1"/>
  <c r="FC36" i="9" s="1"/>
  <c r="ET36" i="9" a="1"/>
  <c r="ET36" i="9" s="1"/>
  <c r="EA36" i="9" a="1"/>
  <c r="EA36" i="9" s="1"/>
  <c r="DQ36" i="9" a="1"/>
  <c r="DQ36" i="9" s="1"/>
  <c r="CV36" i="9" a="1"/>
  <c r="CV36" i="9" s="1"/>
  <c r="CL36" i="9" a="1"/>
  <c r="CL36" i="9" s="1"/>
  <c r="EJ36" i="9" a="1"/>
  <c r="EJ36" i="9" s="1"/>
  <c r="DZ36" i="9" a="1"/>
  <c r="DZ36" i="9" s="1"/>
  <c r="FB36" i="9" a="1"/>
  <c r="FB36" i="9" s="1"/>
  <c r="ES36" i="9" a="1"/>
  <c r="ES36" i="9" s="1"/>
  <c r="DY36" i="9" a="1"/>
  <c r="DY36" i="9" s="1"/>
  <c r="DP36" i="9" a="1"/>
  <c r="DP36" i="9" s="1"/>
  <c r="EI36" i="9" a="1"/>
  <c r="EI36" i="9" s="1"/>
  <c r="DO36" i="9" a="1"/>
  <c r="DO36" i="9" s="1"/>
  <c r="DD36" i="9" a="1"/>
  <c r="DD36" i="9" s="1"/>
  <c r="CT36" i="9" a="1"/>
  <c r="CT36" i="9" s="1"/>
  <c r="CJ36" i="9" a="1"/>
  <c r="CJ36" i="9" s="1"/>
  <c r="EN36" i="9" a="1"/>
  <c r="EN36" i="9" s="1"/>
  <c r="DW36" i="9" a="1"/>
  <c r="DW36" i="9" s="1"/>
  <c r="DI36" i="9" a="1"/>
  <c r="DI36" i="9" s="1"/>
  <c r="CW36" i="9" a="1"/>
  <c r="CW36" i="9" s="1"/>
  <c r="CI36" i="9" a="1"/>
  <c r="CI36" i="9" s="1"/>
  <c r="FA36" i="9" a="1"/>
  <c r="FA36" i="9" s="1"/>
  <c r="EH36" i="9" a="1"/>
  <c r="EH36" i="9" s="1"/>
  <c r="DE36" i="9" a="1"/>
  <c r="DE36" i="9" s="1"/>
  <c r="CR36" i="9" a="1"/>
  <c r="CR36" i="9" s="1"/>
  <c r="EX36" i="9" a="1"/>
  <c r="EX36" i="9" s="1"/>
  <c r="EG36" i="9" a="1"/>
  <c r="EG36" i="9" s="1"/>
  <c r="DT36" i="9" a="1"/>
  <c r="DT36" i="9" s="1"/>
  <c r="CQ36" i="9" a="1"/>
  <c r="CQ36" i="9" s="1"/>
  <c r="FF36" i="9" a="1"/>
  <c r="FF36" i="9" s="1"/>
  <c r="EL36" i="9" a="1"/>
  <c r="EL36" i="9" s="1"/>
  <c r="DN36" i="9" a="1"/>
  <c r="DN36" i="9" s="1"/>
  <c r="FE36" i="9" a="1"/>
  <c r="FE36" i="9" s="1"/>
  <c r="DM36" i="9" a="1"/>
  <c r="DM36" i="9" s="1"/>
  <c r="CX36" i="9" a="1"/>
  <c r="CX36" i="9" s="1"/>
  <c r="EZ36" i="9" a="1"/>
  <c r="EZ36" i="9" s="1"/>
  <c r="EE36" i="9" a="1"/>
  <c r="EE36" i="9" s="1"/>
  <c r="DL36" i="9" a="1"/>
  <c r="DL36" i="9" s="1"/>
  <c r="CS36" i="9" a="1"/>
  <c r="CS36" i="9" s="1"/>
  <c r="EY36" i="9" a="1"/>
  <c r="EY36" i="9" s="1"/>
  <c r="DK36" i="9" a="1"/>
  <c r="DK36" i="9" s="1"/>
  <c r="EW36" i="9" a="1"/>
  <c r="EW36" i="9" s="1"/>
  <c r="ED36" i="9" a="1"/>
  <c r="ED36" i="9" s="1"/>
  <c r="DJ36" i="9" a="1"/>
  <c r="DJ36" i="9" s="1"/>
  <c r="DH36" i="9" a="1"/>
  <c r="DH36" i="9" s="1"/>
  <c r="CP36" i="9" a="1"/>
  <c r="CP36" i="9" s="1"/>
  <c r="EV36" i="9" a="1"/>
  <c r="EV36" i="9" s="1"/>
  <c r="EC36" i="9" a="1"/>
  <c r="EC36" i="9" s="1"/>
  <c r="DG36" i="9" a="1"/>
  <c r="DG36" i="9" s="1"/>
  <c r="ER36" i="9" a="1"/>
  <c r="ER36" i="9" s="1"/>
  <c r="DX36" i="9" a="1"/>
  <c r="DX36" i="9" s="1"/>
  <c r="DC36" i="9" a="1"/>
  <c r="DC36" i="9" s="1"/>
  <c r="EF36" i="9" a="1"/>
  <c r="EF36" i="9" s="1"/>
  <c r="DV36" i="9" a="1"/>
  <c r="DV36" i="9" s="1"/>
  <c r="CO36" i="9" a="1"/>
  <c r="CO36" i="9" s="1"/>
  <c r="CK36" i="9" a="1"/>
  <c r="CK36" i="9" s="1"/>
  <c r="DU36" i="9" a="1"/>
  <c r="DU36" i="9" s="1"/>
  <c r="DB36" i="9" a="1"/>
  <c r="DB36" i="9" s="1"/>
  <c r="EQ36" i="9" a="1"/>
  <c r="EQ36" i="9" s="1"/>
  <c r="DA36" i="9" a="1"/>
  <c r="DA36" i="9" s="1"/>
  <c r="EP36" i="9" a="1"/>
  <c r="EP36" i="9" s="1"/>
  <c r="CY36" i="9" a="1"/>
  <c r="CY36" i="9" s="1"/>
  <c r="CH36" i="9"/>
  <c r="DS36" i="9" a="1"/>
  <c r="DS36" i="9" s="1"/>
  <c r="DF36" i="9" a="1"/>
  <c r="DF36" i="9" s="1"/>
  <c r="CZ36" i="9" a="1"/>
  <c r="CZ36" i="9" s="1"/>
  <c r="CU36" i="9" a="1"/>
  <c r="CU36" i="9" s="1"/>
  <c r="CN36" i="9" a="1"/>
  <c r="CN36" i="9" s="1"/>
  <c r="EO36" i="9" a="1"/>
  <c r="EO36" i="9" s="1"/>
  <c r="EM36" i="9" a="1"/>
  <c r="EM36" i="9" s="1"/>
  <c r="FC52" i="9" a="1"/>
  <c r="FC52" i="9" s="1"/>
  <c r="DV52" i="9" a="1"/>
  <c r="DV52" i="9" s="1"/>
  <c r="CY52" i="9" a="1"/>
  <c r="CY52" i="9" s="1"/>
  <c r="ER52" i="9" a="1"/>
  <c r="ER52" i="9" s="1"/>
  <c r="EH52" i="9" a="1"/>
  <c r="EH52" i="9" s="1"/>
  <c r="DU52" i="9" a="1"/>
  <c r="DU52" i="9" s="1"/>
  <c r="DJ52" i="9" a="1"/>
  <c r="DJ52" i="9" s="1"/>
  <c r="CN52" i="9" a="1"/>
  <c r="CN52" i="9" s="1"/>
  <c r="FA52" i="9" a="1"/>
  <c r="FA52" i="9" s="1"/>
  <c r="EQ52" i="9" a="1"/>
  <c r="EQ52" i="9" s="1"/>
  <c r="EF52" i="9" a="1"/>
  <c r="EF52" i="9" s="1"/>
  <c r="DS52" i="9" a="1"/>
  <c r="DS52" i="9" s="1"/>
  <c r="DH52" i="9" a="1"/>
  <c r="DH52" i="9" s="1"/>
  <c r="CW52" i="9" a="1"/>
  <c r="CW52" i="9" s="1"/>
  <c r="CM52" i="9" a="1"/>
  <c r="CM52" i="9" s="1"/>
  <c r="EP52" i="9" a="1"/>
  <c r="EP52" i="9" s="1"/>
  <c r="DR52" i="9" a="1"/>
  <c r="DR52" i="9" s="1"/>
  <c r="CV52" i="9" a="1"/>
  <c r="CV52" i="9" s="1"/>
  <c r="EZ52" i="9" a="1"/>
  <c r="EZ52" i="9" s="1"/>
  <c r="EE52" i="9" a="1"/>
  <c r="EE52" i="9" s="1"/>
  <c r="DG52" i="9" a="1"/>
  <c r="DG52" i="9" s="1"/>
  <c r="CL52" i="9" a="1"/>
  <c r="CL52" i="9" s="1"/>
  <c r="EO52" i="9" a="1"/>
  <c r="EO52" i="9" s="1"/>
  <c r="ED52" i="9" a="1"/>
  <c r="ED52" i="9" s="1"/>
  <c r="DQ52" i="9" a="1"/>
  <c r="DQ52" i="9" s="1"/>
  <c r="DF52" i="9" a="1"/>
  <c r="DF52" i="9" s="1"/>
  <c r="CU52" i="9" a="1"/>
  <c r="CU52" i="9" s="1"/>
  <c r="CK52" i="9" a="1"/>
  <c r="CK52" i="9" s="1"/>
  <c r="EY52" i="9" a="1"/>
  <c r="EY52" i="9" s="1"/>
  <c r="EN52" i="9" a="1"/>
  <c r="EN52" i="9" s="1"/>
  <c r="EC52" i="9" a="1"/>
  <c r="EC52" i="9" s="1"/>
  <c r="DP52" i="9" a="1"/>
  <c r="DP52" i="9" s="1"/>
  <c r="CJ52" i="9" a="1"/>
  <c r="CJ52" i="9" s="1"/>
  <c r="EX52" i="9" a="1"/>
  <c r="EX52" i="9" s="1"/>
  <c r="DE52" i="9" a="1"/>
  <c r="DE52" i="9" s="1"/>
  <c r="CT52" i="9" a="1"/>
  <c r="CT52" i="9" s="1"/>
  <c r="EL52" i="9" a="1"/>
  <c r="EL52" i="9" s="1"/>
  <c r="DZ52" i="9" a="1"/>
  <c r="DZ52" i="9" s="1"/>
  <c r="DN52" i="9" a="1"/>
  <c r="DN52" i="9" s="1"/>
  <c r="DB52" i="9" a="1"/>
  <c r="DB52" i="9" s="1"/>
  <c r="CR52" i="9" a="1"/>
  <c r="CR52" i="9" s="1"/>
  <c r="DW52" i="9" a="1"/>
  <c r="DW52" i="9" s="1"/>
  <c r="ES52" i="9" a="1"/>
  <c r="ES52" i="9" s="1"/>
  <c r="DO52" i="9" a="1"/>
  <c r="DO52" i="9" s="1"/>
  <c r="CQ52" i="9" a="1"/>
  <c r="CQ52" i="9" s="1"/>
  <c r="DX52" i="9" a="1"/>
  <c r="DX52" i="9" s="1"/>
  <c r="CP52" i="9" a="1"/>
  <c r="CP52" i="9" s="1"/>
  <c r="FB52" i="9" a="1"/>
  <c r="FB52" i="9" s="1"/>
  <c r="CO52" i="9" a="1"/>
  <c r="CO52" i="9" s="1"/>
  <c r="EW52" i="9" a="1"/>
  <c r="EW52" i="9" s="1"/>
  <c r="DT52" i="9" a="1"/>
  <c r="DT52" i="9" s="1"/>
  <c r="EV52" i="9" a="1"/>
  <c r="EV52" i="9" s="1"/>
  <c r="CI52" i="9" a="1"/>
  <c r="CI52" i="9" s="1"/>
  <c r="EU52" i="9" a="1"/>
  <c r="EU52" i="9" s="1"/>
  <c r="DM52" i="9" a="1"/>
  <c r="DM52" i="9" s="1"/>
  <c r="ET52" i="9" a="1"/>
  <c r="ET52" i="9" s="1"/>
  <c r="DL52" i="9" a="1"/>
  <c r="DL52" i="9" s="1"/>
  <c r="EM52" i="9" a="1"/>
  <c r="EM52" i="9" s="1"/>
  <c r="DK52" i="9" a="1"/>
  <c r="DK52" i="9" s="1"/>
  <c r="DI52" i="9" a="1"/>
  <c r="DI52" i="9" s="1"/>
  <c r="EK52" i="9" a="1"/>
  <c r="EK52" i="9" s="1"/>
  <c r="DC52" i="9" a="1"/>
  <c r="DC52" i="9" s="1"/>
  <c r="EJ52" i="9" a="1"/>
  <c r="EJ52" i="9" s="1"/>
  <c r="EI52" i="9" a="1"/>
  <c r="EI52" i="9" s="1"/>
  <c r="DA52" i="9" a="1"/>
  <c r="DA52" i="9" s="1"/>
  <c r="FG52" i="9" a="1"/>
  <c r="FG52" i="9" s="1"/>
  <c r="EG52" i="9" a="1"/>
  <c r="EG52" i="9" s="1"/>
  <c r="CZ52" i="9" a="1"/>
  <c r="CZ52" i="9" s="1"/>
  <c r="FF52" i="9" a="1"/>
  <c r="FF52" i="9" s="1"/>
  <c r="EB52" i="9" a="1"/>
  <c r="EB52" i="9" s="1"/>
  <c r="FE52" i="9" a="1"/>
  <c r="FE52" i="9" s="1"/>
  <c r="EA52" i="9" a="1"/>
  <c r="EA52" i="9" s="1"/>
  <c r="CX52" i="9" a="1"/>
  <c r="CX52" i="9" s="1"/>
  <c r="FD52" i="9" a="1"/>
  <c r="FD52" i="9" s="1"/>
  <c r="CS52" i="9" a="1"/>
  <c r="CS52" i="9" s="1"/>
  <c r="DY52" i="9" a="1"/>
  <c r="DY52" i="9" s="1"/>
  <c r="DD52" i="9" a="1"/>
  <c r="DD52" i="9" s="1"/>
  <c r="CH52" i="9"/>
  <c r="EJ33" i="9" a="1"/>
  <c r="EJ33" i="9" s="1"/>
  <c r="ET53" i="9" a="1"/>
  <c r="ET53" i="9" s="1"/>
  <c r="FF53" i="9" a="1"/>
  <c r="FF53" i="9" s="1"/>
  <c r="FE53" i="9" a="1"/>
  <c r="FE53" i="9" s="1"/>
  <c r="FD53" i="9" a="1"/>
  <c r="FD53" i="9" s="1"/>
  <c r="FC53" i="9" a="1"/>
  <c r="FC53" i="9" s="1"/>
  <c r="DU53" i="9" a="1"/>
  <c r="DU53" i="9" s="1"/>
  <c r="CZ53" i="9" a="1"/>
  <c r="CZ53" i="9" s="1"/>
  <c r="FB53" i="9" a="1"/>
  <c r="FB53" i="9" s="1"/>
  <c r="EP53" i="9" a="1"/>
  <c r="EP53" i="9" s="1"/>
  <c r="EE53" i="9" a="1"/>
  <c r="EE53" i="9" s="1"/>
  <c r="DT53" i="9" a="1"/>
  <c r="DT53" i="9" s="1"/>
  <c r="DJ53" i="9" a="1"/>
  <c r="DJ53" i="9" s="1"/>
  <c r="CY53" i="9" a="1"/>
  <c r="CY53" i="9" s="1"/>
  <c r="CN53" i="9" a="1"/>
  <c r="CN53" i="9" s="1"/>
  <c r="FA53" i="9" a="1"/>
  <c r="FA53" i="9" s="1"/>
  <c r="EZ53" i="9" a="1"/>
  <c r="EZ53" i="9" s="1"/>
  <c r="EN53" i="9" a="1"/>
  <c r="EN53" i="9" s="1"/>
  <c r="ED53" i="9" a="1"/>
  <c r="ED53" i="9" s="1"/>
  <c r="DI53" i="9" a="1"/>
  <c r="DI53" i="9" s="1"/>
  <c r="CX53" i="9" a="1"/>
  <c r="CX53" i="9" s="1"/>
  <c r="EY53" i="9" a="1"/>
  <c r="EY53" i="9" s="1"/>
  <c r="EC53" i="9" a="1"/>
  <c r="EC53" i="9" s="1"/>
  <c r="DR53" i="9" a="1"/>
  <c r="DR53" i="9" s="1"/>
  <c r="CL53" i="9" a="1"/>
  <c r="CL53" i="9" s="1"/>
  <c r="EM53" i="9" a="1"/>
  <c r="EM53" i="9" s="1"/>
  <c r="DH53" i="9" a="1"/>
  <c r="DH53" i="9" s="1"/>
  <c r="CW53" i="9" a="1"/>
  <c r="CW53" i="9" s="1"/>
  <c r="CK53" i="9" a="1"/>
  <c r="CK53" i="9" s="1"/>
  <c r="EX53" i="9" a="1"/>
  <c r="EX53" i="9" s="1"/>
  <c r="EL53" i="9" a="1"/>
  <c r="EL53" i="9" s="1"/>
  <c r="EB53" i="9" a="1"/>
  <c r="EB53" i="9" s="1"/>
  <c r="DQ53" i="9" a="1"/>
  <c r="DQ53" i="9" s="1"/>
  <c r="DG53" i="9" a="1"/>
  <c r="DG53" i="9" s="1"/>
  <c r="CV53" i="9" a="1"/>
  <c r="CV53" i="9" s="1"/>
  <c r="EK53" i="9" a="1"/>
  <c r="EK53" i="9" s="1"/>
  <c r="EA53" i="9" a="1"/>
  <c r="EA53" i="9" s="1"/>
  <c r="DP53" i="9" a="1"/>
  <c r="DP53" i="9" s="1"/>
  <c r="DF53" i="9" a="1"/>
  <c r="DF53" i="9" s="1"/>
  <c r="CU53" i="9" a="1"/>
  <c r="CU53" i="9" s="1"/>
  <c r="CJ53" i="9" a="1"/>
  <c r="CJ53" i="9" s="1"/>
  <c r="EW53" i="9" a="1"/>
  <c r="EW53" i="9" s="1"/>
  <c r="EV53" i="9" a="1"/>
  <c r="EV53" i="9" s="1"/>
  <c r="EU53" i="9" a="1"/>
  <c r="EU53" i="9" s="1"/>
  <c r="FG53" i="9" a="1"/>
  <c r="FG53" i="9" s="1"/>
  <c r="DY53" i="9" a="1"/>
  <c r="DY53" i="9" s="1"/>
  <c r="DN53" i="9" a="1"/>
  <c r="DN53" i="9" s="1"/>
  <c r="DD53" i="9" a="1"/>
  <c r="DD53" i="9" s="1"/>
  <c r="CR53" i="9" a="1"/>
  <c r="CR53" i="9" s="1"/>
  <c r="ER53" i="9" a="1"/>
  <c r="ER53" i="9" s="1"/>
  <c r="DS53" i="9" a="1"/>
  <c r="DS53" i="9" s="1"/>
  <c r="CS53" i="9" a="1"/>
  <c r="CS53" i="9" s="1"/>
  <c r="EQ53" i="9" a="1"/>
  <c r="EQ53" i="9" s="1"/>
  <c r="EO53" i="9" a="1"/>
  <c r="EO53" i="9" s="1"/>
  <c r="CQ53" i="9" a="1"/>
  <c r="CQ53" i="9" s="1"/>
  <c r="EJ53" i="9" a="1"/>
  <c r="EJ53" i="9" s="1"/>
  <c r="CP53" i="9" a="1"/>
  <c r="CP53" i="9" s="1"/>
  <c r="EH53" i="9" a="1"/>
  <c r="EH53" i="9" s="1"/>
  <c r="DL53" i="9" a="1"/>
  <c r="DL53" i="9" s="1"/>
  <c r="ES53" i="9" a="1"/>
  <c r="ES53" i="9" s="1"/>
  <c r="DE53" i="9" a="1"/>
  <c r="DE53" i="9" s="1"/>
  <c r="EI53" i="9" a="1"/>
  <c r="EI53" i="9" s="1"/>
  <c r="EG53" i="9" a="1"/>
  <c r="EG53" i="9" s="1"/>
  <c r="DC53" i="9" a="1"/>
  <c r="DC53" i="9" s="1"/>
  <c r="EF53" i="9" a="1"/>
  <c r="EF53" i="9" s="1"/>
  <c r="DB53" i="9" a="1"/>
  <c r="DB53" i="9" s="1"/>
  <c r="DA53" i="9" a="1"/>
  <c r="DA53" i="9" s="1"/>
  <c r="DZ53" i="9" a="1"/>
  <c r="DZ53" i="9" s="1"/>
  <c r="CT53" i="9" a="1"/>
  <c r="CT53" i="9" s="1"/>
  <c r="DW53" i="9" a="1"/>
  <c r="DW53" i="9" s="1"/>
  <c r="CO53" i="9" a="1"/>
  <c r="CO53" i="9" s="1"/>
  <c r="CM53" i="9" a="1"/>
  <c r="CM53" i="9" s="1"/>
  <c r="DV53" i="9" a="1"/>
  <c r="DV53" i="9" s="1"/>
  <c r="CI53" i="9" a="1"/>
  <c r="CI53" i="9" s="1"/>
  <c r="DO53" i="9" a="1"/>
  <c r="DO53" i="9" s="1"/>
  <c r="DM53" i="9" a="1"/>
  <c r="DM53" i="9" s="1"/>
  <c r="DK53" i="9" a="1"/>
  <c r="DK53" i="9" s="1"/>
  <c r="DX53" i="9" a="1"/>
  <c r="DX53" i="9" s="1"/>
  <c r="DQ37" i="9" a="1"/>
  <c r="DQ37" i="9" s="1"/>
  <c r="DF37" i="9" a="1"/>
  <c r="DF37" i="9" s="1"/>
  <c r="CU37" i="9" a="1"/>
  <c r="CU37" i="9" s="1"/>
  <c r="FG37" i="9" a="1"/>
  <c r="FG37" i="9" s="1"/>
  <c r="EV37" i="9" a="1"/>
  <c r="EV37" i="9" s="1"/>
  <c r="EU37" i="9" a="1"/>
  <c r="EU37" i="9" s="1"/>
  <c r="EI37" i="9" a="1"/>
  <c r="EI37" i="9" s="1"/>
  <c r="DL37" i="9" a="1"/>
  <c r="DL37" i="9" s="1"/>
  <c r="CZ37" i="9" a="1"/>
  <c r="CZ37" i="9" s="1"/>
  <c r="FF37" i="9" a="1"/>
  <c r="FF37" i="9" s="1"/>
  <c r="EH37" i="9" a="1"/>
  <c r="EH37" i="9" s="1"/>
  <c r="DW37" i="9" a="1"/>
  <c r="DW37" i="9" s="1"/>
  <c r="CO37" i="9" a="1"/>
  <c r="CO37" i="9" s="1"/>
  <c r="ET37" i="9" a="1"/>
  <c r="ET37" i="9" s="1"/>
  <c r="DV37" i="9" a="1"/>
  <c r="DV37" i="9" s="1"/>
  <c r="DK37" i="9" a="1"/>
  <c r="DK37" i="9" s="1"/>
  <c r="CY37" i="9" a="1"/>
  <c r="CY37" i="9" s="1"/>
  <c r="CN37" i="9" a="1"/>
  <c r="CN37" i="9" s="1"/>
  <c r="FE37" i="9" a="1"/>
  <c r="FE37" i="9" s="1"/>
  <c r="ES37" i="9" a="1"/>
  <c r="ES37" i="9" s="1"/>
  <c r="EG37" i="9" a="1"/>
  <c r="EG37" i="9" s="1"/>
  <c r="DJ37" i="9" a="1"/>
  <c r="DJ37" i="9" s="1"/>
  <c r="FD37" i="9" a="1"/>
  <c r="FD37" i="9" s="1"/>
  <c r="ER37" i="9" a="1"/>
  <c r="ER37" i="9" s="1"/>
  <c r="EF37" i="9" a="1"/>
  <c r="EF37" i="9" s="1"/>
  <c r="DU37" i="9" a="1"/>
  <c r="DU37" i="9" s="1"/>
  <c r="CX37" i="9" a="1"/>
  <c r="CX37" i="9" s="1"/>
  <c r="CM37" i="9" a="1"/>
  <c r="CM37" i="9" s="1"/>
  <c r="EE37" i="9" a="1"/>
  <c r="EE37" i="9" s="1"/>
  <c r="DT37" i="9" a="1"/>
  <c r="DT37" i="9" s="1"/>
  <c r="DI37" i="9" a="1"/>
  <c r="DI37" i="9" s="1"/>
  <c r="CW37" i="9" a="1"/>
  <c r="CW37" i="9" s="1"/>
  <c r="FC37" i="9" a="1"/>
  <c r="FC37" i="9" s="1"/>
  <c r="EQ37" i="9" a="1"/>
  <c r="EQ37" i="9" s="1"/>
  <c r="ED37" i="9" a="1"/>
  <c r="ED37" i="9" s="1"/>
  <c r="DH37" i="9" a="1"/>
  <c r="DH37" i="9" s="1"/>
  <c r="CV37" i="9" a="1"/>
  <c r="CV37" i="9" s="1"/>
  <c r="FA37" i="9" a="1"/>
  <c r="FA37" i="9" s="1"/>
  <c r="EB37" i="9" a="1"/>
  <c r="EB37" i="9" s="1"/>
  <c r="DR37" i="9" a="1"/>
  <c r="DR37" i="9" s="1"/>
  <c r="DG37" i="9" a="1"/>
  <c r="DG37" i="9" s="1"/>
  <c r="EP37" i="9" a="1"/>
  <c r="EP37" i="9" s="1"/>
  <c r="DS37" i="9" a="1"/>
  <c r="DS37" i="9" s="1"/>
  <c r="EO37" i="9" a="1"/>
  <c r="EO37" i="9" s="1"/>
  <c r="CT37" i="9" a="1"/>
  <c r="CT37" i="9" s="1"/>
  <c r="EK37" i="9" a="1"/>
  <c r="EK37" i="9" s="1"/>
  <c r="DN37" i="9" a="1"/>
  <c r="DN37" i="9" s="1"/>
  <c r="CR37" i="9" a="1"/>
  <c r="CR37" i="9" s="1"/>
  <c r="EJ37" i="9" a="1"/>
  <c r="EJ37" i="9" s="1"/>
  <c r="CQ37" i="9" a="1"/>
  <c r="CQ37" i="9" s="1"/>
  <c r="EL37" i="9" a="1"/>
  <c r="EL37" i="9" s="1"/>
  <c r="DD37" i="9" a="1"/>
  <c r="DD37" i="9" s="1"/>
  <c r="DB37" i="9" a="1"/>
  <c r="DB37" i="9" s="1"/>
  <c r="EA37" i="9" a="1"/>
  <c r="EA37" i="9" s="1"/>
  <c r="DZ37" i="9" a="1"/>
  <c r="DZ37" i="9" s="1"/>
  <c r="DA37" i="9" a="1"/>
  <c r="DA37" i="9" s="1"/>
  <c r="FB37" i="9" a="1"/>
  <c r="FB37" i="9" s="1"/>
  <c r="DY37" i="9" a="1"/>
  <c r="DY37" i="9" s="1"/>
  <c r="CS37" i="9" a="1"/>
  <c r="CS37" i="9" s="1"/>
  <c r="DX37" i="9" a="1"/>
  <c r="DX37" i="9" s="1"/>
  <c r="CP37" i="9" a="1"/>
  <c r="CP37" i="9" s="1"/>
  <c r="DC37" i="9" a="1"/>
  <c r="DC37" i="9" s="1"/>
  <c r="EY37" i="9" a="1"/>
  <c r="EY37" i="9" s="1"/>
  <c r="CL37" i="9" a="1"/>
  <c r="CL37" i="9" s="1"/>
  <c r="DE37" i="9" a="1"/>
  <c r="DE37" i="9" s="1"/>
  <c r="CK37" i="9" a="1"/>
  <c r="CK37" i="9" s="1"/>
  <c r="EX37" i="9" a="1"/>
  <c r="EX37" i="9" s="1"/>
  <c r="CI37" i="9" a="1"/>
  <c r="CI37" i="9" s="1"/>
  <c r="EW37" i="9" a="1"/>
  <c r="EW37" i="9" s="1"/>
  <c r="EM37" i="9" a="1"/>
  <c r="EM37" i="9" s="1"/>
  <c r="EC37" i="9" a="1"/>
  <c r="EC37" i="9" s="1"/>
  <c r="DP37" i="9" a="1"/>
  <c r="DP37" i="9" s="1"/>
  <c r="EZ37" i="9" a="1"/>
  <c r="EZ37" i="9" s="1"/>
  <c r="EN37" i="9" a="1"/>
  <c r="EN37" i="9" s="1"/>
  <c r="DO37" i="9" a="1"/>
  <c r="DO37" i="9" s="1"/>
  <c r="DM37" i="9" a="1"/>
  <c r="DM37" i="9" s="1"/>
  <c r="CJ37" i="9" a="1"/>
  <c r="CJ37" i="9" s="1"/>
  <c r="EP38" i="9" a="1"/>
  <c r="EP38" i="9" s="1"/>
  <c r="DL38" i="9" a="1"/>
  <c r="DL38" i="9" s="1"/>
  <c r="CS38" i="9" a="1"/>
  <c r="CS38" i="9" s="1"/>
  <c r="CI38" i="9" a="1"/>
  <c r="CI38" i="9" s="1"/>
  <c r="FD38" i="9" a="1"/>
  <c r="FD38" i="9" s="1"/>
  <c r="ET38" i="9" a="1"/>
  <c r="ET38" i="9" s="1"/>
  <c r="EI38" i="9" a="1"/>
  <c r="EI38" i="9" s="1"/>
  <c r="DX38" i="9" a="1"/>
  <c r="DX38" i="9" s="1"/>
  <c r="DM38" i="9" a="1"/>
  <c r="DM38" i="9" s="1"/>
  <c r="DC38" i="9" a="1"/>
  <c r="DC38" i="9" s="1"/>
  <c r="ES38" i="9" a="1"/>
  <c r="ES38" i="9" s="1"/>
  <c r="DB38" i="9" a="1"/>
  <c r="DB38" i="9" s="1"/>
  <c r="CR38" i="9" a="1"/>
  <c r="CR38" i="9" s="1"/>
  <c r="FC38" i="9" a="1"/>
  <c r="FC38" i="9" s="1"/>
  <c r="EH38" i="9" a="1"/>
  <c r="EH38" i="9" s="1"/>
  <c r="DW38" i="9" a="1"/>
  <c r="DW38" i="9" s="1"/>
  <c r="CQ38" i="9" a="1"/>
  <c r="CQ38" i="9" s="1"/>
  <c r="ER38" i="9" a="1"/>
  <c r="ER38" i="9" s="1"/>
  <c r="EG38" i="9" a="1"/>
  <c r="EG38" i="9" s="1"/>
  <c r="DV38" i="9" a="1"/>
  <c r="DV38" i="9" s="1"/>
  <c r="DK38" i="9" a="1"/>
  <c r="DK38" i="9" s="1"/>
  <c r="DA38" i="9" a="1"/>
  <c r="DA38" i="9" s="1"/>
  <c r="FB38" i="9" a="1"/>
  <c r="FB38" i="9" s="1"/>
  <c r="EQ38" i="9" a="1"/>
  <c r="EQ38" i="9" s="1"/>
  <c r="EF38" i="9" a="1"/>
  <c r="EF38" i="9" s="1"/>
  <c r="DU38" i="9" a="1"/>
  <c r="DU38" i="9" s="1"/>
  <c r="CZ38" i="9" a="1"/>
  <c r="CZ38" i="9" s="1"/>
  <c r="CP38" i="9" a="1"/>
  <c r="CP38" i="9" s="1"/>
  <c r="FA38" i="9" a="1"/>
  <c r="FA38" i="9" s="1"/>
  <c r="EO38" i="9" a="1"/>
  <c r="EO38" i="9" s="1"/>
  <c r="DJ38" i="9" a="1"/>
  <c r="DJ38" i="9" s="1"/>
  <c r="CY38" i="9" a="1"/>
  <c r="CY38" i="9" s="1"/>
  <c r="CO38" i="9" a="1"/>
  <c r="CO38" i="9" s="1"/>
  <c r="EZ38" i="9" a="1"/>
  <c r="EZ38" i="9" s="1"/>
  <c r="EE38" i="9" a="1"/>
  <c r="EE38" i="9" s="1"/>
  <c r="DT38" i="9" a="1"/>
  <c r="DT38" i="9" s="1"/>
  <c r="EN38" i="9" a="1"/>
  <c r="EN38" i="9" s="1"/>
  <c r="DS38" i="9" a="1"/>
  <c r="DS38" i="9" s="1"/>
  <c r="DI38" i="9" a="1"/>
  <c r="DI38" i="9" s="1"/>
  <c r="CX38" i="9" a="1"/>
  <c r="CX38" i="9" s="1"/>
  <c r="CN38" i="9" a="1"/>
  <c r="CN38" i="9" s="1"/>
  <c r="EM38" i="9" a="1"/>
  <c r="EM38" i="9" s="1"/>
  <c r="EC38" i="9" a="1"/>
  <c r="EC38" i="9" s="1"/>
  <c r="DR38" i="9" a="1"/>
  <c r="DR38" i="9" s="1"/>
  <c r="DG38" i="9" a="1"/>
  <c r="DG38" i="9" s="1"/>
  <c r="EW38" i="9" a="1"/>
  <c r="EW38" i="9" s="1"/>
  <c r="EL38" i="9" a="1"/>
  <c r="EL38" i="9" s="1"/>
  <c r="EB38" i="9" a="1"/>
  <c r="EB38" i="9" s="1"/>
  <c r="DP38" i="9" a="1"/>
  <c r="DP38" i="9" s="1"/>
  <c r="DF38" i="9" a="1"/>
  <c r="DF38" i="9" s="1"/>
  <c r="DQ38" i="9" a="1"/>
  <c r="DQ38" i="9" s="1"/>
  <c r="CT38" i="9" a="1"/>
  <c r="CT38" i="9" s="1"/>
  <c r="EU38" i="9" a="1"/>
  <c r="EU38" i="9" s="1"/>
  <c r="DO38" i="9" a="1"/>
  <c r="DO38" i="9" s="1"/>
  <c r="EK38" i="9" a="1"/>
  <c r="EK38" i="9" s="1"/>
  <c r="DH38" i="9" a="1"/>
  <c r="DH38" i="9" s="1"/>
  <c r="CK38" i="9" a="1"/>
  <c r="CK38" i="9" s="1"/>
  <c r="CU38" i="9" a="1"/>
  <c r="CU38" i="9" s="1"/>
  <c r="FG38" i="9" a="1"/>
  <c r="FG38" i="9" s="1"/>
  <c r="DZ38" i="9" a="1"/>
  <c r="DZ38" i="9" s="1"/>
  <c r="CL38" i="9" a="1"/>
  <c r="CL38" i="9" s="1"/>
  <c r="FF38" i="9" a="1"/>
  <c r="FF38" i="9" s="1"/>
  <c r="DY38" i="9" a="1"/>
  <c r="DY38" i="9" s="1"/>
  <c r="FE38" i="9" a="1"/>
  <c r="FE38" i="9" s="1"/>
  <c r="CJ38" i="9" a="1"/>
  <c r="CJ38" i="9" s="1"/>
  <c r="EY38" i="9" a="1"/>
  <c r="EY38" i="9" s="1"/>
  <c r="DN38" i="9" a="1"/>
  <c r="DN38" i="9" s="1"/>
  <c r="EV38" i="9" a="1"/>
  <c r="EV38" i="9" s="1"/>
  <c r="DE38" i="9" a="1"/>
  <c r="DE38" i="9" s="1"/>
  <c r="CM38" i="9" a="1"/>
  <c r="CM38" i="9" s="1"/>
  <c r="CW38" i="9" a="1"/>
  <c r="CW38" i="9" s="1"/>
  <c r="CV38" i="9" a="1"/>
  <c r="CV38" i="9" s="1"/>
  <c r="EX38" i="9" a="1"/>
  <c r="EX38" i="9" s="1"/>
  <c r="EJ38" i="9" a="1"/>
  <c r="EJ38" i="9" s="1"/>
  <c r="ED38" i="9" a="1"/>
  <c r="ED38" i="9" s="1"/>
  <c r="DD38" i="9" a="1"/>
  <c r="DD38" i="9" s="1"/>
  <c r="EA38" i="9" a="1"/>
  <c r="EA38" i="9" s="1"/>
  <c r="CH37" i="9"/>
  <c r="EP34" i="9" a="1"/>
  <c r="EP34" i="9" s="1"/>
  <c r="FF39" i="9" a="1"/>
  <c r="FF39" i="9" s="1"/>
  <c r="EU39" i="9" a="1"/>
  <c r="EU39" i="9" s="1"/>
  <c r="EI39" i="9" a="1"/>
  <c r="EI39" i="9" s="1"/>
  <c r="DZ39" i="9" a="1"/>
  <c r="DZ39" i="9" s="1"/>
  <c r="DP39" i="9" a="1"/>
  <c r="DP39" i="9" s="1"/>
  <c r="CV39" i="9" a="1"/>
  <c r="CV39" i="9" s="1"/>
  <c r="FD39" i="9" a="1"/>
  <c r="FD39" i="9" s="1"/>
  <c r="DV39" i="9" a="1"/>
  <c r="DV39" i="9" s="1"/>
  <c r="DK39" i="9" a="1"/>
  <c r="DK39" i="9" s="1"/>
  <c r="DA39" i="9" a="1"/>
  <c r="DA39" i="9" s="1"/>
  <c r="CQ39" i="9" a="1"/>
  <c r="CQ39" i="9" s="1"/>
  <c r="EQ39" i="9" a="1"/>
  <c r="EQ39" i="9" s="1"/>
  <c r="EF39" i="9" a="1"/>
  <c r="EF39" i="9" s="1"/>
  <c r="CZ39" i="9" a="1"/>
  <c r="CZ39" i="9" s="1"/>
  <c r="CP39" i="9" a="1"/>
  <c r="CP39" i="9" s="1"/>
  <c r="FC39" i="9" a="1"/>
  <c r="FC39" i="9" s="1"/>
  <c r="EP39" i="9" a="1"/>
  <c r="EP39" i="9" s="1"/>
  <c r="DU39" i="9" a="1"/>
  <c r="DU39" i="9" s="1"/>
  <c r="DJ39" i="9" a="1"/>
  <c r="DJ39" i="9" s="1"/>
  <c r="CO39" i="9" a="1"/>
  <c r="CO39" i="9" s="1"/>
  <c r="FB39" i="9" a="1"/>
  <c r="FB39" i="9" s="1"/>
  <c r="EO39" i="9" a="1"/>
  <c r="EO39" i="9" s="1"/>
  <c r="EE39" i="9" a="1"/>
  <c r="EE39" i="9" s="1"/>
  <c r="DT39" i="9" a="1"/>
  <c r="DT39" i="9" s="1"/>
  <c r="CY39" i="9" a="1"/>
  <c r="CY39" i="9" s="1"/>
  <c r="CN39" i="9" a="1"/>
  <c r="CN39" i="9" s="1"/>
  <c r="FA39" i="9" a="1"/>
  <c r="FA39" i="9" s="1"/>
  <c r="EN39" i="9" a="1"/>
  <c r="EN39" i="9" s="1"/>
  <c r="DI39" i="9" a="1"/>
  <c r="DI39" i="9" s="1"/>
  <c r="CM39" i="9" a="1"/>
  <c r="CM39" i="9" s="1"/>
  <c r="ED39" i="9" a="1"/>
  <c r="ED39" i="9" s="1"/>
  <c r="DS39" i="9" a="1"/>
  <c r="DS39" i="9" s="1"/>
  <c r="CX39" i="9" a="1"/>
  <c r="CX39" i="9" s="1"/>
  <c r="EZ39" i="9" a="1"/>
  <c r="EZ39" i="9" s="1"/>
  <c r="EM39" i="9" a="1"/>
  <c r="EM39" i="9" s="1"/>
  <c r="EC39" i="9" a="1"/>
  <c r="EC39" i="9" s="1"/>
  <c r="DH39" i="9" a="1"/>
  <c r="DH39" i="9" s="1"/>
  <c r="CL39" i="9" a="1"/>
  <c r="CL39" i="9" s="1"/>
  <c r="EY39" i="9" a="1"/>
  <c r="EY39" i="9" s="1"/>
  <c r="EL39" i="9" a="1"/>
  <c r="EL39" i="9" s="1"/>
  <c r="EB39" i="9" a="1"/>
  <c r="EB39" i="9" s="1"/>
  <c r="DR39" i="9" a="1"/>
  <c r="DR39" i="9" s="1"/>
  <c r="CW39" i="9" a="1"/>
  <c r="CW39" i="9" s="1"/>
  <c r="CK39" i="9" a="1"/>
  <c r="CK39" i="9" s="1"/>
  <c r="EW39" i="9" a="1"/>
  <c r="EW39" i="9" s="1"/>
  <c r="EK39" i="9" a="1"/>
  <c r="EK39" i="9" s="1"/>
  <c r="EA39" i="9" a="1"/>
  <c r="EA39" i="9" s="1"/>
  <c r="DQ39" i="9" a="1"/>
  <c r="DQ39" i="9" s="1"/>
  <c r="DF39" i="9" a="1"/>
  <c r="DF39" i="9" s="1"/>
  <c r="CJ39" i="9" a="1"/>
  <c r="CJ39" i="9" s="1"/>
  <c r="EV39" i="9" a="1"/>
  <c r="EV39" i="9" s="1"/>
  <c r="DO39" i="9" a="1"/>
  <c r="DO39" i="9" s="1"/>
  <c r="DD39" i="9" a="1"/>
  <c r="DD39" i="9" s="1"/>
  <c r="CI39" i="9" a="1"/>
  <c r="CI39" i="9" s="1"/>
  <c r="FG39" i="9" a="1"/>
  <c r="FG39" i="9" s="1"/>
  <c r="DY39" i="9" a="1"/>
  <c r="DY39" i="9" s="1"/>
  <c r="CU39" i="9" a="1"/>
  <c r="CU39" i="9" s="1"/>
  <c r="CR39" i="9" a="1"/>
  <c r="CR39" i="9" s="1"/>
  <c r="ET39" i="9" a="1"/>
  <c r="ET39" i="9" s="1"/>
  <c r="EG39" i="9" a="1"/>
  <c r="EG39" i="9" s="1"/>
  <c r="DW39" i="9" a="1"/>
  <c r="DW39" i="9" s="1"/>
  <c r="DN39" i="9" a="1"/>
  <c r="DN39" i="9" s="1"/>
  <c r="FE39" i="9" a="1"/>
  <c r="FE39" i="9" s="1"/>
  <c r="DM39" i="9" a="1"/>
  <c r="DM39" i="9" s="1"/>
  <c r="EX39" i="9" a="1"/>
  <c r="EX39" i="9" s="1"/>
  <c r="DL39" i="9" a="1"/>
  <c r="DL39" i="9" s="1"/>
  <c r="ES39" i="9" a="1"/>
  <c r="ES39" i="9" s="1"/>
  <c r="DG39" i="9" a="1"/>
  <c r="DG39" i="9" s="1"/>
  <c r="ER39" i="9" a="1"/>
  <c r="ER39" i="9" s="1"/>
  <c r="DC39" i="9" a="1"/>
  <c r="DC39" i="9" s="1"/>
  <c r="DB39" i="9" a="1"/>
  <c r="DB39" i="9" s="1"/>
  <c r="CS39" i="9" a="1"/>
  <c r="CS39" i="9" s="1"/>
  <c r="EJ39" i="9" a="1"/>
  <c r="EJ39" i="9" s="1"/>
  <c r="EH39" i="9" a="1"/>
  <c r="EH39" i="9" s="1"/>
  <c r="DX39" i="9" a="1"/>
  <c r="DX39" i="9" s="1"/>
  <c r="CH38" i="9"/>
  <c r="EX40" i="9" a="1"/>
  <c r="EX40" i="9" s="1"/>
  <c r="EL40" i="9" a="1"/>
  <c r="EL40" i="9" s="1"/>
  <c r="DP40" i="9" a="1"/>
  <c r="DP40" i="9" s="1"/>
  <c r="CS40" i="9" a="1"/>
  <c r="CS40" i="9" s="1"/>
  <c r="EZ40" i="9" a="1"/>
  <c r="EZ40" i="9" s="1"/>
  <c r="EN40" i="9" a="1"/>
  <c r="EN40" i="9" s="1"/>
  <c r="DQ40" i="9" a="1"/>
  <c r="DQ40" i="9" s="1"/>
  <c r="DC40" i="9" a="1"/>
  <c r="DC40" i="9" s="1"/>
  <c r="CQ40" i="9" a="1"/>
  <c r="CQ40" i="9" s="1"/>
  <c r="EA40" i="9" a="1"/>
  <c r="EA40" i="9" s="1"/>
  <c r="EY40" i="9" a="1"/>
  <c r="EY40" i="9" s="1"/>
  <c r="EM40" i="9" a="1"/>
  <c r="EM40" i="9" s="1"/>
  <c r="DZ40" i="9" a="1"/>
  <c r="DZ40" i="9" s="1"/>
  <c r="DO40" i="9" a="1"/>
  <c r="DO40" i="9" s="1"/>
  <c r="DB40" i="9" a="1"/>
  <c r="DB40" i="9" s="1"/>
  <c r="CP40" i="9" a="1"/>
  <c r="CP40" i="9" s="1"/>
  <c r="EK40" i="9" a="1"/>
  <c r="EK40" i="9" s="1"/>
  <c r="DY40" i="9" a="1"/>
  <c r="DY40" i="9" s="1"/>
  <c r="DN40" i="9" a="1"/>
  <c r="DN40" i="9" s="1"/>
  <c r="DA40" i="9" a="1"/>
  <c r="DA40" i="9" s="1"/>
  <c r="CO40" i="9" a="1"/>
  <c r="CO40" i="9" s="1"/>
  <c r="EW40" i="9" a="1"/>
  <c r="EW40" i="9" s="1"/>
  <c r="EJ40" i="9" a="1"/>
  <c r="EJ40" i="9" s="1"/>
  <c r="DX40" i="9" a="1"/>
  <c r="DX40" i="9" s="1"/>
  <c r="DM40" i="9" a="1"/>
  <c r="DM40" i="9" s="1"/>
  <c r="CZ40" i="9" a="1"/>
  <c r="CZ40" i="9" s="1"/>
  <c r="EV40" i="9" a="1"/>
  <c r="EV40" i="9" s="1"/>
  <c r="CY40" i="9" a="1"/>
  <c r="CY40" i="9" s="1"/>
  <c r="CN40" i="9" a="1"/>
  <c r="CN40" i="9" s="1"/>
  <c r="FG40" i="9" a="1"/>
  <c r="FG40" i="9" s="1"/>
  <c r="EU40" i="9" a="1"/>
  <c r="EU40" i="9" s="1"/>
  <c r="EI40" i="9" a="1"/>
  <c r="EI40" i="9" s="1"/>
  <c r="DW40" i="9" a="1"/>
  <c r="DW40" i="9" s="1"/>
  <c r="DL40" i="9" a="1"/>
  <c r="DL40" i="9" s="1"/>
  <c r="ET40" i="9" a="1"/>
  <c r="ET40" i="9" s="1"/>
  <c r="DK40" i="9" a="1"/>
  <c r="DK40" i="9" s="1"/>
  <c r="CX40" i="9" a="1"/>
  <c r="CX40" i="9" s="1"/>
  <c r="CM40" i="9" a="1"/>
  <c r="CM40" i="9" s="1"/>
  <c r="FE40" i="9" a="1"/>
  <c r="FE40" i="9" s="1"/>
  <c r="EG40" i="9" a="1"/>
  <c r="EG40" i="9" s="1"/>
  <c r="DJ40" i="9" a="1"/>
  <c r="DJ40" i="9" s="1"/>
  <c r="CW40" i="9" a="1"/>
  <c r="CW40" i="9" s="1"/>
  <c r="CL40" i="9" a="1"/>
  <c r="CL40" i="9" s="1"/>
  <c r="FD40" i="9" a="1"/>
  <c r="FD40" i="9" s="1"/>
  <c r="FC40" i="9" a="1"/>
  <c r="FC40" i="9" s="1"/>
  <c r="EE40" i="9" a="1"/>
  <c r="EE40" i="9" s="1"/>
  <c r="DT40" i="9" a="1"/>
  <c r="DT40" i="9" s="1"/>
  <c r="DH40" i="9" a="1"/>
  <c r="DH40" i="9" s="1"/>
  <c r="CJ40" i="9" a="1"/>
  <c r="CJ40" i="9" s="1"/>
  <c r="ER40" i="9" a="1"/>
  <c r="ER40" i="9" s="1"/>
  <c r="DR40" i="9" a="1"/>
  <c r="DR40" i="9" s="1"/>
  <c r="EQ40" i="9" a="1"/>
  <c r="EQ40" i="9" s="1"/>
  <c r="EH40" i="9" a="1"/>
  <c r="EH40" i="9" s="1"/>
  <c r="DE40" i="9" a="1"/>
  <c r="DE40" i="9" s="1"/>
  <c r="EF40" i="9" a="1"/>
  <c r="EF40" i="9" s="1"/>
  <c r="DD40" i="9" a="1"/>
  <c r="DD40" i="9" s="1"/>
  <c r="EO40" i="9" a="1"/>
  <c r="EO40" i="9" s="1"/>
  <c r="CT40" i="9" a="1"/>
  <c r="CT40" i="9" s="1"/>
  <c r="EC40" i="9" a="1"/>
  <c r="EC40" i="9" s="1"/>
  <c r="EB40" i="9" a="1"/>
  <c r="EB40" i="9" s="1"/>
  <c r="CK40" i="9" a="1"/>
  <c r="CK40" i="9" s="1"/>
  <c r="DV40" i="9" a="1"/>
  <c r="DV40" i="9" s="1"/>
  <c r="CI40" i="9" a="1"/>
  <c r="CI40" i="9" s="1"/>
  <c r="DU40" i="9" a="1"/>
  <c r="DU40" i="9" s="1"/>
  <c r="CR40" i="9" a="1"/>
  <c r="CR40" i="9" s="1"/>
  <c r="FB40" i="9" a="1"/>
  <c r="FB40" i="9" s="1"/>
  <c r="DS40" i="9" a="1"/>
  <c r="DS40" i="9" s="1"/>
  <c r="DI40" i="9" a="1"/>
  <c r="DI40" i="9" s="1"/>
  <c r="DG40" i="9" a="1"/>
  <c r="DG40" i="9" s="1"/>
  <c r="CV40" i="9" a="1"/>
  <c r="CV40" i="9" s="1"/>
  <c r="FF40" i="9" a="1"/>
  <c r="FF40" i="9" s="1"/>
  <c r="ES40" i="9" a="1"/>
  <c r="ES40" i="9" s="1"/>
  <c r="FA40" i="9" a="1"/>
  <c r="FA40" i="9" s="1"/>
  <c r="EP40" i="9" a="1"/>
  <c r="EP40" i="9" s="1"/>
  <c r="ED40" i="9" a="1"/>
  <c r="ED40" i="9" s="1"/>
  <c r="DF40" i="9" a="1"/>
  <c r="DF40" i="9" s="1"/>
  <c r="CU40" i="9" a="1"/>
  <c r="CU40" i="9" s="1"/>
  <c r="CH39" i="9"/>
  <c r="DY41" i="9" a="1"/>
  <c r="DY41" i="9" s="1"/>
  <c r="DC41" i="9" a="1"/>
  <c r="DC41" i="9" s="1"/>
  <c r="CS41" i="9" a="1"/>
  <c r="CS41" i="9" s="1"/>
  <c r="CI41" i="9" a="1"/>
  <c r="CI41" i="9" s="1"/>
  <c r="FD41" i="9" a="1"/>
  <c r="FD41" i="9" s="1"/>
  <c r="EE41" i="9" a="1"/>
  <c r="EE41" i="9" s="1"/>
  <c r="DT41" i="9" a="1"/>
  <c r="DT41" i="9" s="1"/>
  <c r="DH41" i="9" a="1"/>
  <c r="DH41" i="9" s="1"/>
  <c r="ES41" i="9" a="1"/>
  <c r="ES41" i="9" s="1"/>
  <c r="DS41" i="9" a="1"/>
  <c r="DS41" i="9" s="1"/>
  <c r="DG41" i="9" a="1"/>
  <c r="DG41" i="9" s="1"/>
  <c r="CW41" i="9" a="1"/>
  <c r="CW41" i="9" s="1"/>
  <c r="CK41" i="9" a="1"/>
  <c r="CK41" i="9" s="1"/>
  <c r="FC41" i="9" a="1"/>
  <c r="FC41" i="9" s="1"/>
  <c r="ER41" i="9" a="1"/>
  <c r="ER41" i="9" s="1"/>
  <c r="ED41" i="9" a="1"/>
  <c r="ED41" i="9" s="1"/>
  <c r="CV41" i="9" a="1"/>
  <c r="CV41" i="9" s="1"/>
  <c r="EQ41" i="9" a="1"/>
  <c r="EQ41" i="9" s="1"/>
  <c r="DR41" i="9" a="1"/>
  <c r="DR41" i="9" s="1"/>
  <c r="DF41" i="9" a="1"/>
  <c r="DF41" i="9" s="1"/>
  <c r="CU41" i="9" a="1"/>
  <c r="CU41" i="9" s="1"/>
  <c r="CJ41" i="9" a="1"/>
  <c r="CJ41" i="9" s="1"/>
  <c r="FB41" i="9" a="1"/>
  <c r="FB41" i="9" s="1"/>
  <c r="EP41" i="9" a="1"/>
  <c r="EP41" i="9" s="1"/>
  <c r="EC41" i="9" a="1"/>
  <c r="EC41" i="9" s="1"/>
  <c r="CT41" i="9" a="1"/>
  <c r="CT41" i="9" s="1"/>
  <c r="EO41" i="9" a="1"/>
  <c r="EO41" i="9" s="1"/>
  <c r="EB41" i="9" a="1"/>
  <c r="EB41" i="9" s="1"/>
  <c r="DQ41" i="9" a="1"/>
  <c r="DQ41" i="9" s="1"/>
  <c r="DE41" i="9" a="1"/>
  <c r="DE41" i="9" s="1"/>
  <c r="FA41" i="9" a="1"/>
  <c r="FA41" i="9" s="1"/>
  <c r="EN41" i="9" a="1"/>
  <c r="EN41" i="9" s="1"/>
  <c r="EA41" i="9" a="1"/>
  <c r="EA41" i="9" s="1"/>
  <c r="DP41" i="9" a="1"/>
  <c r="DP41" i="9" s="1"/>
  <c r="DD41" i="9" a="1"/>
  <c r="DD41" i="9" s="1"/>
  <c r="EZ41" i="9" a="1"/>
  <c r="EZ41" i="9" s="1"/>
  <c r="EM41" i="9" a="1"/>
  <c r="EM41" i="9" s="1"/>
  <c r="DO41" i="9" a="1"/>
  <c r="DO41" i="9" s="1"/>
  <c r="CR41" i="9" a="1"/>
  <c r="CR41" i="9" s="1"/>
  <c r="EX41" i="9" a="1"/>
  <c r="EX41" i="9" s="1"/>
  <c r="EL41" i="9" a="1"/>
  <c r="EL41" i="9" s="1"/>
  <c r="DX41" i="9" a="1"/>
  <c r="DX41" i="9" s="1"/>
  <c r="EW41" i="9" a="1"/>
  <c r="EW41" i="9" s="1"/>
  <c r="EK41" i="9" a="1"/>
  <c r="EK41" i="9" s="1"/>
  <c r="DM41" i="9" a="1"/>
  <c r="DM41" i="9" s="1"/>
  <c r="DA41" i="9" a="1"/>
  <c r="DA41" i="9" s="1"/>
  <c r="CP41" i="9" a="1"/>
  <c r="CP41" i="9" s="1"/>
  <c r="EV41" i="9" a="1"/>
  <c r="EV41" i="9" s="1"/>
  <c r="EJ41" i="9" a="1"/>
  <c r="EJ41" i="9" s="1"/>
  <c r="DW41" i="9" a="1"/>
  <c r="DW41" i="9" s="1"/>
  <c r="DL41" i="9" a="1"/>
  <c r="DL41" i="9" s="1"/>
  <c r="CZ41" i="9" a="1"/>
  <c r="CZ41" i="9" s="1"/>
  <c r="ET41" i="9" a="1"/>
  <c r="ET41" i="9" s="1"/>
  <c r="DB41" i="9" a="1"/>
  <c r="DB41" i="9" s="1"/>
  <c r="EF41" i="9" a="1"/>
  <c r="EF41" i="9" s="1"/>
  <c r="CQ41" i="9" a="1"/>
  <c r="CQ41" i="9" s="1"/>
  <c r="DZ41" i="9" a="1"/>
  <c r="DZ41" i="9" s="1"/>
  <c r="CO41" i="9" a="1"/>
  <c r="CO41" i="9" s="1"/>
  <c r="FE41" i="9" a="1"/>
  <c r="FE41" i="9" s="1"/>
  <c r="DI41" i="9" a="1"/>
  <c r="DI41" i="9" s="1"/>
  <c r="EU41" i="9" a="1"/>
  <c r="EU41" i="9" s="1"/>
  <c r="CX41" i="9" a="1"/>
  <c r="CX41" i="9" s="1"/>
  <c r="CN41" i="9" a="1"/>
  <c r="CN41" i="9" s="1"/>
  <c r="EI41" i="9" a="1"/>
  <c r="EI41" i="9" s="1"/>
  <c r="CM41" i="9" a="1"/>
  <c r="CM41" i="9" s="1"/>
  <c r="EH41" i="9" a="1"/>
  <c r="EH41" i="9" s="1"/>
  <c r="CL41" i="9" a="1"/>
  <c r="CL41" i="9" s="1"/>
  <c r="CY41" i="9" a="1"/>
  <c r="CY41" i="9" s="1"/>
  <c r="FF41" i="9" a="1"/>
  <c r="FF41" i="9" s="1"/>
  <c r="EY41" i="9" a="1"/>
  <c r="EY41" i="9" s="1"/>
  <c r="EG41" i="9" a="1"/>
  <c r="EG41" i="9" s="1"/>
  <c r="DU41" i="9" a="1"/>
  <c r="DU41" i="9" s="1"/>
  <c r="DJ41" i="9" a="1"/>
  <c r="DJ41" i="9" s="1"/>
  <c r="DK41" i="9" a="1"/>
  <c r="DK41" i="9" s="1"/>
  <c r="FG41" i="9" a="1"/>
  <c r="FG41" i="9" s="1"/>
  <c r="DV41" i="9" a="1"/>
  <c r="DV41" i="9" s="1"/>
  <c r="DN41" i="9" a="1"/>
  <c r="DN41" i="9" s="1"/>
  <c r="CH40" i="9"/>
  <c r="EQ35" i="9" a="1"/>
  <c r="EQ35" i="9" s="1"/>
  <c r="FF42" i="9" a="1"/>
  <c r="FF42" i="9" s="1"/>
  <c r="EV42" i="9" a="1"/>
  <c r="EV42" i="9" s="1"/>
  <c r="EK42" i="9" a="1"/>
  <c r="EK42" i="9" s="1"/>
  <c r="DZ42" i="9" a="1"/>
  <c r="DZ42" i="9" s="1"/>
  <c r="DO42" i="9" a="1"/>
  <c r="DO42" i="9" s="1"/>
  <c r="FB42" i="9" a="1"/>
  <c r="FB42" i="9" s="1"/>
  <c r="DV42" i="9" a="1"/>
  <c r="DV42" i="9" s="1"/>
  <c r="EP42" i="9" a="1"/>
  <c r="EP42" i="9" s="1"/>
  <c r="DT42" i="9" a="1"/>
  <c r="DT42" i="9" s="1"/>
  <c r="ED42" i="9" a="1"/>
  <c r="ED42" i="9" s="1"/>
  <c r="DR42" i="9" a="1"/>
  <c r="DR42" i="9" s="1"/>
  <c r="DH42" i="9" a="1"/>
  <c r="DH42" i="9" s="1"/>
  <c r="EU42" i="9" a="1"/>
  <c r="EU42" i="9" s="1"/>
  <c r="EH42" i="9" a="1"/>
  <c r="EH42" i="9" s="1"/>
  <c r="DD42" i="9" a="1"/>
  <c r="DD42" i="9" s="1"/>
  <c r="CS42" i="9" a="1"/>
  <c r="CS42" i="9" s="1"/>
  <c r="CI42" i="9" a="1"/>
  <c r="CI42" i="9" s="1"/>
  <c r="EG42" i="9" a="1"/>
  <c r="EG42" i="9" s="1"/>
  <c r="CP42" i="9" a="1"/>
  <c r="CP42" i="9" s="1"/>
  <c r="ET42" i="9" a="1"/>
  <c r="ET42" i="9" s="1"/>
  <c r="EF42" i="9" a="1"/>
  <c r="EF42" i="9" s="1"/>
  <c r="DP42" i="9" a="1"/>
  <c r="DP42" i="9" s="1"/>
  <c r="DA42" i="9" a="1"/>
  <c r="DA42" i="9" s="1"/>
  <c r="CO42" i="9" a="1"/>
  <c r="CO42" i="9" s="1"/>
  <c r="ES42" i="9" a="1"/>
  <c r="ES42" i="9" s="1"/>
  <c r="EE42" i="9" a="1"/>
  <c r="EE42" i="9" s="1"/>
  <c r="DN42" i="9" a="1"/>
  <c r="DN42" i="9" s="1"/>
  <c r="EC42" i="9" a="1"/>
  <c r="EC42" i="9" s="1"/>
  <c r="CZ42" i="9" a="1"/>
  <c r="CZ42" i="9" s="1"/>
  <c r="CN42" i="9" a="1"/>
  <c r="CN42" i="9" s="1"/>
  <c r="FG42" i="9" a="1"/>
  <c r="FG42" i="9" s="1"/>
  <c r="ER42" i="9" a="1"/>
  <c r="ER42" i="9" s="1"/>
  <c r="DM42" i="9" a="1"/>
  <c r="DM42" i="9" s="1"/>
  <c r="CY42" i="9" a="1"/>
  <c r="CY42" i="9" s="1"/>
  <c r="EQ42" i="9" a="1"/>
  <c r="EQ42" i="9" s="1"/>
  <c r="EB42" i="9" a="1"/>
  <c r="EB42" i="9" s="1"/>
  <c r="DL42" i="9" a="1"/>
  <c r="DL42" i="9" s="1"/>
  <c r="CX42" i="9" a="1"/>
  <c r="CX42" i="9" s="1"/>
  <c r="CM42" i="9" a="1"/>
  <c r="CM42" i="9" s="1"/>
  <c r="FE42" i="9" a="1"/>
  <c r="FE42" i="9" s="1"/>
  <c r="EA42" i="9" a="1"/>
  <c r="EA42" i="9" s="1"/>
  <c r="DK42" i="9" a="1"/>
  <c r="DK42" i="9" s="1"/>
  <c r="EO42" i="9" a="1"/>
  <c r="EO42" i="9" s="1"/>
  <c r="DJ42" i="9" a="1"/>
  <c r="DJ42" i="9" s="1"/>
  <c r="CW42" i="9" a="1"/>
  <c r="CW42" i="9" s="1"/>
  <c r="CL42" i="9" a="1"/>
  <c r="CL42" i="9" s="1"/>
  <c r="FC42" i="9" a="1"/>
  <c r="FC42" i="9" s="1"/>
  <c r="EM42" i="9" a="1"/>
  <c r="EM42" i="9" s="1"/>
  <c r="CK42" i="9" a="1"/>
  <c r="CK42" i="9" s="1"/>
  <c r="FA42" i="9" a="1"/>
  <c r="FA42" i="9" s="1"/>
  <c r="EL42" i="9" a="1"/>
  <c r="EL42" i="9" s="1"/>
  <c r="DX42" i="9" a="1"/>
  <c r="DX42" i="9" s="1"/>
  <c r="DG42" i="9" a="1"/>
  <c r="DG42" i="9" s="1"/>
  <c r="CU42" i="9" a="1"/>
  <c r="CU42" i="9" s="1"/>
  <c r="EZ42" i="9" a="1"/>
  <c r="EZ42" i="9" s="1"/>
  <c r="DW42" i="9" a="1"/>
  <c r="DW42" i="9" s="1"/>
  <c r="DF42" i="9" a="1"/>
  <c r="DF42" i="9" s="1"/>
  <c r="CT42" i="9" a="1"/>
  <c r="CT42" i="9" s="1"/>
  <c r="CJ42" i="9" a="1"/>
  <c r="CJ42" i="9" s="1"/>
  <c r="EY42" i="9" a="1"/>
  <c r="EY42" i="9" s="1"/>
  <c r="EI42" i="9" a="1"/>
  <c r="EI42" i="9" s="1"/>
  <c r="DC42" i="9" a="1"/>
  <c r="DC42" i="9" s="1"/>
  <c r="DB42" i="9" a="1"/>
  <c r="DB42" i="9" s="1"/>
  <c r="EN42" i="9" a="1"/>
  <c r="EN42" i="9" s="1"/>
  <c r="CR42" i="9" a="1"/>
  <c r="CR42" i="9" s="1"/>
  <c r="EJ42" i="9" a="1"/>
  <c r="EJ42" i="9" s="1"/>
  <c r="CQ42" i="9" a="1"/>
  <c r="CQ42" i="9" s="1"/>
  <c r="EW42" i="9" a="1"/>
  <c r="EW42" i="9" s="1"/>
  <c r="DU42" i="9" a="1"/>
  <c r="DU42" i="9" s="1"/>
  <c r="DS42" i="9" a="1"/>
  <c r="DS42" i="9" s="1"/>
  <c r="DQ42" i="9" a="1"/>
  <c r="DQ42" i="9" s="1"/>
  <c r="DI42" i="9" a="1"/>
  <c r="DI42" i="9" s="1"/>
  <c r="DY42" i="9" a="1"/>
  <c r="DY42" i="9" s="1"/>
  <c r="CV42" i="9" a="1"/>
  <c r="CV42" i="9" s="1"/>
  <c r="FD42" i="9" a="1"/>
  <c r="FD42" i="9" s="1"/>
  <c r="EX42" i="9" a="1"/>
  <c r="EX42" i="9" s="1"/>
  <c r="DE42" i="9" a="1"/>
  <c r="DE42" i="9" s="1"/>
  <c r="CH41" i="9"/>
  <c r="FF27" i="9" a="1"/>
  <c r="FF27" i="9" s="1"/>
  <c r="EU27" i="9" a="1"/>
  <c r="EU27" i="9" s="1"/>
  <c r="EI27" i="9" a="1"/>
  <c r="EI27" i="9" s="1"/>
  <c r="DX27" i="9" a="1"/>
  <c r="DX27" i="9" s="1"/>
  <c r="DC27" i="9" a="1"/>
  <c r="DC27" i="9" s="1"/>
  <c r="CR27" i="9" a="1"/>
  <c r="CR27" i="9" s="1"/>
  <c r="FE27" i="9" a="1"/>
  <c r="FE27" i="9" s="1"/>
  <c r="DJ27" i="9" a="1"/>
  <c r="DJ27" i="9" s="1"/>
  <c r="CY27" i="9" a="1"/>
  <c r="CY27" i="9" s="1"/>
  <c r="FD27" i="9" a="1"/>
  <c r="FD27" i="9" s="1"/>
  <c r="ER27" i="9" a="1"/>
  <c r="ER27" i="9" s="1"/>
  <c r="EF27" i="9" a="1"/>
  <c r="EF27" i="9" s="1"/>
  <c r="DI27" i="9" a="1"/>
  <c r="DI27" i="9" s="1"/>
  <c r="EQ27" i="9" a="1"/>
  <c r="EQ27" i="9" s="1"/>
  <c r="EE27" i="9" a="1"/>
  <c r="EE27" i="9" s="1"/>
  <c r="DT27" i="9" a="1"/>
  <c r="DT27" i="9" s="1"/>
  <c r="CW27" i="9" a="1"/>
  <c r="CW27" i="9" s="1"/>
  <c r="CL27" i="9" a="1"/>
  <c r="CL27" i="9" s="1"/>
  <c r="FC27" i="9" a="1"/>
  <c r="FC27" i="9" s="1"/>
  <c r="EP27" i="9" a="1"/>
  <c r="EP27" i="9" s="1"/>
  <c r="ED27" i="9" a="1"/>
  <c r="ED27" i="9" s="1"/>
  <c r="FB27" i="9" a="1"/>
  <c r="FB27" i="9" s="1"/>
  <c r="DG27" i="9" a="1"/>
  <c r="DG27" i="9" s="1"/>
  <c r="CJ27" i="9" a="1"/>
  <c r="CJ27" i="9" s="1"/>
  <c r="EO27" i="9" a="1"/>
  <c r="EO27" i="9" s="1"/>
  <c r="EC27" i="9" a="1"/>
  <c r="EC27" i="9" s="1"/>
  <c r="DR27" i="9" a="1"/>
  <c r="DR27" i="9" s="1"/>
  <c r="DF27" i="9" a="1"/>
  <c r="DF27" i="9" s="1"/>
  <c r="CU27" i="9" a="1"/>
  <c r="CU27" i="9" s="1"/>
  <c r="CI27" i="9" a="1"/>
  <c r="CI27" i="9" s="1"/>
  <c r="EZ27" i="9" a="1"/>
  <c r="EZ27" i="9" s="1"/>
  <c r="EB27" i="9" a="1"/>
  <c r="EB27" i="9" s="1"/>
  <c r="DQ27" i="9" a="1"/>
  <c r="DQ27" i="9" s="1"/>
  <c r="DE27" i="9" a="1"/>
  <c r="DE27" i="9" s="1"/>
  <c r="CT27" i="9" a="1"/>
  <c r="CT27" i="9" s="1"/>
  <c r="EW27" i="9" a="1"/>
  <c r="EW27" i="9" s="1"/>
  <c r="CP27" i="9" a="1"/>
  <c r="CP27" i="9" s="1"/>
  <c r="DY27" i="9" a="1"/>
  <c r="DY27" i="9" s="1"/>
  <c r="CO27" i="9" a="1"/>
  <c r="CO27" i="9" s="1"/>
  <c r="EN27" i="9" a="1"/>
  <c r="EN27" i="9" s="1"/>
  <c r="DS27" i="9" a="1"/>
  <c r="DS27" i="9" s="1"/>
  <c r="EM27" i="9" a="1"/>
  <c r="EM27" i="9" s="1"/>
  <c r="CX27" i="9" a="1"/>
  <c r="CX27" i="9" s="1"/>
  <c r="EK27" i="9" a="1"/>
  <c r="EK27" i="9" s="1"/>
  <c r="DN27" i="9" a="1"/>
  <c r="DN27" i="9" s="1"/>
  <c r="CS27" i="9" a="1"/>
  <c r="CS27" i="9" s="1"/>
  <c r="DK27" i="9" a="1"/>
  <c r="DK27" i="9" s="1"/>
  <c r="CN27" i="9" a="1"/>
  <c r="CN27" i="9" s="1"/>
  <c r="FA27" i="9" a="1"/>
  <c r="FA27" i="9" s="1"/>
  <c r="DH27" i="9" a="1"/>
  <c r="DH27" i="9" s="1"/>
  <c r="CM27" i="9" a="1"/>
  <c r="CM27" i="9" s="1"/>
  <c r="EX27" i="9" a="1"/>
  <c r="EX27" i="9" s="1"/>
  <c r="DB27" i="9" a="1"/>
  <c r="DB27" i="9" s="1"/>
  <c r="DU27" i="9" a="1"/>
  <c r="DU27" i="9" s="1"/>
  <c r="CK27" i="9" a="1"/>
  <c r="CK27" i="9" s="1"/>
  <c r="FG27" i="9" a="1"/>
  <c r="FG27" i="9" s="1"/>
  <c r="DP27" i="9" a="1"/>
  <c r="DP27" i="9" s="1"/>
  <c r="EY27" i="9" a="1"/>
  <c r="EY27" i="9" s="1"/>
  <c r="DO27" i="9" a="1"/>
  <c r="DO27" i="9" s="1"/>
  <c r="DM27" i="9" a="1"/>
  <c r="DM27" i="9" s="1"/>
  <c r="EV27" i="9" a="1"/>
  <c r="EV27" i="9" s="1"/>
  <c r="DL27" i="9" a="1"/>
  <c r="DL27" i="9" s="1"/>
  <c r="ET27" i="9" a="1"/>
  <c r="ET27" i="9" s="1"/>
  <c r="ES27" i="9" a="1"/>
  <c r="ES27" i="9" s="1"/>
  <c r="EL27" i="9" a="1"/>
  <c r="EL27" i="9" s="1"/>
  <c r="DD27" i="9" a="1"/>
  <c r="DD27" i="9" s="1"/>
  <c r="DA27" i="9" a="1"/>
  <c r="DA27" i="9" s="1"/>
  <c r="EJ27" i="9" a="1"/>
  <c r="EJ27" i="9" s="1"/>
  <c r="CH27" i="9"/>
  <c r="CZ27" i="9" a="1"/>
  <c r="CZ27" i="9" s="1"/>
  <c r="DZ27" i="9" a="1"/>
  <c r="DZ27" i="9" s="1"/>
  <c r="DW27" i="9" a="1"/>
  <c r="DW27" i="9" s="1"/>
  <c r="CQ27" i="9" a="1"/>
  <c r="CQ27" i="9" s="1"/>
  <c r="DV27" i="9" a="1"/>
  <c r="DV27" i="9" s="1"/>
  <c r="EA43" i="9" a="1"/>
  <c r="EA43" i="9" s="1"/>
  <c r="DD43" i="9" a="1"/>
  <c r="DD43" i="9" s="1"/>
  <c r="CR43" i="9" a="1"/>
  <c r="CR43" i="9" s="1"/>
  <c r="EQ43" i="9" a="1"/>
  <c r="EQ43" i="9" s="1"/>
  <c r="DV43" i="9" a="1"/>
  <c r="DV43" i="9" s="1"/>
  <c r="CZ43" i="9" a="1"/>
  <c r="CZ43" i="9" s="1"/>
  <c r="CN43" i="9" a="1"/>
  <c r="CN43" i="9" s="1"/>
  <c r="EO43" i="9" a="1"/>
  <c r="EO43" i="9" s="1"/>
  <c r="DJ43" i="9" a="1"/>
  <c r="DJ43" i="9" s="1"/>
  <c r="CX43" i="9" a="1"/>
  <c r="CX43" i="9" s="1"/>
  <c r="CM43" i="9" a="1"/>
  <c r="CM43" i="9" s="1"/>
  <c r="EW43" i="9" a="1"/>
  <c r="EW43" i="9" s="1"/>
  <c r="EM43" i="9" a="1"/>
  <c r="EM43" i="9" s="1"/>
  <c r="DS43" i="9" a="1"/>
  <c r="DS43" i="9" s="1"/>
  <c r="DG43" i="9" a="1"/>
  <c r="DG43" i="9" s="1"/>
  <c r="CV43" i="9" a="1"/>
  <c r="CV43" i="9" s="1"/>
  <c r="CJ43" i="9" a="1"/>
  <c r="CJ43" i="9" s="1"/>
  <c r="FD43" i="9" a="1"/>
  <c r="FD43" i="9" s="1"/>
  <c r="EC43" i="9" a="1"/>
  <c r="EC43" i="9" s="1"/>
  <c r="DN43" i="9" a="1"/>
  <c r="DN43" i="9" s="1"/>
  <c r="EH43" i="9" a="1"/>
  <c r="EH43" i="9" s="1"/>
  <c r="DR43" i="9" a="1"/>
  <c r="DR43" i="9" s="1"/>
  <c r="DC43" i="9" a="1"/>
  <c r="DC43" i="9" s="1"/>
  <c r="CL43" i="9" a="1"/>
  <c r="CL43" i="9" s="1"/>
  <c r="EU43" i="9" a="1"/>
  <c r="EU43" i="9" s="1"/>
  <c r="EG43" i="9" a="1"/>
  <c r="EG43" i="9" s="1"/>
  <c r="DQ43" i="9" a="1"/>
  <c r="DQ43" i="9" s="1"/>
  <c r="DB43" i="9" a="1"/>
  <c r="DB43" i="9" s="1"/>
  <c r="CK43" i="9" a="1"/>
  <c r="CK43" i="9" s="1"/>
  <c r="ET43" i="9" a="1"/>
  <c r="ET43" i="9" s="1"/>
  <c r="EF43" i="9" a="1"/>
  <c r="EF43" i="9" s="1"/>
  <c r="DP43" i="9" a="1"/>
  <c r="DP43" i="9" s="1"/>
  <c r="DA43" i="9" a="1"/>
  <c r="DA43" i="9" s="1"/>
  <c r="CI43" i="9" a="1"/>
  <c r="CI43" i="9" s="1"/>
  <c r="ES43" i="9" a="1"/>
  <c r="ES43" i="9" s="1"/>
  <c r="EE43" i="9" a="1"/>
  <c r="EE43" i="9" s="1"/>
  <c r="DO43" i="9" a="1"/>
  <c r="DO43" i="9" s="1"/>
  <c r="CY43" i="9" a="1"/>
  <c r="CY43" i="9" s="1"/>
  <c r="FG43" i="9" a="1"/>
  <c r="FG43" i="9" s="1"/>
  <c r="ED43" i="9" a="1"/>
  <c r="ED43" i="9" s="1"/>
  <c r="CW43" i="9" a="1"/>
  <c r="CW43" i="9" s="1"/>
  <c r="FF43" i="9" a="1"/>
  <c r="FF43" i="9" s="1"/>
  <c r="ER43" i="9" a="1"/>
  <c r="ER43" i="9" s="1"/>
  <c r="DM43" i="9" a="1"/>
  <c r="DM43" i="9" s="1"/>
  <c r="FE43" i="9" a="1"/>
  <c r="FE43" i="9" s="1"/>
  <c r="EP43" i="9" a="1"/>
  <c r="EP43" i="9" s="1"/>
  <c r="EB43" i="9" a="1"/>
  <c r="EB43" i="9" s="1"/>
  <c r="DL43" i="9" a="1"/>
  <c r="DL43" i="9" s="1"/>
  <c r="CU43" i="9" a="1"/>
  <c r="CU43" i="9" s="1"/>
  <c r="FB43" i="9" a="1"/>
  <c r="FB43" i="9" s="1"/>
  <c r="DY43" i="9" a="1"/>
  <c r="DY43" i="9" s="1"/>
  <c r="DI43" i="9" a="1"/>
  <c r="DI43" i="9" s="1"/>
  <c r="CS43" i="9" a="1"/>
  <c r="CS43" i="9" s="1"/>
  <c r="FA43" i="9" a="1"/>
  <c r="FA43" i="9" s="1"/>
  <c r="EL43" i="9" a="1"/>
  <c r="EL43" i="9" s="1"/>
  <c r="DX43" i="9" a="1"/>
  <c r="DX43" i="9" s="1"/>
  <c r="DH43" i="9" a="1"/>
  <c r="DH43" i="9" s="1"/>
  <c r="EZ43" i="9" a="1"/>
  <c r="EZ43" i="9" s="1"/>
  <c r="CQ43" i="9" a="1"/>
  <c r="CQ43" i="9" s="1"/>
  <c r="EY43" i="9" a="1"/>
  <c r="EY43" i="9" s="1"/>
  <c r="EK43" i="9" a="1"/>
  <c r="EK43" i="9" s="1"/>
  <c r="DW43" i="9" a="1"/>
  <c r="DW43" i="9" s="1"/>
  <c r="DF43" i="9" a="1"/>
  <c r="DF43" i="9" s="1"/>
  <c r="CP43" i="9" a="1"/>
  <c r="CP43" i="9" s="1"/>
  <c r="DT43" i="9" a="1"/>
  <c r="DT43" i="9" s="1"/>
  <c r="CO43" i="9" a="1"/>
  <c r="CO43" i="9" s="1"/>
  <c r="EV43" i="9" a="1"/>
  <c r="EV43" i="9" s="1"/>
  <c r="EN43" i="9" a="1"/>
  <c r="EN43" i="9" s="1"/>
  <c r="FC43" i="9" a="1"/>
  <c r="FC43" i="9" s="1"/>
  <c r="EX43" i="9" a="1"/>
  <c r="EX43" i="9" s="1"/>
  <c r="EJ43" i="9" a="1"/>
  <c r="EJ43" i="9" s="1"/>
  <c r="EI43" i="9" a="1"/>
  <c r="EI43" i="9" s="1"/>
  <c r="DZ43" i="9" a="1"/>
  <c r="DZ43" i="9" s="1"/>
  <c r="DU43" i="9" a="1"/>
  <c r="DU43" i="9" s="1"/>
  <c r="DK43" i="9" a="1"/>
  <c r="DK43" i="9" s="1"/>
  <c r="CT43" i="9" a="1"/>
  <c r="CT43" i="9" s="1"/>
  <c r="DE43" i="9" a="1"/>
  <c r="DE43" i="9" s="1"/>
  <c r="CH43" i="9"/>
  <c r="CH42" i="9"/>
  <c r="FG36" i="9" a="1"/>
  <c r="FG36" i="9" s="1"/>
  <c r="ES44" i="9" a="1"/>
  <c r="ES44" i="9" s="1"/>
  <c r="DM44" i="9" a="1"/>
  <c r="DM44" i="9" s="1"/>
  <c r="CQ44" i="9" a="1"/>
  <c r="CQ44" i="9" s="1"/>
  <c r="EO44" i="9" a="1"/>
  <c r="EO44" i="9" s="1"/>
  <c r="ED44" i="9" a="1"/>
  <c r="ED44" i="9" s="1"/>
  <c r="DH44" i="9" a="1"/>
  <c r="DH44" i="9" s="1"/>
  <c r="CM44" i="9" a="1"/>
  <c r="CM44" i="9" s="1"/>
  <c r="EX44" i="9" a="1"/>
  <c r="EX44" i="9" s="1"/>
  <c r="EB44" i="9" a="1"/>
  <c r="EB44" i="9" s="1"/>
  <c r="DR44" i="9" a="1"/>
  <c r="DR44" i="9" s="1"/>
  <c r="DG44" i="9" a="1"/>
  <c r="DG44" i="9" s="1"/>
  <c r="CW44" i="9" a="1"/>
  <c r="CW44" i="9" s="1"/>
  <c r="CK44" i="9" a="1"/>
  <c r="CK44" i="9" s="1"/>
  <c r="FG44" i="9" a="1"/>
  <c r="FG44" i="9" s="1"/>
  <c r="EV44" i="9" a="1"/>
  <c r="EV44" i="9" s="1"/>
  <c r="EL44" i="9" a="1"/>
  <c r="EL44" i="9" s="1"/>
  <c r="DP44" i="9" a="1"/>
  <c r="DP44" i="9" s="1"/>
  <c r="DE44" i="9" a="1"/>
  <c r="DE44" i="9" s="1"/>
  <c r="CT44" i="9" a="1"/>
  <c r="CT44" i="9" s="1"/>
  <c r="CI44" i="9" a="1"/>
  <c r="CI44" i="9" s="1"/>
  <c r="EZ44" i="9" a="1"/>
  <c r="EZ44" i="9" s="1"/>
  <c r="EK44" i="9" a="1"/>
  <c r="EK44" i="9" s="1"/>
  <c r="DW44" i="9" a="1"/>
  <c r="DW44" i="9" s="1"/>
  <c r="CS44" i="9" a="1"/>
  <c r="CS44" i="9" s="1"/>
  <c r="EU44" i="9" a="1"/>
  <c r="EU44" i="9" s="1"/>
  <c r="DQ44" i="9" a="1"/>
  <c r="DQ44" i="9" s="1"/>
  <c r="DA44" i="9" a="1"/>
  <c r="DA44" i="9" s="1"/>
  <c r="CL44" i="9" a="1"/>
  <c r="CL44" i="9" s="1"/>
  <c r="EE44" i="9" a="1"/>
  <c r="EE44" i="9" s="1"/>
  <c r="CJ44" i="9" a="1"/>
  <c r="CJ44" i="9" s="1"/>
  <c r="ET44" i="9" a="1"/>
  <c r="ET44" i="9" s="1"/>
  <c r="DO44" i="9" a="1"/>
  <c r="DO44" i="9" s="1"/>
  <c r="CZ44" i="9" a="1"/>
  <c r="CZ44" i="9" s="1"/>
  <c r="ER44" i="9" a="1"/>
  <c r="ER44" i="9" s="1"/>
  <c r="EC44" i="9" a="1"/>
  <c r="EC44" i="9" s="1"/>
  <c r="FF44" i="9" a="1"/>
  <c r="FF44" i="9" s="1"/>
  <c r="DN44" i="9" a="1"/>
  <c r="DN44" i="9" s="1"/>
  <c r="CY44" i="9" a="1"/>
  <c r="CY44" i="9" s="1"/>
  <c r="EQ44" i="9" a="1"/>
  <c r="EQ44" i="9" s="1"/>
  <c r="EA44" i="9" a="1"/>
  <c r="EA44" i="9" s="1"/>
  <c r="DL44" i="9" a="1"/>
  <c r="DL44" i="9" s="1"/>
  <c r="CX44" i="9" a="1"/>
  <c r="CX44" i="9" s="1"/>
  <c r="FE44" i="9" a="1"/>
  <c r="FE44" i="9" s="1"/>
  <c r="DZ44" i="9" a="1"/>
  <c r="DZ44" i="9" s="1"/>
  <c r="DK44" i="9" a="1"/>
  <c r="DK44" i="9" s="1"/>
  <c r="CV44" i="9" a="1"/>
  <c r="CV44" i="9" s="1"/>
  <c r="FD44" i="9" a="1"/>
  <c r="FD44" i="9" s="1"/>
  <c r="EP44" i="9" a="1"/>
  <c r="EP44" i="9" s="1"/>
  <c r="DY44" i="9" a="1"/>
  <c r="DY44" i="9" s="1"/>
  <c r="DJ44" i="9" a="1"/>
  <c r="DJ44" i="9" s="1"/>
  <c r="CU44" i="9" a="1"/>
  <c r="CU44" i="9" s="1"/>
  <c r="EM44" i="9" a="1"/>
  <c r="EM44" i="9" s="1"/>
  <c r="DX44" i="9" a="1"/>
  <c r="DX44" i="9" s="1"/>
  <c r="CR44" i="9" a="1"/>
  <c r="CR44" i="9" s="1"/>
  <c r="FB44" i="9" a="1"/>
  <c r="FB44" i="9" s="1"/>
  <c r="FA44" i="9" a="1"/>
  <c r="FA44" i="9" s="1"/>
  <c r="EJ44" i="9" a="1"/>
  <c r="EJ44" i="9" s="1"/>
  <c r="DV44" i="9" a="1"/>
  <c r="DV44" i="9" s="1"/>
  <c r="DF44" i="9" a="1"/>
  <c r="DF44" i="9" s="1"/>
  <c r="EY44" i="9" a="1"/>
  <c r="EY44" i="9" s="1"/>
  <c r="EI44" i="9" a="1"/>
  <c r="EI44" i="9" s="1"/>
  <c r="DU44" i="9" a="1"/>
  <c r="DU44" i="9" s="1"/>
  <c r="DD44" i="9" a="1"/>
  <c r="DD44" i="9" s="1"/>
  <c r="CP44" i="9" a="1"/>
  <c r="CP44" i="9" s="1"/>
  <c r="EG44" i="9" a="1"/>
  <c r="EG44" i="9" s="1"/>
  <c r="DS44" i="9" a="1"/>
  <c r="DS44" i="9" s="1"/>
  <c r="CN44" i="9" a="1"/>
  <c r="CN44" i="9" s="1"/>
  <c r="CO44" i="9" a="1"/>
  <c r="CO44" i="9" s="1"/>
  <c r="EW44" i="9" a="1"/>
  <c r="EW44" i="9" s="1"/>
  <c r="DC44" i="9" a="1"/>
  <c r="DC44" i="9" s="1"/>
  <c r="DB44" i="9" a="1"/>
  <c r="DB44" i="9" s="1"/>
  <c r="EN44" i="9" a="1"/>
  <c r="EN44" i="9" s="1"/>
  <c r="EH44" i="9" a="1"/>
  <c r="EH44" i="9" s="1"/>
  <c r="DT44" i="9" a="1"/>
  <c r="DT44" i="9" s="1"/>
  <c r="DI44" i="9" a="1"/>
  <c r="DI44" i="9" s="1"/>
  <c r="FC44" i="9" a="1"/>
  <c r="FC44" i="9" s="1"/>
  <c r="EF44" i="9" a="1"/>
  <c r="EF44" i="9" s="1"/>
  <c r="CH44" i="9"/>
  <c r="CT39" i="9" a="1"/>
  <c r="CT39" i="9" s="1"/>
  <c r="FB45" i="9" a="1"/>
  <c r="FB45" i="9" s="1"/>
  <c r="DL45" i="9" a="1"/>
  <c r="DL45" i="9" s="1"/>
  <c r="DB45" i="9" a="1"/>
  <c r="DB45" i="9" s="1"/>
  <c r="CQ45" i="9" a="1"/>
  <c r="CQ45" i="9" s="1"/>
  <c r="EY45" i="9" a="1"/>
  <c r="EY45" i="9" s="1"/>
  <c r="ED45" i="9" a="1"/>
  <c r="ED45" i="9" s="1"/>
  <c r="DU45" i="9" a="1"/>
  <c r="DU45" i="9" s="1"/>
  <c r="DJ45" i="9" a="1"/>
  <c r="DJ45" i="9" s="1"/>
  <c r="EN45" i="9" a="1"/>
  <c r="EN45" i="9" s="1"/>
  <c r="DT45" i="9" a="1"/>
  <c r="DT45" i="9" s="1"/>
  <c r="DI45" i="9" a="1"/>
  <c r="DI45" i="9" s="1"/>
  <c r="CY45" i="9" a="1"/>
  <c r="CY45" i="9" s="1"/>
  <c r="CM45" i="9" a="1"/>
  <c r="CM45" i="9" s="1"/>
  <c r="EW45" i="9" a="1"/>
  <c r="EW45" i="9" s="1"/>
  <c r="EM45" i="9" a="1"/>
  <c r="EM45" i="9" s="1"/>
  <c r="DH45" i="9" a="1"/>
  <c r="DH45" i="9" s="1"/>
  <c r="CL45" i="9" a="1"/>
  <c r="CL45" i="9" s="1"/>
  <c r="FG45" i="9" a="1"/>
  <c r="FG45" i="9" s="1"/>
  <c r="EV45" i="9" a="1"/>
  <c r="EV45" i="9" s="1"/>
  <c r="EL45" i="9" a="1"/>
  <c r="EL45" i="9" s="1"/>
  <c r="EA45" i="9" a="1"/>
  <c r="EA45" i="9" s="1"/>
  <c r="DQ45" i="9" a="1"/>
  <c r="DQ45" i="9" s="1"/>
  <c r="DG45" i="9" a="1"/>
  <c r="DG45" i="9" s="1"/>
  <c r="CK45" i="9" a="1"/>
  <c r="CK45" i="9" s="1"/>
  <c r="ET45" i="9" a="1"/>
  <c r="ET45" i="9" s="1"/>
  <c r="EJ45" i="9" a="1"/>
  <c r="EJ45" i="9" s="1"/>
  <c r="DO45" i="9" a="1"/>
  <c r="DO45" i="9" s="1"/>
  <c r="FE45" i="9" a="1"/>
  <c r="FE45" i="9" s="1"/>
  <c r="DX45" i="9" a="1"/>
  <c r="DX45" i="9" s="1"/>
  <c r="CR45" i="9" a="1"/>
  <c r="CR45" i="9" s="1"/>
  <c r="FC45" i="9" a="1"/>
  <c r="FC45" i="9" s="1"/>
  <c r="DV45" i="9" a="1"/>
  <c r="DV45" i="9" s="1"/>
  <c r="DD45" i="9" a="1"/>
  <c r="DD45" i="9" s="1"/>
  <c r="FF45" i="9" a="1"/>
  <c r="FF45" i="9" s="1"/>
  <c r="DC45" i="9" a="1"/>
  <c r="DC45" i="9" s="1"/>
  <c r="EK45" i="9" a="1"/>
  <c r="EK45" i="9" s="1"/>
  <c r="DS45" i="9" a="1"/>
  <c r="DS45" i="9" s="1"/>
  <c r="CJ45" i="9" a="1"/>
  <c r="CJ45" i="9" s="1"/>
  <c r="FD45" i="9" a="1"/>
  <c r="FD45" i="9" s="1"/>
  <c r="EI45" i="9" a="1"/>
  <c r="EI45" i="9" s="1"/>
  <c r="DR45" i="9" a="1"/>
  <c r="DR45" i="9" s="1"/>
  <c r="CI45" i="9" a="1"/>
  <c r="CI45" i="9" s="1"/>
  <c r="FA45" i="9" a="1"/>
  <c r="FA45" i="9" s="1"/>
  <c r="DP45" i="9" a="1"/>
  <c r="DP45" i="9" s="1"/>
  <c r="DA45" i="9" a="1"/>
  <c r="DA45" i="9" s="1"/>
  <c r="EZ45" i="9" a="1"/>
  <c r="EZ45" i="9" s="1"/>
  <c r="EH45" i="9" a="1"/>
  <c r="EH45" i="9" s="1"/>
  <c r="CZ45" i="9" a="1"/>
  <c r="CZ45" i="9" s="1"/>
  <c r="EX45" i="9" a="1"/>
  <c r="EX45" i="9" s="1"/>
  <c r="EG45" i="9" a="1"/>
  <c r="EG45" i="9" s="1"/>
  <c r="CX45" i="9" a="1"/>
  <c r="CX45" i="9" s="1"/>
  <c r="EF45" i="9" a="1"/>
  <c r="EF45" i="9" s="1"/>
  <c r="DN45" i="9" a="1"/>
  <c r="DN45" i="9" s="1"/>
  <c r="CW45" i="9" a="1"/>
  <c r="CW45" i="9" s="1"/>
  <c r="EU45" i="9" a="1"/>
  <c r="EU45" i="9" s="1"/>
  <c r="EC45" i="9" a="1"/>
  <c r="EC45" i="9" s="1"/>
  <c r="CU45" i="9" a="1"/>
  <c r="CU45" i="9" s="1"/>
  <c r="ES45" i="9" a="1"/>
  <c r="ES45" i="9" s="1"/>
  <c r="EB45" i="9" a="1"/>
  <c r="EB45" i="9" s="1"/>
  <c r="DK45" i="9" a="1"/>
  <c r="DK45" i="9" s="1"/>
  <c r="CT45" i="9" a="1"/>
  <c r="CT45" i="9" s="1"/>
  <c r="ER45" i="9" a="1"/>
  <c r="ER45" i="9" s="1"/>
  <c r="DZ45" i="9" a="1"/>
  <c r="DZ45" i="9" s="1"/>
  <c r="CS45" i="9" a="1"/>
  <c r="CS45" i="9" s="1"/>
  <c r="EQ45" i="9" a="1"/>
  <c r="EQ45" i="9" s="1"/>
  <c r="DY45" i="9" a="1"/>
  <c r="DY45" i="9" s="1"/>
  <c r="EP45" i="9" a="1"/>
  <c r="EP45" i="9" s="1"/>
  <c r="DF45" i="9" a="1"/>
  <c r="DF45" i="9" s="1"/>
  <c r="CO45" i="9" a="1"/>
  <c r="CO45" i="9" s="1"/>
  <c r="DE45" i="9" a="1"/>
  <c r="DE45" i="9" s="1"/>
  <c r="CV45" i="9" a="1"/>
  <c r="CV45" i="9" s="1"/>
  <c r="EO45" i="9" a="1"/>
  <c r="EO45" i="9" s="1"/>
  <c r="DW45" i="9" a="1"/>
  <c r="DW45" i="9" s="1"/>
  <c r="DM45" i="9" a="1"/>
  <c r="DM45" i="9" s="1"/>
  <c r="CP45" i="9" a="1"/>
  <c r="CP45" i="9" s="1"/>
  <c r="CN45" i="9" a="1"/>
  <c r="CN45" i="9" s="1"/>
  <c r="EE45" i="9" a="1"/>
  <c r="EE45" i="9" s="1"/>
  <c r="CH45" i="9"/>
  <c r="DE39" i="9" a="1"/>
  <c r="DE39" i="9" s="1"/>
  <c r="EF46" i="9" a="1"/>
  <c r="EF46" i="9" s="1"/>
  <c r="CZ46" i="9" a="1"/>
  <c r="CZ46" i="9" s="1"/>
  <c r="EZ46" i="9" a="1"/>
  <c r="EZ46" i="9" s="1"/>
  <c r="EN46" i="9" a="1"/>
  <c r="EN46" i="9" s="1"/>
  <c r="ED46" i="9" a="1"/>
  <c r="ED46" i="9" s="1"/>
  <c r="DT46" i="9" a="1"/>
  <c r="DT46" i="9" s="1"/>
  <c r="CL46" i="9" a="1"/>
  <c r="CL46" i="9" s="1"/>
  <c r="EY46" i="9" a="1"/>
  <c r="EY46" i="9" s="1"/>
  <c r="DS46" i="9" a="1"/>
  <c r="DS46" i="9" s="1"/>
  <c r="DH46" i="9" a="1"/>
  <c r="DH46" i="9" s="1"/>
  <c r="CW46" i="9" a="1"/>
  <c r="CW46" i="9" s="1"/>
  <c r="CK46" i="9" a="1"/>
  <c r="CK46" i="9" s="1"/>
  <c r="EW46" i="9" a="1"/>
  <c r="EW46" i="9" s="1"/>
  <c r="EL46" i="9" a="1"/>
  <c r="EL46" i="9" s="1"/>
  <c r="EB46" i="9" a="1"/>
  <c r="EB46" i="9" s="1"/>
  <c r="DR46" i="9" a="1"/>
  <c r="DR46" i="9" s="1"/>
  <c r="DG46" i="9" a="1"/>
  <c r="DG46" i="9" s="1"/>
  <c r="CU46" i="9" a="1"/>
  <c r="CU46" i="9" s="1"/>
  <c r="CJ46" i="9" a="1"/>
  <c r="CJ46" i="9" s="1"/>
  <c r="EV46" i="9" a="1"/>
  <c r="EV46" i="9" s="1"/>
  <c r="EK46" i="9" a="1"/>
  <c r="EK46" i="9" s="1"/>
  <c r="DZ46" i="9" a="1"/>
  <c r="DZ46" i="9" s="1"/>
  <c r="DP46" i="9" a="1"/>
  <c r="DP46" i="9" s="1"/>
  <c r="CT46" i="9" a="1"/>
  <c r="CT46" i="9" s="1"/>
  <c r="FF46" i="9" a="1"/>
  <c r="FF46" i="9" s="1"/>
  <c r="EX46" i="9" a="1"/>
  <c r="EX46" i="9" s="1"/>
  <c r="EG46" i="9" a="1"/>
  <c r="EG46" i="9" s="1"/>
  <c r="DO46" i="9" a="1"/>
  <c r="DO46" i="9" s="1"/>
  <c r="CY46" i="9" a="1"/>
  <c r="CY46" i="9" s="1"/>
  <c r="ET46" i="9" a="1"/>
  <c r="ET46" i="9" s="1"/>
  <c r="EE46" i="9" a="1"/>
  <c r="EE46" i="9" s="1"/>
  <c r="EP46" i="9" a="1"/>
  <c r="EP46" i="9" s="1"/>
  <c r="DW46" i="9" a="1"/>
  <c r="DW46" i="9" s="1"/>
  <c r="DC46" i="9" a="1"/>
  <c r="DC46" i="9" s="1"/>
  <c r="EO46" i="9" a="1"/>
  <c r="EO46" i="9" s="1"/>
  <c r="DV46" i="9" a="1"/>
  <c r="DV46" i="9" s="1"/>
  <c r="DB46" i="9" a="1"/>
  <c r="DB46" i="9" s="1"/>
  <c r="EM46" i="9" a="1"/>
  <c r="EM46" i="9" s="1"/>
  <c r="DU46" i="9" a="1"/>
  <c r="DU46" i="9" s="1"/>
  <c r="FG46" i="9" a="1"/>
  <c r="FG46" i="9" s="1"/>
  <c r="DA46" i="9" a="1"/>
  <c r="DA46" i="9" s="1"/>
  <c r="FE46" i="9" a="1"/>
  <c r="FE46" i="9" s="1"/>
  <c r="CX46" i="9" a="1"/>
  <c r="CX46" i="9" s="1"/>
  <c r="FD46" i="9" a="1"/>
  <c r="FD46" i="9" s="1"/>
  <c r="EJ46" i="9" a="1"/>
  <c r="EJ46" i="9" s="1"/>
  <c r="DQ46" i="9" a="1"/>
  <c r="DQ46" i="9" s="1"/>
  <c r="CV46" i="9" a="1"/>
  <c r="CV46" i="9" s="1"/>
  <c r="FC46" i="9" a="1"/>
  <c r="FC46" i="9" s="1"/>
  <c r="EI46" i="9" a="1"/>
  <c r="EI46" i="9" s="1"/>
  <c r="DN46" i="9" a="1"/>
  <c r="DN46" i="9" s="1"/>
  <c r="CS46" i="9" a="1"/>
  <c r="CS46" i="9" s="1"/>
  <c r="FB46" i="9" a="1"/>
  <c r="FB46" i="9" s="1"/>
  <c r="EH46" i="9" a="1"/>
  <c r="EH46" i="9" s="1"/>
  <c r="DM46" i="9" a="1"/>
  <c r="DM46" i="9" s="1"/>
  <c r="CR46" i="9" a="1"/>
  <c r="CR46" i="9" s="1"/>
  <c r="DK46" i="9" a="1"/>
  <c r="DK46" i="9" s="1"/>
  <c r="CP46" i="9" a="1"/>
  <c r="CP46" i="9" s="1"/>
  <c r="EC46" i="9" a="1"/>
  <c r="EC46" i="9" s="1"/>
  <c r="DJ46" i="9" a="1"/>
  <c r="DJ46" i="9" s="1"/>
  <c r="EU46" i="9" a="1"/>
  <c r="EU46" i="9" s="1"/>
  <c r="EA46" i="9" a="1"/>
  <c r="EA46" i="9" s="1"/>
  <c r="DI46" i="9" a="1"/>
  <c r="DI46" i="9" s="1"/>
  <c r="CO46" i="9" a="1"/>
  <c r="CO46" i="9" s="1"/>
  <c r="ES46" i="9" a="1"/>
  <c r="ES46" i="9" s="1"/>
  <c r="CN46" i="9" a="1"/>
  <c r="CN46" i="9" s="1"/>
  <c r="DY46" i="9" a="1"/>
  <c r="DY46" i="9" s="1"/>
  <c r="DF46" i="9" a="1"/>
  <c r="DF46" i="9" s="1"/>
  <c r="CM46" i="9" a="1"/>
  <c r="CM46" i="9" s="1"/>
  <c r="ER46" i="9" a="1"/>
  <c r="ER46" i="9" s="1"/>
  <c r="DX46" i="9" a="1"/>
  <c r="DX46" i="9" s="1"/>
  <c r="DE46" i="9" a="1"/>
  <c r="DE46" i="9" s="1"/>
  <c r="DL46" i="9" a="1"/>
  <c r="DL46" i="9" s="1"/>
  <c r="EQ46" i="9" a="1"/>
  <c r="EQ46" i="9" s="1"/>
  <c r="DD46" i="9" a="1"/>
  <c r="DD46" i="9" s="1"/>
  <c r="CI46" i="9" a="1"/>
  <c r="CI46" i="9" s="1"/>
  <c r="FA46" i="9" a="1"/>
  <c r="FA46" i="9" s="1"/>
  <c r="CQ46" i="9" a="1"/>
  <c r="CQ46" i="9" s="1"/>
  <c r="FE31" i="9" a="1"/>
  <c r="FE31" i="9" s="1"/>
  <c r="ET31" i="9" a="1"/>
  <c r="ET31" i="9" s="1"/>
  <c r="DU31" i="9" a="1"/>
  <c r="DU31" i="9" s="1"/>
  <c r="DK31" i="9" a="1"/>
  <c r="DK31" i="9" s="1"/>
  <c r="CX31" i="9" a="1"/>
  <c r="CX31" i="9" s="1"/>
  <c r="FC31" i="9" a="1"/>
  <c r="FC31" i="9" s="1"/>
  <c r="DE31" i="9" a="1"/>
  <c r="DE31" i="9" s="1"/>
  <c r="CS31" i="9" a="1"/>
  <c r="CS31" i="9" s="1"/>
  <c r="FB31" i="9" a="1"/>
  <c r="FB31" i="9" s="1"/>
  <c r="EO31" i="9" a="1"/>
  <c r="EO31" i="9" s="1"/>
  <c r="EB31" i="9" a="1"/>
  <c r="EB31" i="9" s="1"/>
  <c r="DP31" i="9" a="1"/>
  <c r="DP31" i="9" s="1"/>
  <c r="DD31" i="9" a="1"/>
  <c r="DD31" i="9" s="1"/>
  <c r="CR31" i="9" a="1"/>
  <c r="CR31" i="9" s="1"/>
  <c r="EX31" i="9" a="1"/>
  <c r="EX31" i="9" s="1"/>
  <c r="EK31" i="9" a="1"/>
  <c r="EK31" i="9" s="1"/>
  <c r="DM31" i="9" a="1"/>
  <c r="DM31" i="9" s="1"/>
  <c r="CZ31" i="9" a="1"/>
  <c r="CZ31" i="9" s="1"/>
  <c r="CN31" i="9" a="1"/>
  <c r="CN31" i="9" s="1"/>
  <c r="EZ31" i="9" a="1"/>
  <c r="EZ31" i="9" s="1"/>
  <c r="EJ31" i="9" a="1"/>
  <c r="EJ31" i="9" s="1"/>
  <c r="DG31" i="9" a="1"/>
  <c r="DG31" i="9" s="1"/>
  <c r="CP31" i="9" a="1"/>
  <c r="CP31" i="9" s="1"/>
  <c r="EH31" i="9" a="1"/>
  <c r="EH31" i="9" s="1"/>
  <c r="DR31" i="9" a="1"/>
  <c r="DR31" i="9" s="1"/>
  <c r="DC31" i="9" a="1"/>
  <c r="DC31" i="9" s="1"/>
  <c r="EW31" i="9" a="1"/>
  <c r="EW31" i="9" s="1"/>
  <c r="EG31" i="9" a="1"/>
  <c r="EG31" i="9" s="1"/>
  <c r="DB31" i="9" a="1"/>
  <c r="DB31" i="9" s="1"/>
  <c r="CM31" i="9" a="1"/>
  <c r="CM31" i="9" s="1"/>
  <c r="EV31" i="9" a="1"/>
  <c r="EV31" i="9" s="1"/>
  <c r="EF31" i="9" a="1"/>
  <c r="EF31" i="9" s="1"/>
  <c r="DQ31" i="9" a="1"/>
  <c r="DQ31" i="9" s="1"/>
  <c r="CL31" i="9" a="1"/>
  <c r="CL31" i="9" s="1"/>
  <c r="EU31" i="9" a="1"/>
  <c r="EU31" i="9" s="1"/>
  <c r="EE31" i="9" a="1"/>
  <c r="EE31" i="9" s="1"/>
  <c r="DO31" i="9" a="1"/>
  <c r="DO31" i="9" s="1"/>
  <c r="DA31" i="9" a="1"/>
  <c r="DA31" i="9" s="1"/>
  <c r="ED31" i="9" a="1"/>
  <c r="ED31" i="9" s="1"/>
  <c r="CY31" i="9" a="1"/>
  <c r="CY31" i="9" s="1"/>
  <c r="CK31" i="9" a="1"/>
  <c r="CK31" i="9" s="1"/>
  <c r="FG31" i="9" a="1"/>
  <c r="FG31" i="9" s="1"/>
  <c r="ER31" i="9" a="1"/>
  <c r="ER31" i="9" s="1"/>
  <c r="EA31" i="9" a="1"/>
  <c r="EA31" i="9" s="1"/>
  <c r="CW31" i="9" a="1"/>
  <c r="CW31" i="9" s="1"/>
  <c r="CI31" i="9" a="1"/>
  <c r="CI31" i="9" s="1"/>
  <c r="EQ31" i="9" a="1"/>
  <c r="EQ31" i="9" s="1"/>
  <c r="DS31" i="9" a="1"/>
  <c r="DS31" i="9" s="1"/>
  <c r="EN31" i="9" a="1"/>
  <c r="EN31" i="9" s="1"/>
  <c r="DL31" i="9" a="1"/>
  <c r="DL31" i="9" s="1"/>
  <c r="CO31" i="9" a="1"/>
  <c r="CO31" i="9" s="1"/>
  <c r="DW31" i="9" a="1"/>
  <c r="DW31" i="9" s="1"/>
  <c r="CT31" i="9" a="1"/>
  <c r="CT31" i="9" s="1"/>
  <c r="DV31" i="9" a="1"/>
  <c r="DV31" i="9" s="1"/>
  <c r="CQ31" i="9" a="1"/>
  <c r="CQ31" i="9" s="1"/>
  <c r="FA31" i="9" a="1"/>
  <c r="FA31" i="9" s="1"/>
  <c r="DT31" i="9" a="1"/>
  <c r="DT31" i="9" s="1"/>
  <c r="CJ31" i="9" a="1"/>
  <c r="CJ31" i="9" s="1"/>
  <c r="ES31" i="9" a="1"/>
  <c r="ES31" i="9" s="1"/>
  <c r="EP31" i="9" a="1"/>
  <c r="EP31" i="9" s="1"/>
  <c r="DJ31" i="9" a="1"/>
  <c r="DJ31" i="9" s="1"/>
  <c r="DH31" i="9" a="1"/>
  <c r="DH31" i="9" s="1"/>
  <c r="FF31" i="9" a="1"/>
  <c r="FF31" i="9" s="1"/>
  <c r="DZ31" i="9" a="1"/>
  <c r="DZ31" i="9" s="1"/>
  <c r="EM31" i="9" a="1"/>
  <c r="EM31" i="9" s="1"/>
  <c r="EL31" i="9" a="1"/>
  <c r="EL31" i="9" s="1"/>
  <c r="EI31" i="9" a="1"/>
  <c r="EI31" i="9" s="1"/>
  <c r="EC31" i="9" a="1"/>
  <c r="EC31" i="9" s="1"/>
  <c r="DY31" i="9" a="1"/>
  <c r="DY31" i="9" s="1"/>
  <c r="DX31" i="9" a="1"/>
  <c r="DX31" i="9" s="1"/>
  <c r="DN31" i="9" a="1"/>
  <c r="DN31" i="9" s="1"/>
  <c r="DI31" i="9" a="1"/>
  <c r="DI31" i="9" s="1"/>
  <c r="DF31" i="9" a="1"/>
  <c r="DF31" i="9" s="1"/>
  <c r="FD31" i="9" a="1"/>
  <c r="FD31" i="9" s="1"/>
  <c r="CU31" i="9" a="1"/>
  <c r="CU31" i="9" s="1"/>
  <c r="EY31" i="9" a="1"/>
  <c r="EY31" i="9" s="1"/>
  <c r="FC47" i="9" a="1"/>
  <c r="FC47" i="9" s="1"/>
  <c r="DV47" i="9" a="1"/>
  <c r="DV47" i="9" s="1"/>
  <c r="DK47" i="9" a="1"/>
  <c r="DK47" i="9" s="1"/>
  <c r="CO47" i="9" a="1"/>
  <c r="CO47" i="9" s="1"/>
  <c r="ER47" i="9" a="1"/>
  <c r="ER47" i="9" s="1"/>
  <c r="EF47" i="9" a="1"/>
  <c r="EF47" i="9" s="1"/>
  <c r="DU47" i="9" a="1"/>
  <c r="DU47" i="9" s="1"/>
  <c r="FA47" i="9" a="1"/>
  <c r="FA47" i="9" s="1"/>
  <c r="EE47" i="9" a="1"/>
  <c r="EE47" i="9" s="1"/>
  <c r="DS47" i="9" a="1"/>
  <c r="DS47" i="9" s="1"/>
  <c r="DI47" i="9" a="1"/>
  <c r="DI47" i="9" s="1"/>
  <c r="CY47" i="9" a="1"/>
  <c r="CY47" i="9" s="1"/>
  <c r="EP47" i="9" a="1"/>
  <c r="EP47" i="9" s="1"/>
  <c r="ED47" i="9" a="1"/>
  <c r="ED47" i="9" s="1"/>
  <c r="CX47" i="9" a="1"/>
  <c r="CX47" i="9" s="1"/>
  <c r="CL47" i="9" a="1"/>
  <c r="CL47" i="9" s="1"/>
  <c r="EY47" i="9" a="1"/>
  <c r="EY47" i="9" s="1"/>
  <c r="DQ47" i="9" a="1"/>
  <c r="DQ47" i="9" s="1"/>
  <c r="DG47" i="9" a="1"/>
  <c r="DG47" i="9" s="1"/>
  <c r="CW47" i="9" a="1"/>
  <c r="CW47" i="9" s="1"/>
  <c r="EX47" i="9" a="1"/>
  <c r="EX47" i="9" s="1"/>
  <c r="EN47" i="9" a="1"/>
  <c r="EN47" i="9" s="1"/>
  <c r="EB47" i="9" a="1"/>
  <c r="EB47" i="9" s="1"/>
  <c r="EW47" i="9" a="1"/>
  <c r="EW47" i="9" s="1"/>
  <c r="EM47" i="9" a="1"/>
  <c r="EM47" i="9" s="1"/>
  <c r="EA47" i="9" a="1"/>
  <c r="EA47" i="9" s="1"/>
  <c r="DP47" i="9" a="1"/>
  <c r="DP47" i="9" s="1"/>
  <c r="CV47" i="9" a="1"/>
  <c r="CV47" i="9" s="1"/>
  <c r="CI47" i="9" a="1"/>
  <c r="CI47" i="9" s="1"/>
  <c r="FF47" i="9" a="1"/>
  <c r="FF47" i="9" s="1"/>
  <c r="EU47" i="9" a="1"/>
  <c r="EU47" i="9" s="1"/>
  <c r="EJ47" i="9" a="1"/>
  <c r="EJ47" i="9" s="1"/>
  <c r="DN47" i="9" a="1"/>
  <c r="DN47" i="9" s="1"/>
  <c r="DD47" i="9" a="1"/>
  <c r="DD47" i="9" s="1"/>
  <c r="CS47" i="9" a="1"/>
  <c r="CS47" i="9" s="1"/>
  <c r="EZ47" i="9" a="1"/>
  <c r="EZ47" i="9" s="1"/>
  <c r="EC47" i="9" a="1"/>
  <c r="EC47" i="9" s="1"/>
  <c r="EV47" i="9" a="1"/>
  <c r="EV47" i="9" s="1"/>
  <c r="DY47" i="9" a="1"/>
  <c r="DY47" i="9" s="1"/>
  <c r="DH47" i="9" a="1"/>
  <c r="DH47" i="9" s="1"/>
  <c r="DX47" i="9" a="1"/>
  <c r="DX47" i="9" s="1"/>
  <c r="DF47" i="9" a="1"/>
  <c r="DF47" i="9" s="1"/>
  <c r="CP47" i="9" a="1"/>
  <c r="CP47" i="9" s="1"/>
  <c r="FE47" i="9" a="1"/>
  <c r="FE47" i="9" s="1"/>
  <c r="EG47" i="9" a="1"/>
  <c r="EG47" i="9" s="1"/>
  <c r="DE47" i="9" a="1"/>
  <c r="DE47" i="9" s="1"/>
  <c r="CK47" i="9" a="1"/>
  <c r="CK47" i="9" s="1"/>
  <c r="CJ47" i="9" a="1"/>
  <c r="CJ47" i="9" s="1"/>
  <c r="FD47" i="9" a="1"/>
  <c r="FD47" i="9" s="1"/>
  <c r="DZ47" i="9" a="1"/>
  <c r="DZ47" i="9" s="1"/>
  <c r="DC47" i="9" a="1"/>
  <c r="DC47" i="9" s="1"/>
  <c r="FB47" i="9" a="1"/>
  <c r="FB47" i="9" s="1"/>
  <c r="DW47" i="9" a="1"/>
  <c r="DW47" i="9" s="1"/>
  <c r="DB47" i="9" a="1"/>
  <c r="DB47" i="9" s="1"/>
  <c r="DA47" i="9" a="1"/>
  <c r="DA47" i="9" s="1"/>
  <c r="ET47" i="9" a="1"/>
  <c r="ET47" i="9" s="1"/>
  <c r="DT47" i="9" a="1"/>
  <c r="DT47" i="9" s="1"/>
  <c r="CZ47" i="9" a="1"/>
  <c r="CZ47" i="9" s="1"/>
  <c r="DR47" i="9" a="1"/>
  <c r="DR47" i="9" s="1"/>
  <c r="EQ47" i="9" a="1"/>
  <c r="EQ47" i="9" s="1"/>
  <c r="DO47" i="9" a="1"/>
  <c r="DO47" i="9" s="1"/>
  <c r="EO47" i="9" a="1"/>
  <c r="EO47" i="9" s="1"/>
  <c r="CU47" i="9" a="1"/>
  <c r="CU47" i="9" s="1"/>
  <c r="EL47" i="9" a="1"/>
  <c r="EL47" i="9" s="1"/>
  <c r="CT47" i="9" a="1"/>
  <c r="CT47" i="9" s="1"/>
  <c r="EK47" i="9" a="1"/>
  <c r="EK47" i="9" s="1"/>
  <c r="DM47" i="9" a="1"/>
  <c r="DM47" i="9" s="1"/>
  <c r="CR47" i="9" a="1"/>
  <c r="CR47" i="9" s="1"/>
  <c r="CQ47" i="9" a="1"/>
  <c r="CQ47" i="9" s="1"/>
  <c r="EI47" i="9" a="1"/>
  <c r="EI47" i="9" s="1"/>
  <c r="DL47" i="9" a="1"/>
  <c r="DL47" i="9" s="1"/>
  <c r="CN47" i="9" a="1"/>
  <c r="CN47" i="9" s="1"/>
  <c r="CM47" i="9" a="1"/>
  <c r="CM47" i="9" s="1"/>
  <c r="FG47" i="9" a="1"/>
  <c r="FG47" i="9" s="1"/>
  <c r="ES47" i="9" a="1"/>
  <c r="ES47" i="9" s="1"/>
  <c r="EH47" i="9" a="1"/>
  <c r="EH47" i="9" s="1"/>
  <c r="DJ47" i="9" a="1"/>
  <c r="DJ47" i="9" s="1"/>
  <c r="CH53" i="9"/>
  <c r="CE10" i="9"/>
  <c r="CD36" i="9"/>
  <c r="CD35" i="9"/>
  <c r="CD34" i="9"/>
  <c r="CE50" i="9"/>
  <c r="CD49" i="9"/>
  <c r="CE17" i="9"/>
  <c r="CD32" i="9"/>
  <c r="CE47" i="9"/>
  <c r="CD46" i="9"/>
  <c r="CD52" i="9"/>
  <c r="CD19" i="9"/>
  <c r="CD18" i="9"/>
  <c r="CE33" i="9"/>
  <c r="CD48" i="9"/>
  <c r="CD15" i="9"/>
  <c r="CD14" i="9"/>
  <c r="CD45" i="9"/>
  <c r="CD29" i="9"/>
  <c r="CE13" i="9"/>
  <c r="CD44" i="9"/>
  <c r="CD12" i="9"/>
  <c r="CD43" i="9"/>
  <c r="CD27" i="9"/>
  <c r="CE11" i="9"/>
  <c r="CD42" i="9"/>
  <c r="CD26" i="9"/>
  <c r="CD25" i="9"/>
  <c r="CD24" i="9"/>
  <c r="CD8" i="9"/>
  <c r="CE40" i="9"/>
  <c r="CD39" i="9"/>
  <c r="CD7" i="9"/>
  <c r="CD38" i="9"/>
  <c r="CD22" i="9"/>
  <c r="CD6" i="9"/>
  <c r="CD20" i="9"/>
  <c r="CD51" i="9"/>
  <c r="CD16" i="9"/>
  <c r="CD31" i="9"/>
  <c r="CD30" i="9"/>
  <c r="CD28" i="9"/>
  <c r="CD41" i="9"/>
  <c r="CD9" i="9"/>
  <c r="CD23" i="9"/>
  <c r="CD53" i="9"/>
  <c r="CD37" i="9"/>
  <c r="CD21" i="9"/>
  <c r="N63" i="10" l="1"/>
  <c r="T54" i="65"/>
  <c r="S54" i="65"/>
  <c r="R54" i="65"/>
  <c r="Q54" i="65"/>
  <c r="P54" i="65"/>
  <c r="O54" i="65"/>
  <c r="N54" i="65"/>
  <c r="M54" i="65"/>
  <c r="AC21" i="65" a="1"/>
  <c r="AC21" i="65" s="1"/>
  <c r="AC22" i="65" a="1"/>
  <c r="AC22" i="65" s="1"/>
  <c r="AC23" i="65" a="1"/>
  <c r="AC23" i="65" s="1"/>
  <c r="AC24" i="65" a="1"/>
  <c r="AC24" i="65" s="1"/>
  <c r="AD24" i="65" s="1" a="1"/>
  <c r="AD24" i="65" s="1"/>
  <c r="AC25" i="65" a="1"/>
  <c r="AC25" i="65" s="1"/>
  <c r="AC26" i="65" a="1"/>
  <c r="AC26" i="65" s="1"/>
  <c r="AC27" i="65" a="1"/>
  <c r="AC27" i="65" s="1"/>
  <c r="AJ23" i="65" l="1" a="1"/>
  <c r="AJ23" i="65" s="1"/>
  <c r="AH23" i="65" a="1"/>
  <c r="AH23" i="65" s="1"/>
  <c r="AI23" i="65" a="1"/>
  <c r="AI23" i="65" s="1"/>
  <c r="AS23" i="65" a="1"/>
  <c r="AS23" i="65" s="1"/>
  <c r="AV23" i="65"/>
  <c r="AW23" i="65"/>
  <c r="AX23" i="65"/>
  <c r="AE23" i="65" a="1"/>
  <c r="AE23" i="65" s="1"/>
  <c r="AF23" i="65" a="1"/>
  <c r="AF23" i="65" s="1"/>
  <c r="AO22" i="65" a="1"/>
  <c r="AO22" i="65" s="1"/>
  <c r="AM22" i="65" a="1"/>
  <c r="AM22" i="65" s="1"/>
  <c r="AV22" i="65"/>
  <c r="AX22" i="65"/>
  <c r="AF22" i="65" a="1"/>
  <c r="AF22" i="65" s="1"/>
  <c r="AK22" i="65" a="1"/>
  <c r="AK22" i="65" s="1"/>
  <c r="AG22" i="65" a="1"/>
  <c r="AG22" i="65" s="1"/>
  <c r="AI22" i="65" a="1"/>
  <c r="AI22" i="65" s="1"/>
  <c r="AN24" i="65" a="1"/>
  <c r="AN24" i="65" s="1"/>
  <c r="AF24" i="65" a="1"/>
  <c r="AF24" i="65" s="1"/>
  <c r="AP24" i="65" a="1"/>
  <c r="AP24" i="65" s="1"/>
  <c r="AO24" i="65" a="1"/>
  <c r="AO24" i="65" s="1"/>
  <c r="AK21" i="65" a="1"/>
  <c r="AK21" i="65" s="1"/>
  <c r="AD21" i="65" a="1"/>
  <c r="AD21" i="65" s="1"/>
  <c r="AE21" i="65" a="1"/>
  <c r="AE21" i="65" s="1"/>
  <c r="AT21" i="65" s="1"/>
  <c r="AG21" i="65" a="1"/>
  <c r="AG21" i="65" s="1"/>
  <c r="AR21" i="65" a="1"/>
  <c r="AR21" i="65" s="1"/>
  <c r="AL21" i="65" a="1"/>
  <c r="AL21" i="65" s="1"/>
  <c r="AH21" i="65" a="1"/>
  <c r="AH21" i="65" s="1"/>
  <c r="AI21" i="65" a="1"/>
  <c r="AI21" i="65" s="1"/>
  <c r="AJ21" i="65" a="1"/>
  <c r="AJ21" i="65" s="1"/>
  <c r="AM21" i="65" a="1"/>
  <c r="AM21" i="65" s="1"/>
  <c r="AP21" i="65" a="1"/>
  <c r="AP21" i="65" s="1"/>
  <c r="AO21" i="65" a="1"/>
  <c r="AO21" i="65" s="1"/>
  <c r="AQ21" i="65" a="1"/>
  <c r="AQ21" i="65" s="1"/>
  <c r="AQ23" i="65" a="1"/>
  <c r="AQ23" i="65" s="1"/>
  <c r="AP23" i="65" a="1"/>
  <c r="AP23" i="65" s="1"/>
  <c r="AW22" i="65"/>
  <c r="AE22" i="65" a="1"/>
  <c r="AE22" i="65" s="1"/>
  <c r="AN23" i="65" a="1"/>
  <c r="AN23" i="65" s="1"/>
  <c r="AU22" i="65"/>
  <c r="AR23" i="65" a="1"/>
  <c r="AR23" i="65" s="1"/>
  <c r="AM23" i="65" a="1"/>
  <c r="AM23" i="65" s="1"/>
  <c r="AQ22" i="65" a="1"/>
  <c r="AQ22" i="65" s="1"/>
  <c r="AS22" i="65" a="1"/>
  <c r="AS22" i="65" s="1"/>
  <c r="AK23" i="65" a="1"/>
  <c r="AK23" i="65" s="1"/>
  <c r="AF27" i="65" a="1"/>
  <c r="AF27" i="65" s="1"/>
  <c r="AN27" i="65" a="1"/>
  <c r="AN27" i="65" s="1"/>
  <c r="AX27" i="65"/>
  <c r="AM27" i="65" a="1"/>
  <c r="AM27" i="65" s="1"/>
  <c r="AW27" i="65"/>
  <c r="AE27" i="65" a="1"/>
  <c r="AE27" i="65" s="1"/>
  <c r="AQ27" i="65" a="1"/>
  <c r="AQ27" i="65" s="1"/>
  <c r="AD27" i="65" a="1"/>
  <c r="AD27" i="65" s="1"/>
  <c r="AO27" i="65" a="1"/>
  <c r="AO27" i="65" s="1"/>
  <c r="AG27" i="65" a="1"/>
  <c r="AG27" i="65" s="1"/>
  <c r="AP27" i="65" a="1"/>
  <c r="AP27" i="65" s="1"/>
  <c r="AK27" i="65" a="1"/>
  <c r="AK27" i="65" s="1"/>
  <c r="AL27" i="65" a="1"/>
  <c r="AL27" i="65" s="1"/>
  <c r="AV27" i="65"/>
  <c r="AI27" i="65" a="1"/>
  <c r="AI27" i="65" s="1"/>
  <c r="AJ27" i="65" a="1"/>
  <c r="AJ27" i="65" s="1"/>
  <c r="AH27" i="65" a="1"/>
  <c r="AH27" i="65" s="1"/>
  <c r="AU27" i="65"/>
  <c r="AS27" i="65" a="1"/>
  <c r="AS27" i="65" s="1"/>
  <c r="AR27" i="65" a="1"/>
  <c r="AR27" i="65" s="1"/>
  <c r="AT27" i="65"/>
  <c r="AG26" i="65" a="1"/>
  <c r="AG26" i="65" s="1"/>
  <c r="AP26" i="65" a="1"/>
  <c r="AP26" i="65" s="1"/>
  <c r="AH26" i="65" a="1"/>
  <c r="AH26" i="65" s="1"/>
  <c r="AK26" i="65" a="1"/>
  <c r="AK26" i="65" s="1"/>
  <c r="AD26" i="65" a="1"/>
  <c r="AD26" i="65" s="1"/>
  <c r="AW26" i="65"/>
  <c r="AO26" i="65" a="1"/>
  <c r="AO26" i="65" s="1"/>
  <c r="AQ26" i="65" a="1"/>
  <c r="AQ26" i="65" s="1"/>
  <c r="AI26" i="65" a="1"/>
  <c r="AI26" i="65" s="1"/>
  <c r="AR26" i="65" a="1"/>
  <c r="AR26" i="65" s="1"/>
  <c r="AS26" i="65" a="1"/>
  <c r="AS26" i="65" s="1"/>
  <c r="AE26" i="65" a="1"/>
  <c r="AE26" i="65" s="1"/>
  <c r="AT26" i="65"/>
  <c r="AJ26" i="65" a="1"/>
  <c r="AJ26" i="65" s="1"/>
  <c r="AV26" i="65"/>
  <c r="AF26" i="65" a="1"/>
  <c r="AF26" i="65" s="1"/>
  <c r="AM26" i="65" a="1"/>
  <c r="AM26" i="65" s="1"/>
  <c r="AX26" i="65"/>
  <c r="AN26" i="65" a="1"/>
  <c r="AN26" i="65" s="1"/>
  <c r="AL26" i="65" a="1"/>
  <c r="AL26" i="65" s="1"/>
  <c r="AU26" i="65"/>
  <c r="AE25" i="65" a="1"/>
  <c r="AE25" i="65" s="1"/>
  <c r="AM25" i="65" a="1"/>
  <c r="AM25" i="65" s="1"/>
  <c r="AV25" i="65"/>
  <c r="AH25" i="65" a="1"/>
  <c r="AH25" i="65" s="1"/>
  <c r="AP25" i="65" a="1"/>
  <c r="AP25" i="65" s="1"/>
  <c r="AR25" i="65" a="1"/>
  <c r="AR25" i="65" s="1"/>
  <c r="AI25" i="65" a="1"/>
  <c r="AI25" i="65" s="1"/>
  <c r="AW25" i="65"/>
  <c r="AD25" i="65" a="1"/>
  <c r="AD25" i="65" s="1"/>
  <c r="AG25" i="65" a="1"/>
  <c r="AG25" i="65" s="1"/>
  <c r="AQ25" i="65" a="1"/>
  <c r="AQ25" i="65" s="1"/>
  <c r="AS25" i="65" a="1"/>
  <c r="AS25" i="65" s="1"/>
  <c r="AJ25" i="65" a="1"/>
  <c r="AJ25" i="65" s="1"/>
  <c r="AT25" i="65"/>
  <c r="AK25" i="65" a="1"/>
  <c r="AK25" i="65" s="1"/>
  <c r="AL25" i="65" a="1"/>
  <c r="AL25" i="65" s="1"/>
  <c r="AX25" i="65"/>
  <c r="AU25" i="65"/>
  <c r="AN25" i="65" a="1"/>
  <c r="AN25" i="65" s="1"/>
  <c r="AO25" i="65" a="1"/>
  <c r="AO25" i="65" s="1"/>
  <c r="AF25" i="65" a="1"/>
  <c r="AF25" i="65" s="1"/>
  <c r="AE24" i="65" a="1"/>
  <c r="AE24" i="65" s="1"/>
  <c r="AM24" i="65" a="1"/>
  <c r="AM24" i="65" s="1"/>
  <c r="AI24" i="65" a="1"/>
  <c r="AI24" i="65" s="1"/>
  <c r="AQ24" i="65" a="1"/>
  <c r="AQ24" i="65" s="1"/>
  <c r="AU24" i="65"/>
  <c r="AX24" i="65"/>
  <c r="AL24" i="65" a="1"/>
  <c r="AL24" i="65" s="1"/>
  <c r="AV24" i="65"/>
  <c r="AJ24" i="65" a="1"/>
  <c r="AJ24" i="65" s="1"/>
  <c r="AD22" i="65" a="1"/>
  <c r="AD22" i="65" s="1"/>
  <c r="AL22" i="65" a="1"/>
  <c r="AL22" i="65" s="1"/>
  <c r="AT22" i="65"/>
  <c r="AH22" i="65" a="1"/>
  <c r="AH22" i="65" s="1"/>
  <c r="AP22" i="65" a="1"/>
  <c r="AP22" i="65" s="1"/>
  <c r="AJ22" i="65" a="1"/>
  <c r="AJ22" i="65" s="1"/>
  <c r="AR22" i="65" a="1"/>
  <c r="AR22" i="65" s="1"/>
  <c r="AT24" i="65"/>
  <c r="AN22" i="65" a="1"/>
  <c r="AN22" i="65" s="1"/>
  <c r="AS24" i="65" a="1"/>
  <c r="AS24" i="65" s="1"/>
  <c r="AH24" i="65" a="1"/>
  <c r="AH24" i="65" s="1"/>
  <c r="AW24" i="65"/>
  <c r="AK24" i="65" a="1"/>
  <c r="AK24" i="65" s="1"/>
  <c r="AR24" i="65" a="1"/>
  <c r="AR24" i="65" s="1"/>
  <c r="AG24" i="65" a="1"/>
  <c r="AG24" i="65" s="1"/>
  <c r="AD23" i="65" a="1"/>
  <c r="AD23" i="65" s="1"/>
  <c r="AL23" i="65" a="1"/>
  <c r="AL23" i="65" s="1"/>
  <c r="AT23" i="65"/>
  <c r="AU23" i="65"/>
  <c r="AG23" i="65" a="1"/>
  <c r="AG23" i="65" s="1"/>
  <c r="AO23" i="65" a="1"/>
  <c r="AO23" i="65" s="1"/>
  <c r="AN21" i="65" a="1"/>
  <c r="AN21" i="65" s="1"/>
  <c r="AF21" i="65" a="1"/>
  <c r="AF21" i="65" s="1"/>
  <c r="AW21" i="65" s="1"/>
  <c r="AS21" i="65" a="1"/>
  <c r="AS21" i="65" s="1"/>
  <c r="AU21" i="65" l="1"/>
  <c r="AV21" i="65"/>
  <c r="AX21" i="65" s="1"/>
  <c r="AD35" i="12"/>
  <c r="D25" i="18" l="1"/>
  <c r="C77" i="23" l="1"/>
  <c r="P86" i="69" l="1"/>
  <c r="O86" i="69"/>
  <c r="N86" i="69"/>
  <c r="M86" i="69"/>
  <c r="L86" i="69"/>
  <c r="K86" i="69"/>
  <c r="J86" i="69"/>
  <c r="I86" i="69"/>
  <c r="H86" i="69"/>
  <c r="G86" i="69"/>
  <c r="F86" i="69"/>
  <c r="E86" i="69"/>
  <c r="D86" i="69"/>
  <c r="C86" i="69"/>
  <c r="P43" i="69"/>
  <c r="O43" i="69"/>
  <c r="N43" i="69"/>
  <c r="M43" i="69"/>
  <c r="L43" i="69"/>
  <c r="K43" i="69"/>
  <c r="J43" i="69"/>
  <c r="I43" i="69"/>
  <c r="H43" i="69"/>
  <c r="G43" i="69"/>
  <c r="F43" i="69"/>
  <c r="E43" i="69"/>
  <c r="D43" i="69"/>
  <c r="C43" i="69"/>
  <c r="P1" i="69"/>
  <c r="AI54" i="28"/>
  <c r="AC54" i="28"/>
  <c r="AB54" i="28"/>
  <c r="AA54" i="28"/>
  <c r="C87" i="69" l="1"/>
  <c r="Q86" i="69"/>
  <c r="C44" i="69"/>
  <c r="Q43" i="69"/>
  <c r="T9" i="69" s="1"/>
  <c r="V9" i="69" s="1"/>
  <c r="M83" i="18" l="1"/>
  <c r="O82" i="18"/>
  <c r="O83" i="18" s="1"/>
  <c r="V10" i="69" s="1"/>
  <c r="L154" i="23"/>
  <c r="G154" i="23"/>
  <c r="B154" i="23"/>
  <c r="L130" i="23"/>
  <c r="G130" i="23"/>
  <c r="B130" i="23"/>
  <c r="L106" i="23"/>
  <c r="G106" i="23"/>
  <c r="Q46" i="23"/>
  <c r="Q45" i="23"/>
  <c r="Q44" i="23"/>
  <c r="Q43" i="23"/>
  <c r="Q42" i="23"/>
  <c r="Q41" i="23"/>
  <c r="Q40" i="23"/>
  <c r="AX54" i="28" l="1"/>
  <c r="M176" i="23" l="1"/>
  <c r="O175" i="23"/>
  <c r="O174" i="23"/>
  <c r="O173" i="23"/>
  <c r="O172" i="23"/>
  <c r="O171" i="23"/>
  <c r="O170" i="23"/>
  <c r="O169" i="23"/>
  <c r="O168" i="23"/>
  <c r="O166" i="23"/>
  <c r="O165" i="23"/>
  <c r="O164" i="23"/>
  <c r="O163" i="23"/>
  <c r="O162" i="23"/>
  <c r="O161" i="23"/>
  <c r="O160" i="23"/>
  <c r="O159" i="23"/>
  <c r="O158" i="23"/>
  <c r="O157" i="23"/>
  <c r="O156" i="23"/>
  <c r="H176" i="23"/>
  <c r="U47" i="23" s="1"/>
  <c r="J175" i="23"/>
  <c r="J174" i="23"/>
  <c r="J173" i="23"/>
  <c r="J172" i="23"/>
  <c r="J171" i="23"/>
  <c r="J170" i="23"/>
  <c r="J169" i="23"/>
  <c r="J168" i="23"/>
  <c r="J166" i="23"/>
  <c r="J165" i="23"/>
  <c r="J164" i="23"/>
  <c r="J163" i="23"/>
  <c r="J162" i="23"/>
  <c r="J161" i="23"/>
  <c r="J160" i="23"/>
  <c r="J159" i="23"/>
  <c r="J158" i="23"/>
  <c r="J157" i="23"/>
  <c r="J156" i="23"/>
  <c r="M77" i="23"/>
  <c r="O76" i="23"/>
  <c r="O75" i="23"/>
  <c r="O74" i="23"/>
  <c r="O73" i="23"/>
  <c r="O72" i="23"/>
  <c r="O71" i="23"/>
  <c r="O70" i="23"/>
  <c r="O69" i="23"/>
  <c r="O68" i="23"/>
  <c r="O67" i="23"/>
  <c r="O65" i="23"/>
  <c r="O64" i="23"/>
  <c r="O63" i="23"/>
  <c r="O62" i="23"/>
  <c r="O61" i="23"/>
  <c r="O60" i="23"/>
  <c r="O59" i="23"/>
  <c r="O58" i="23"/>
  <c r="O57" i="23"/>
  <c r="U48" i="23" l="1"/>
  <c r="S48" i="23"/>
  <c r="O176" i="23"/>
  <c r="O77" i="23"/>
  <c r="J176" i="23"/>
  <c r="V48" i="23" l="1"/>
  <c r="X48" i="23" s="1"/>
  <c r="BM54" i="9"/>
  <c r="BL54" i="9"/>
  <c r="BK54" i="9"/>
  <c r="BE54" i="9"/>
  <c r="BD54" i="9"/>
  <c r="BC54" i="9"/>
  <c r="BB54" i="9"/>
  <c r="BA54" i="9"/>
  <c r="AZ54" i="9"/>
  <c r="AY54" i="9"/>
  <c r="AX54" i="9"/>
  <c r="AW54" i="9"/>
  <c r="AV54" i="9"/>
  <c r="AU54" i="9"/>
  <c r="B66" i="18" l="1"/>
  <c r="C43" i="33"/>
  <c r="D43" i="33"/>
  <c r="E43" i="33"/>
  <c r="F43" i="33"/>
  <c r="G43" i="33"/>
  <c r="H43" i="33"/>
  <c r="I43" i="33"/>
  <c r="J43" i="33"/>
  <c r="K43" i="33"/>
  <c r="L43" i="33"/>
  <c r="M43" i="33"/>
  <c r="O43" i="33"/>
  <c r="P43" i="33"/>
  <c r="Q43" i="33"/>
  <c r="C44" i="33" l="1"/>
  <c r="L61" i="18"/>
  <c r="E54" i="12" l="1"/>
  <c r="F54" i="12"/>
  <c r="G54" i="12"/>
  <c r="H54" i="12"/>
  <c r="I54" i="12"/>
  <c r="J54" i="12"/>
  <c r="K54" i="12"/>
  <c r="L54" i="12"/>
  <c r="M54" i="12"/>
  <c r="N54" i="12"/>
  <c r="O54" i="12"/>
  <c r="P54" i="12"/>
  <c r="Q54" i="12"/>
  <c r="S54" i="12"/>
  <c r="T54" i="12"/>
  <c r="U54" i="12"/>
  <c r="V54" i="12"/>
  <c r="W54" i="12"/>
  <c r="X54" i="12"/>
  <c r="Y6" i="12"/>
  <c r="Y7" i="12"/>
  <c r="Z7" i="12" s="1"/>
  <c r="Y8" i="12"/>
  <c r="Z8" i="12" s="1"/>
  <c r="Y9" i="12"/>
  <c r="AA9" i="12" s="1"/>
  <c r="Y10" i="12"/>
  <c r="AA10" i="12" s="1"/>
  <c r="Y11" i="12"/>
  <c r="Z11" i="12" s="1"/>
  <c r="Y12" i="12"/>
  <c r="Z12" i="12" s="1"/>
  <c r="Y13" i="12"/>
  <c r="AA13" i="12" s="1"/>
  <c r="Y14" i="12"/>
  <c r="Z14" i="12" s="1"/>
  <c r="Y15" i="12"/>
  <c r="Z15" i="12" s="1"/>
  <c r="Y16" i="12"/>
  <c r="AA16" i="12" s="1"/>
  <c r="Y17" i="12"/>
  <c r="Z17" i="12" s="1"/>
  <c r="Y18" i="12"/>
  <c r="Z18" i="12" s="1"/>
  <c r="Y19" i="12"/>
  <c r="AA19" i="12" s="1"/>
  <c r="Y20" i="12"/>
  <c r="Y21" i="12"/>
  <c r="Y22" i="12"/>
  <c r="Y23" i="12"/>
  <c r="Y24" i="12"/>
  <c r="Y25" i="12"/>
  <c r="Y26" i="12"/>
  <c r="Y27" i="12"/>
  <c r="Y28" i="12"/>
  <c r="Y29" i="12"/>
  <c r="Y30" i="12"/>
  <c r="Z31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AA24" i="12" l="1"/>
  <c r="I24" i="16"/>
  <c r="Z29" i="12"/>
  <c r="I29" i="16"/>
  <c r="AA26" i="12"/>
  <c r="I26" i="16"/>
  <c r="AA23" i="12"/>
  <c r="I23" i="16"/>
  <c r="AA20" i="12"/>
  <c r="I20" i="16"/>
  <c r="Z27" i="12"/>
  <c r="I27" i="16"/>
  <c r="Z25" i="12"/>
  <c r="I25" i="16"/>
  <c r="Z22" i="12"/>
  <c r="I22" i="16"/>
  <c r="Z30" i="12"/>
  <c r="I30" i="16"/>
  <c r="AA28" i="12"/>
  <c r="I28" i="16"/>
  <c r="Z21" i="12"/>
  <c r="I21" i="16"/>
  <c r="I33" i="16"/>
  <c r="Z41" i="12"/>
  <c r="I41" i="16"/>
  <c r="AA49" i="12"/>
  <c r="I49" i="16"/>
  <c r="Z48" i="12"/>
  <c r="I48" i="16"/>
  <c r="AA44" i="12"/>
  <c r="I44" i="16"/>
  <c r="Z43" i="12"/>
  <c r="I43" i="16"/>
  <c r="Z42" i="12"/>
  <c r="I42" i="16"/>
  <c r="AA53" i="12"/>
  <c r="I53" i="16"/>
  <c r="I37" i="16"/>
  <c r="I32" i="16"/>
  <c r="I36" i="16"/>
  <c r="Z40" i="12"/>
  <c r="I40" i="16"/>
  <c r="I39" i="16"/>
  <c r="Z52" i="12"/>
  <c r="I52" i="16"/>
  <c r="Z51" i="12"/>
  <c r="I51" i="16"/>
  <c r="I35" i="16"/>
  <c r="Z47" i="12"/>
  <c r="I47" i="16"/>
  <c r="Z46" i="12"/>
  <c r="I46" i="16"/>
  <c r="Z45" i="12"/>
  <c r="I45" i="16"/>
  <c r="I38" i="16"/>
  <c r="Z50" i="12"/>
  <c r="I50" i="16"/>
  <c r="I34" i="16"/>
  <c r="AA12" i="12"/>
  <c r="AA6" i="12"/>
  <c r="AC28" i="12"/>
  <c r="AC29" i="12"/>
  <c r="AC31" i="12"/>
  <c r="AC30" i="12"/>
  <c r="AC27" i="12"/>
  <c r="Z28" i="12"/>
  <c r="AA40" i="12"/>
  <c r="AA51" i="12"/>
  <c r="AA22" i="12"/>
  <c r="Z19" i="12"/>
  <c r="Z53" i="12"/>
  <c r="AA46" i="12"/>
  <c r="Z44" i="12"/>
  <c r="AA42" i="12"/>
  <c r="AA25" i="12"/>
  <c r="Z16" i="12"/>
  <c r="Z20" i="12"/>
  <c r="Z9" i="12"/>
  <c r="AA47" i="12"/>
  <c r="Z6" i="12"/>
  <c r="Z26" i="12"/>
  <c r="AA17" i="12"/>
  <c r="Z24" i="12"/>
  <c r="Z10" i="12"/>
  <c r="AA41" i="12"/>
  <c r="Z13" i="12"/>
  <c r="Z49" i="12"/>
  <c r="Z23" i="12"/>
  <c r="AA15" i="12"/>
  <c r="AA8" i="12"/>
  <c r="AA27" i="12"/>
  <c r="AA21" i="12"/>
  <c r="AA14" i="12"/>
  <c r="AA7" i="12"/>
  <c r="AA52" i="12"/>
  <c r="AA45" i="12"/>
  <c r="AA43" i="12"/>
  <c r="AA31" i="12"/>
  <c r="AA48" i="12"/>
  <c r="AA30" i="12"/>
  <c r="Y54" i="12"/>
  <c r="AA29" i="12"/>
  <c r="AA18" i="12"/>
  <c r="AA50" i="12"/>
  <c r="AA11" i="12"/>
  <c r="AD31" i="12" l="1"/>
  <c r="AU31" i="12"/>
  <c r="AV31" i="12"/>
  <c r="AX31" i="12"/>
  <c r="AW31" i="12"/>
  <c r="AZ31" i="12"/>
  <c r="AE31" i="12"/>
  <c r="AG31" i="12"/>
  <c r="AH31" i="12"/>
  <c r="AF31" i="12"/>
  <c r="AJ31" i="12"/>
  <c r="BA31" i="12"/>
  <c r="AK31" i="12"/>
  <c r="BB31" i="12"/>
  <c r="AO31" i="12"/>
  <c r="AQ31" i="12"/>
  <c r="AI31" i="12"/>
  <c r="AN31" i="12"/>
  <c r="AY31" i="12"/>
  <c r="AS31" i="12"/>
  <c r="AL31" i="12"/>
  <c r="BC31" i="12"/>
  <c r="AR31" i="12"/>
  <c r="AM31" i="12"/>
  <c r="AT31" i="12"/>
  <c r="AP31" i="12"/>
  <c r="AM27" i="12"/>
  <c r="AL27" i="12"/>
  <c r="AG27" i="12"/>
  <c r="AI27" i="12"/>
  <c r="AU27" i="12"/>
  <c r="AW27" i="12"/>
  <c r="AK27" i="12"/>
  <c r="AX27" i="12"/>
  <c r="AQ27" i="12"/>
  <c r="AE27" i="12"/>
  <c r="AD27" i="12"/>
  <c r="AT27" i="12"/>
  <c r="AJ27" i="12"/>
  <c r="AH27" i="12"/>
  <c r="AR27" i="12"/>
  <c r="AN27" i="12"/>
  <c r="AV27" i="12"/>
  <c r="AP27" i="12"/>
  <c r="AS27" i="12"/>
  <c r="AO27" i="12"/>
  <c r="AF27" i="12"/>
  <c r="AD29" i="12"/>
  <c r="AS29" i="12"/>
  <c r="AI29" i="12"/>
  <c r="AW29" i="12"/>
  <c r="AK29" i="12"/>
  <c r="AX29" i="12"/>
  <c r="AG29" i="12"/>
  <c r="AL29" i="12"/>
  <c r="AM29" i="12"/>
  <c r="AO29" i="12"/>
  <c r="AP29" i="12"/>
  <c r="AJ29" i="12"/>
  <c r="AN29" i="12"/>
  <c r="AQ29" i="12"/>
  <c r="AR29" i="12"/>
  <c r="AH29" i="12"/>
  <c r="AU29" i="12"/>
  <c r="AE29" i="12"/>
  <c r="AT29" i="12"/>
  <c r="AF29" i="12"/>
  <c r="AV29" i="12"/>
  <c r="AR28" i="12"/>
  <c r="AD28" i="12"/>
  <c r="AF28" i="12"/>
  <c r="AI28" i="12"/>
  <c r="AE28" i="12"/>
  <c r="AL28" i="12"/>
  <c r="AT28" i="12"/>
  <c r="AV28" i="12"/>
  <c r="AU28" i="12"/>
  <c r="AH28" i="12"/>
  <c r="AJ28" i="12"/>
  <c r="AK28" i="12"/>
  <c r="AW28" i="12"/>
  <c r="AX28" i="12"/>
  <c r="AG28" i="12"/>
  <c r="AS28" i="12"/>
  <c r="AO28" i="12"/>
  <c r="AP28" i="12"/>
  <c r="AM28" i="12"/>
  <c r="AQ28" i="12"/>
  <c r="AN28" i="12"/>
  <c r="AO30" i="12"/>
  <c r="AE30" i="12"/>
  <c r="AV30" i="12"/>
  <c r="AG30" i="12"/>
  <c r="AZ30" i="12"/>
  <c r="AL30" i="12"/>
  <c r="AF30" i="12"/>
  <c r="AT30" i="12"/>
  <c r="AJ30" i="12"/>
  <c r="AD30" i="12"/>
  <c r="AY30" i="12"/>
  <c r="BC30" i="12"/>
  <c r="AW30" i="12"/>
  <c r="AI30" i="12"/>
  <c r="AR30" i="12"/>
  <c r="BB30" i="12"/>
  <c r="BA30" i="12"/>
  <c r="AM30" i="12"/>
  <c r="AQ30" i="12"/>
  <c r="AP30" i="12"/>
  <c r="AK30" i="12"/>
  <c r="AU30" i="12"/>
  <c r="AS30" i="12"/>
  <c r="AX30" i="12"/>
  <c r="AN30" i="12"/>
  <c r="AH30" i="12"/>
  <c r="Z54" i="12"/>
  <c r="AA54" i="12"/>
  <c r="AY29" i="12" l="1"/>
  <c r="BA29" i="12"/>
  <c r="BC29" i="12" s="1"/>
  <c r="AZ29" i="12"/>
  <c r="BB29" i="12"/>
  <c r="BB28" i="12"/>
  <c r="BB27" i="12"/>
  <c r="AY28" i="12"/>
  <c r="AY27" i="12"/>
  <c r="X54" i="65"/>
  <c r="W54" i="65"/>
  <c r="V54" i="65"/>
  <c r="U54" i="65"/>
  <c r="L54" i="65"/>
  <c r="K54" i="65"/>
  <c r="J54" i="65"/>
  <c r="I54" i="65"/>
  <c r="H54" i="65"/>
  <c r="G54" i="65"/>
  <c r="F54" i="65"/>
  <c r="E54" i="65"/>
  <c r="Y53" i="65"/>
  <c r="F53" i="16" s="1"/>
  <c r="D53" i="65"/>
  <c r="C53" i="65"/>
  <c r="Y52" i="65"/>
  <c r="F52" i="16" s="1"/>
  <c r="D52" i="65"/>
  <c r="C52" i="65"/>
  <c r="Y51" i="65"/>
  <c r="F51" i="16" s="1"/>
  <c r="D51" i="65"/>
  <c r="C51" i="65"/>
  <c r="Y50" i="65"/>
  <c r="F50" i="16" s="1"/>
  <c r="D50" i="65"/>
  <c r="C50" i="65"/>
  <c r="Y49" i="65"/>
  <c r="F49" i="16" s="1"/>
  <c r="D49" i="65"/>
  <c r="C49" i="65"/>
  <c r="Y48" i="65"/>
  <c r="F48" i="16" s="1"/>
  <c r="D48" i="65"/>
  <c r="C48" i="65"/>
  <c r="AC17" i="65" s="1" a="1"/>
  <c r="AC17" i="65" s="1"/>
  <c r="Y47" i="65"/>
  <c r="F47" i="16" s="1"/>
  <c r="D47" i="65"/>
  <c r="C47" i="65"/>
  <c r="Y46" i="65"/>
  <c r="F46" i="16" s="1"/>
  <c r="D46" i="65"/>
  <c r="C46" i="65"/>
  <c r="Y45" i="65"/>
  <c r="F45" i="16" s="1"/>
  <c r="D45" i="65"/>
  <c r="C45" i="65"/>
  <c r="Y44" i="65"/>
  <c r="F44" i="16" s="1"/>
  <c r="D44" i="65"/>
  <c r="C44" i="65"/>
  <c r="Y43" i="65"/>
  <c r="F43" i="16" s="1"/>
  <c r="D43" i="65"/>
  <c r="C43" i="65"/>
  <c r="Y42" i="65"/>
  <c r="F42" i="16" s="1"/>
  <c r="D42" i="65"/>
  <c r="C42" i="65"/>
  <c r="Y41" i="65"/>
  <c r="F41" i="16" s="1"/>
  <c r="D41" i="65"/>
  <c r="C41" i="65"/>
  <c r="Y40" i="65"/>
  <c r="F40" i="16" s="1"/>
  <c r="D40" i="65"/>
  <c r="C40" i="65"/>
  <c r="Y39" i="65"/>
  <c r="F39" i="16" s="1"/>
  <c r="D39" i="65"/>
  <c r="C39" i="65"/>
  <c r="Y38" i="65"/>
  <c r="F38" i="16" s="1"/>
  <c r="D38" i="65"/>
  <c r="C38" i="65"/>
  <c r="Y37" i="65"/>
  <c r="F37" i="16" s="1"/>
  <c r="D37" i="65"/>
  <c r="C37" i="65"/>
  <c r="Y36" i="65"/>
  <c r="F36" i="16" s="1"/>
  <c r="D36" i="65"/>
  <c r="C36" i="65"/>
  <c r="AC16" i="65" s="1" a="1"/>
  <c r="AC16" i="65" s="1"/>
  <c r="Y35" i="65"/>
  <c r="F35" i="16" s="1"/>
  <c r="D35" i="65"/>
  <c r="C35" i="65"/>
  <c r="AC15" i="65" s="1" a="1"/>
  <c r="AC15" i="65" s="1"/>
  <c r="Y34" i="65"/>
  <c r="F34" i="16" s="1"/>
  <c r="D34" i="65"/>
  <c r="C34" i="65"/>
  <c r="Y33" i="65"/>
  <c r="F33" i="16" s="1"/>
  <c r="D33" i="65"/>
  <c r="C33" i="65"/>
  <c r="Y32" i="65"/>
  <c r="F32" i="16" s="1"/>
  <c r="D32" i="65"/>
  <c r="C32" i="65"/>
  <c r="AC12" i="65" s="1" a="1"/>
  <c r="AC12" i="65" s="1"/>
  <c r="Y31" i="65"/>
  <c r="F31" i="16" s="1"/>
  <c r="D31" i="65"/>
  <c r="C31" i="65"/>
  <c r="Y30" i="65"/>
  <c r="F30" i="16" s="1"/>
  <c r="D30" i="65"/>
  <c r="C30" i="65"/>
  <c r="Y29" i="65"/>
  <c r="F29" i="16" s="1"/>
  <c r="D29" i="65"/>
  <c r="C29" i="65"/>
  <c r="AC10" i="65" s="1" a="1"/>
  <c r="AC10" i="65" s="1"/>
  <c r="Y28" i="65"/>
  <c r="F28" i="16" s="1"/>
  <c r="D28" i="65"/>
  <c r="C28" i="65"/>
  <c r="Y27" i="65"/>
  <c r="F27" i="16" s="1"/>
  <c r="D27" i="65"/>
  <c r="C27" i="65"/>
  <c r="Y26" i="65"/>
  <c r="F26" i="16" s="1"/>
  <c r="D26" i="65"/>
  <c r="C26" i="65"/>
  <c r="Y25" i="65"/>
  <c r="F25" i="16" s="1"/>
  <c r="D25" i="65"/>
  <c r="C25" i="65"/>
  <c r="Y24" i="65"/>
  <c r="F24" i="16" s="1"/>
  <c r="D24" i="65"/>
  <c r="C24" i="65"/>
  <c r="Y23" i="65"/>
  <c r="F23" i="16" s="1"/>
  <c r="D23" i="65"/>
  <c r="C23" i="65"/>
  <c r="Y22" i="65"/>
  <c r="F22" i="16" s="1"/>
  <c r="D22" i="65"/>
  <c r="C22" i="65"/>
  <c r="Y21" i="65"/>
  <c r="F21" i="16" s="1"/>
  <c r="D21" i="65"/>
  <c r="C21" i="65"/>
  <c r="Y20" i="65"/>
  <c r="F20" i="16" s="1"/>
  <c r="D20" i="65"/>
  <c r="C20" i="65"/>
  <c r="Y19" i="65"/>
  <c r="F19" i="16" s="1"/>
  <c r="D19" i="65"/>
  <c r="C19" i="65"/>
  <c r="Y18" i="65"/>
  <c r="F18" i="16" s="1"/>
  <c r="D18" i="65"/>
  <c r="C18" i="65"/>
  <c r="Y17" i="65"/>
  <c r="F17" i="16" s="1"/>
  <c r="D17" i="65"/>
  <c r="C17" i="65"/>
  <c r="Y16" i="65"/>
  <c r="F16" i="16" s="1"/>
  <c r="D16" i="65"/>
  <c r="C16" i="65"/>
  <c r="AC8" i="65" s="1" a="1"/>
  <c r="AC8" i="65" s="1"/>
  <c r="Y15" i="65"/>
  <c r="F15" i="16" s="1"/>
  <c r="D15" i="65"/>
  <c r="C15" i="65"/>
  <c r="Y14" i="65"/>
  <c r="F14" i="16" s="1"/>
  <c r="D14" i="65"/>
  <c r="C14" i="65"/>
  <c r="Y13" i="65"/>
  <c r="F13" i="16" s="1"/>
  <c r="D13" i="65"/>
  <c r="C13" i="65"/>
  <c r="Y12" i="65"/>
  <c r="F12" i="16" s="1"/>
  <c r="D12" i="65"/>
  <c r="C12" i="65"/>
  <c r="Y11" i="65"/>
  <c r="F11" i="16" s="1"/>
  <c r="D11" i="65"/>
  <c r="C11" i="65"/>
  <c r="AC7" i="65" s="1" a="1"/>
  <c r="AC7" i="65" s="1"/>
  <c r="Y10" i="65"/>
  <c r="F10" i="16" s="1"/>
  <c r="D10" i="65"/>
  <c r="C10" i="65"/>
  <c r="Y9" i="65"/>
  <c r="F9" i="16" s="1"/>
  <c r="D9" i="65"/>
  <c r="C9" i="65"/>
  <c r="Y8" i="65"/>
  <c r="F8" i="16" s="1"/>
  <c r="D8" i="65"/>
  <c r="C8" i="65"/>
  <c r="Y7" i="65"/>
  <c r="F7" i="16" s="1"/>
  <c r="D7" i="65"/>
  <c r="C7" i="65"/>
  <c r="Y6" i="65"/>
  <c r="D6" i="65"/>
  <c r="C6" i="65"/>
  <c r="AC6" i="65" s="1" a="1"/>
  <c r="AC6" i="65" s="1"/>
  <c r="AA39" i="65" l="1"/>
  <c r="Z18" i="65"/>
  <c r="Z34" i="65"/>
  <c r="AA50" i="65"/>
  <c r="AA13" i="65"/>
  <c r="AA44" i="65"/>
  <c r="AA40" i="65"/>
  <c r="AA19" i="65"/>
  <c r="AA35" i="65"/>
  <c r="AA51" i="65"/>
  <c r="Z25" i="65"/>
  <c r="AA45" i="65"/>
  <c r="AA8" i="65"/>
  <c r="AA24" i="65"/>
  <c r="Z14" i="65"/>
  <c r="AA30" i="65"/>
  <c r="Z46" i="65"/>
  <c r="Z41" i="65"/>
  <c r="Z20" i="65"/>
  <c r="Z36" i="65"/>
  <c r="Z52" i="65"/>
  <c r="Z31" i="65"/>
  <c r="Z47" i="65"/>
  <c r="AA37" i="65"/>
  <c r="Z53" i="65"/>
  <c r="Z12" i="65"/>
  <c r="AA28" i="65"/>
  <c r="Z10" i="65"/>
  <c r="Z16" i="65"/>
  <c r="Z27" i="65"/>
  <c r="AA43" i="65"/>
  <c r="AA26" i="65"/>
  <c r="AA42" i="65"/>
  <c r="Z11" i="65"/>
  <c r="Z6" i="65"/>
  <c r="AA22" i="65"/>
  <c r="AA38" i="65"/>
  <c r="Z17" i="65"/>
  <c r="AA33" i="65"/>
  <c r="AA49" i="65"/>
  <c r="AZ28" i="12"/>
  <c r="BA28" i="12"/>
  <c r="BC28" i="12" s="1"/>
  <c r="AZ27" i="12"/>
  <c r="BA27" i="12"/>
  <c r="BC27" i="12" s="1"/>
  <c r="AC18" i="65" a="1"/>
  <c r="AC18" i="65" s="1"/>
  <c r="AG18" i="65" s="1" a="1"/>
  <c r="AG18" i="65" s="1"/>
  <c r="AC11" i="65" a="1"/>
  <c r="AC11" i="65" s="1"/>
  <c r="AL11" i="65" s="1" a="1"/>
  <c r="AL11" i="65" s="1"/>
  <c r="AC13" i="65" a="1"/>
  <c r="AC13" i="65" s="1"/>
  <c r="AL13" i="65" s="1" a="1"/>
  <c r="AL13" i="65" s="1"/>
  <c r="AC9" i="65" a="1"/>
  <c r="AC9" i="65" s="1"/>
  <c r="AR9" i="65" s="1" a="1"/>
  <c r="AR9" i="65" s="1"/>
  <c r="AC14" i="65" a="1"/>
  <c r="AC14" i="65" s="1"/>
  <c r="AL14" i="65" s="1" a="1"/>
  <c r="AL14" i="65" s="1"/>
  <c r="AC19" i="65" a="1"/>
  <c r="AC19" i="65" s="1"/>
  <c r="AR19" i="65" s="1" a="1"/>
  <c r="AR19" i="65" s="1"/>
  <c r="AC20" i="65" a="1"/>
  <c r="AC20" i="65" s="1"/>
  <c r="AM17" i="65" a="1"/>
  <c r="AM17" i="65" s="1"/>
  <c r="AO17" i="65" a="1"/>
  <c r="AO17" i="65" s="1"/>
  <c r="AP17" i="65" a="1"/>
  <c r="AP17" i="65" s="1"/>
  <c r="AN17" i="65" a="1"/>
  <c r="AN17" i="65" s="1"/>
  <c r="AF17" i="65" a="1"/>
  <c r="AF17" i="65" s="1"/>
  <c r="AH17" i="65" a="1"/>
  <c r="AH17" i="65" s="1"/>
  <c r="AS17" i="65" a="1"/>
  <c r="AS17" i="65" s="1"/>
  <c r="AE17" i="65" a="1"/>
  <c r="AE17" i="65" s="1"/>
  <c r="AG17" i="65" a="1"/>
  <c r="AG17" i="65" s="1"/>
  <c r="AK17" i="65" a="1"/>
  <c r="AK17" i="65" s="1"/>
  <c r="AL17" i="65" a="1"/>
  <c r="AL17" i="65" s="1"/>
  <c r="AR17" i="65" a="1"/>
  <c r="AR17" i="65" s="1"/>
  <c r="AD17" i="65" a="1"/>
  <c r="AD17" i="65" s="1"/>
  <c r="AJ17" i="65" a="1"/>
  <c r="AJ17" i="65" s="1"/>
  <c r="AI17" i="65" a="1"/>
  <c r="AI17" i="65" s="1"/>
  <c r="AQ17" i="65" a="1"/>
  <c r="AQ17" i="65" s="1"/>
  <c r="AL8" i="65" a="1"/>
  <c r="AL8" i="65" s="1"/>
  <c r="AD8" i="65" a="1"/>
  <c r="AD8" i="65" s="1"/>
  <c r="AI8" i="65" a="1"/>
  <c r="AI8" i="65" s="1"/>
  <c r="AQ8" i="65" a="1"/>
  <c r="AQ8" i="65" s="1"/>
  <c r="AJ8" i="65" a="1"/>
  <c r="AJ8" i="65" s="1"/>
  <c r="AR8" i="65" a="1"/>
  <c r="AR8" i="65" s="1"/>
  <c r="AK8" i="65" a="1"/>
  <c r="AK8" i="65" s="1"/>
  <c r="AG8" i="65" a="1"/>
  <c r="AG8" i="65" s="1"/>
  <c r="AS8" i="65" a="1"/>
  <c r="AS8" i="65" s="1"/>
  <c r="AE8" i="65" a="1"/>
  <c r="AE8" i="65" s="1"/>
  <c r="AO8" i="65" a="1"/>
  <c r="AO8" i="65" s="1"/>
  <c r="AH8" i="65" a="1"/>
  <c r="AH8" i="65" s="1"/>
  <c r="AM8" i="65" a="1"/>
  <c r="AM8" i="65" s="1"/>
  <c r="AF8" i="65" a="1"/>
  <c r="AF8" i="65" s="1"/>
  <c r="AP8" i="65" a="1"/>
  <c r="AP8" i="65" s="1"/>
  <c r="AN8" i="65" a="1"/>
  <c r="AN8" i="65" s="1"/>
  <c r="AE10" i="65" a="1"/>
  <c r="AE10" i="65" s="1"/>
  <c r="AK10" i="65" a="1"/>
  <c r="AK10" i="65" s="1"/>
  <c r="AM10" i="65" a="1"/>
  <c r="AM10" i="65" s="1"/>
  <c r="AS10" i="65" a="1"/>
  <c r="AS10" i="65" s="1"/>
  <c r="AL10" i="65" a="1"/>
  <c r="AL10" i="65" s="1"/>
  <c r="AF10" i="65" a="1"/>
  <c r="AF10" i="65" s="1"/>
  <c r="AN10" i="65" a="1"/>
  <c r="AN10" i="65" s="1"/>
  <c r="AG10" i="65" a="1"/>
  <c r="AG10" i="65" s="1"/>
  <c r="AO10" i="65" a="1"/>
  <c r="AO10" i="65" s="1"/>
  <c r="AH10" i="65" a="1"/>
  <c r="AH10" i="65" s="1"/>
  <c r="AI10" i="65" a="1"/>
  <c r="AI10" i="65" s="1"/>
  <c r="AP10" i="65" a="1"/>
  <c r="AP10" i="65" s="1"/>
  <c r="AJ10" i="65" a="1"/>
  <c r="AJ10" i="65" s="1"/>
  <c r="AR10" i="65" a="1"/>
  <c r="AR10" i="65" s="1"/>
  <c r="AD10" i="65" a="1"/>
  <c r="AD10" i="65" s="1"/>
  <c r="AQ10" i="65" a="1"/>
  <c r="AQ10" i="65" s="1"/>
  <c r="AD12" i="65" a="1"/>
  <c r="AD12" i="65" s="1"/>
  <c r="AF12" i="65" a="1"/>
  <c r="AF12" i="65" s="1"/>
  <c r="AR12" i="65" a="1"/>
  <c r="AR12" i="65" s="1"/>
  <c r="AK12" i="65" a="1"/>
  <c r="AK12" i="65" s="1"/>
  <c r="AI12" i="65" a="1"/>
  <c r="AI12" i="65" s="1"/>
  <c r="AS12" i="65" a="1"/>
  <c r="AS12" i="65" s="1"/>
  <c r="AE12" i="65" a="1"/>
  <c r="AE12" i="65" s="1"/>
  <c r="AL12" i="65" a="1"/>
  <c r="AL12" i="65" s="1"/>
  <c r="AM12" i="65" a="1"/>
  <c r="AM12" i="65" s="1"/>
  <c r="AO12" i="65" a="1"/>
  <c r="AO12" i="65" s="1"/>
  <c r="AP12" i="65" a="1"/>
  <c r="AP12" i="65" s="1"/>
  <c r="AJ12" i="65" a="1"/>
  <c r="AJ12" i="65" s="1"/>
  <c r="AN12" i="65" a="1"/>
  <c r="AN12" i="65" s="1"/>
  <c r="AG12" i="65" a="1"/>
  <c r="AG12" i="65" s="1"/>
  <c r="AQ12" i="65" a="1"/>
  <c r="AQ12" i="65" s="1"/>
  <c r="AH12" i="65" a="1"/>
  <c r="AH12" i="65" s="1"/>
  <c r="AK7" i="65" a="1"/>
  <c r="AK7" i="65" s="1"/>
  <c r="AS7" i="65" a="1"/>
  <c r="AS7" i="65" s="1"/>
  <c r="AG7" i="65" a="1"/>
  <c r="AG7" i="65" s="1"/>
  <c r="AO7" i="65" a="1"/>
  <c r="AO7" i="65" s="1"/>
  <c r="AH7" i="65" a="1"/>
  <c r="AH7" i="65" s="1"/>
  <c r="AP7" i="65" a="1"/>
  <c r="AP7" i="65" s="1"/>
  <c r="AI7" i="65" a="1"/>
  <c r="AI7" i="65" s="1"/>
  <c r="AJ7" i="65" a="1"/>
  <c r="AJ7" i="65" s="1"/>
  <c r="AM7" i="65" a="1"/>
  <c r="AM7" i="65" s="1"/>
  <c r="AQ7" i="65" a="1"/>
  <c r="AQ7" i="65" s="1"/>
  <c r="AL7" i="65" a="1"/>
  <c r="AL7" i="65" s="1"/>
  <c r="AE7" i="65" a="1"/>
  <c r="AE7" i="65" s="1"/>
  <c r="AR7" i="65" a="1"/>
  <c r="AR7" i="65" s="1"/>
  <c r="AD7" i="65" a="1"/>
  <c r="AD7" i="65" s="1"/>
  <c r="AN7" i="65" a="1"/>
  <c r="AN7" i="65" s="1"/>
  <c r="AF7" i="65" a="1"/>
  <c r="AF7" i="65" s="1"/>
  <c r="AN16" i="65" a="1"/>
  <c r="AN16" i="65" s="1"/>
  <c r="AD16" i="65" a="1"/>
  <c r="AD16" i="65" s="1"/>
  <c r="AO16" i="65" a="1"/>
  <c r="AO16" i="65" s="1"/>
  <c r="AR16" i="65" a="1"/>
  <c r="AR16" i="65" s="1"/>
  <c r="AH16" i="65" a="1"/>
  <c r="AH16" i="65" s="1"/>
  <c r="AS16" i="65" a="1"/>
  <c r="AS16" i="65" s="1"/>
  <c r="AK16" i="65" a="1"/>
  <c r="AK16" i="65" s="1"/>
  <c r="AE16" i="65" a="1"/>
  <c r="AE16" i="65" s="1"/>
  <c r="AG16" i="65" a="1"/>
  <c r="AG16" i="65" s="1"/>
  <c r="AL16" i="65" a="1"/>
  <c r="AL16" i="65" s="1"/>
  <c r="AI16" i="65" a="1"/>
  <c r="AI16" i="65" s="1"/>
  <c r="AF16" i="65" a="1"/>
  <c r="AF16" i="65" s="1"/>
  <c r="AP16" i="65" a="1"/>
  <c r="AP16" i="65" s="1"/>
  <c r="AM16" i="65" a="1"/>
  <c r="AM16" i="65" s="1"/>
  <c r="AQ16" i="65" a="1"/>
  <c r="AQ16" i="65" s="1"/>
  <c r="AJ16" i="65" a="1"/>
  <c r="AJ16" i="65" s="1"/>
  <c r="AK6" i="65" a="1"/>
  <c r="AK6" i="65" s="1"/>
  <c r="AS6" i="65" a="1"/>
  <c r="AS6" i="65" s="1"/>
  <c r="AQ6" i="65" a="1"/>
  <c r="AQ6" i="65" s="1"/>
  <c r="AJ6" i="65" a="1"/>
  <c r="AJ6" i="65" s="1"/>
  <c r="AI6" i="65" a="1"/>
  <c r="AI6" i="65" s="1"/>
  <c r="AR6" i="65" a="1"/>
  <c r="AR6" i="65" s="1"/>
  <c r="AO6" i="65" a="1"/>
  <c r="AO6" i="65" s="1"/>
  <c r="AD6" i="65" a="1"/>
  <c r="AD6" i="65" s="1"/>
  <c r="AL6" i="65" a="1"/>
  <c r="AL6" i="65" s="1"/>
  <c r="AN6" i="65" a="1"/>
  <c r="AN6" i="65" s="1"/>
  <c r="AE6" i="65" a="1"/>
  <c r="AE6" i="65" s="1"/>
  <c r="AM6" i="65" a="1"/>
  <c r="AM6" i="65" s="1"/>
  <c r="AF6" i="65" a="1"/>
  <c r="AF6" i="65" s="1"/>
  <c r="AH6" i="65" a="1"/>
  <c r="AH6" i="65" s="1"/>
  <c r="AG6" i="65" a="1"/>
  <c r="AG6" i="65" s="1"/>
  <c r="AP6" i="65" a="1"/>
  <c r="AP6" i="65" s="1"/>
  <c r="AL15" i="65" a="1"/>
  <c r="AL15" i="65" s="1"/>
  <c r="AF15" i="65" a="1"/>
  <c r="AF15" i="65" s="1"/>
  <c r="AG15" i="65" a="1"/>
  <c r="AG15" i="65" s="1"/>
  <c r="AO15" i="65" a="1"/>
  <c r="AO15" i="65" s="1"/>
  <c r="AH15" i="65" a="1"/>
  <c r="AH15" i="65" s="1"/>
  <c r="AP15" i="65" a="1"/>
  <c r="AP15" i="65" s="1"/>
  <c r="AD15" i="65" a="1"/>
  <c r="AD15" i="65" s="1"/>
  <c r="AI15" i="65" a="1"/>
  <c r="AI15" i="65" s="1"/>
  <c r="AQ15" i="65" a="1"/>
  <c r="AQ15" i="65" s="1"/>
  <c r="AR15" i="65" a="1"/>
  <c r="AR15" i="65" s="1"/>
  <c r="AE15" i="65" a="1"/>
  <c r="AE15" i="65" s="1"/>
  <c r="AJ15" i="65" a="1"/>
  <c r="AJ15" i="65" s="1"/>
  <c r="AS15" i="65" a="1"/>
  <c r="AS15" i="65" s="1"/>
  <c r="AN15" i="65" a="1"/>
  <c r="AN15" i="65" s="1"/>
  <c r="AK15" i="65" a="1"/>
  <c r="AK15" i="65" s="1"/>
  <c r="AM15" i="65" a="1"/>
  <c r="AM15" i="65" s="1"/>
  <c r="AA14" i="65"/>
  <c r="AA18" i="65"/>
  <c r="AA9" i="65"/>
  <c r="AA53" i="65"/>
  <c r="Z9" i="65"/>
  <c r="AA52" i="65"/>
  <c r="F6" i="16"/>
  <c r="AA17" i="65"/>
  <c r="AA31" i="65"/>
  <c r="Z40" i="65"/>
  <c r="Z49" i="65"/>
  <c r="AA16" i="65"/>
  <c r="AA46" i="65"/>
  <c r="Z33" i="65"/>
  <c r="AA25" i="65"/>
  <c r="AA47" i="65"/>
  <c r="Y54" i="65"/>
  <c r="AA27" i="65"/>
  <c r="AA36" i="65"/>
  <c r="AA10" i="65"/>
  <c r="Z13" i="65"/>
  <c r="Z7" i="65"/>
  <c r="AA7" i="65"/>
  <c r="Z39" i="65"/>
  <c r="AA11" i="65"/>
  <c r="AA6" i="65"/>
  <c r="Z50" i="65"/>
  <c r="AA21" i="65"/>
  <c r="Z21" i="65"/>
  <c r="Z19" i="65"/>
  <c r="AA23" i="65"/>
  <c r="Z23" i="65"/>
  <c r="AA15" i="65"/>
  <c r="Z15" i="65"/>
  <c r="AA32" i="65"/>
  <c r="Z32" i="65"/>
  <c r="Z28" i="65"/>
  <c r="Z43" i="65"/>
  <c r="AA29" i="65"/>
  <c r="Z29" i="65"/>
  <c r="Z37" i="65"/>
  <c r="Z44" i="65"/>
  <c r="Z24" i="65"/>
  <c r="Z30" i="65"/>
  <c r="AA48" i="65"/>
  <c r="Z48" i="65"/>
  <c r="Z8" i="65"/>
  <c r="AA34" i="65"/>
  <c r="AA41" i="65"/>
  <c r="AA12" i="65"/>
  <c r="AA20" i="65"/>
  <c r="Z38" i="65"/>
  <c r="Z51" i="65"/>
  <c r="Z35" i="65"/>
  <c r="Z45" i="65"/>
  <c r="Z22" i="65"/>
  <c r="Z26" i="65"/>
  <c r="Z42" i="65"/>
  <c r="AE14" i="65" l="1" a="1"/>
  <c r="AE14" i="65" s="1"/>
  <c r="AR13" i="65" a="1"/>
  <c r="AR13" i="65" s="1"/>
  <c r="AI13" i="65" a="1"/>
  <c r="AI13" i="65" s="1"/>
  <c r="AP13" i="65" a="1"/>
  <c r="AP13" i="65" s="1"/>
  <c r="AS14" i="65" a="1"/>
  <c r="AS14" i="65" s="1"/>
  <c r="AR11" i="65" a="1"/>
  <c r="AR11" i="65" s="1"/>
  <c r="AN13" i="65" a="1"/>
  <c r="AN13" i="65" s="1"/>
  <c r="AL18" i="65" a="1"/>
  <c r="AL18" i="65" s="1"/>
  <c r="AQ13" i="65" a="1"/>
  <c r="AQ13" i="65" s="1"/>
  <c r="AF11" i="65" a="1"/>
  <c r="AF11" i="65" s="1"/>
  <c r="AG11" i="65" a="1"/>
  <c r="AG11" i="65" s="1"/>
  <c r="AN11" i="65" a="1"/>
  <c r="AN11" i="65" s="1"/>
  <c r="AD18" i="65" a="1"/>
  <c r="AD18" i="65" s="1"/>
  <c r="AO14" i="65" a="1"/>
  <c r="AO14" i="65" s="1"/>
  <c r="AJ19" i="65" a="1"/>
  <c r="AJ19" i="65" s="1"/>
  <c r="AS19" i="65" a="1"/>
  <c r="AS19" i="65" s="1"/>
  <c r="AL19" i="65" a="1"/>
  <c r="AL19" i="65" s="1"/>
  <c r="AS18" i="65" a="1"/>
  <c r="AS18" i="65" s="1"/>
  <c r="AP11" i="65" a="1"/>
  <c r="AP11" i="65" s="1"/>
  <c r="AO13" i="65" a="1"/>
  <c r="AO13" i="65" s="1"/>
  <c r="AE18" i="65" a="1"/>
  <c r="AE18" i="65" s="1"/>
  <c r="AM11" i="65" a="1"/>
  <c r="AM11" i="65" s="1"/>
  <c r="AK11" i="65" a="1"/>
  <c r="AK11" i="65" s="1"/>
  <c r="AE13" i="65" a="1"/>
  <c r="AE13" i="65" s="1"/>
  <c r="AS9" i="65" a="1"/>
  <c r="AS9" i="65" s="1"/>
  <c r="AQ11" i="65" a="1"/>
  <c r="AQ11" i="65" s="1"/>
  <c r="AG9" i="65" a="1"/>
  <c r="AG9" i="65" s="1"/>
  <c r="AI11" i="65" a="1"/>
  <c r="AI11" i="65" s="1"/>
  <c r="AN9" i="65" a="1"/>
  <c r="AN9" i="65" s="1"/>
  <c r="AM13" i="65" a="1"/>
  <c r="AM13" i="65" s="1"/>
  <c r="AN14" i="65" a="1"/>
  <c r="AN14" i="65" s="1"/>
  <c r="AM14" i="65" a="1"/>
  <c r="AM14" i="65" s="1"/>
  <c r="AE11" i="65" a="1"/>
  <c r="AE11" i="65" s="1"/>
  <c r="AK13" i="65" a="1"/>
  <c r="AK13" i="65" s="1"/>
  <c r="AM9" i="65" a="1"/>
  <c r="AM9" i="65" s="1"/>
  <c r="AQ9" i="65" a="1"/>
  <c r="AQ9" i="65" s="1"/>
  <c r="AH11" i="65" a="1"/>
  <c r="AH11" i="65" s="1"/>
  <c r="AQ14" i="65" a="1"/>
  <c r="AQ14" i="65" s="1"/>
  <c r="AD11" i="65" a="1"/>
  <c r="AD11" i="65" s="1"/>
  <c r="AH13" i="65" a="1"/>
  <c r="AH13" i="65" s="1"/>
  <c r="AL9" i="65" a="1"/>
  <c r="AL9" i="65" s="1"/>
  <c r="AF13" i="65" a="1"/>
  <c r="AF13" i="65" s="1"/>
  <c r="AF14" i="65" a="1"/>
  <c r="AF14" i="65" s="1"/>
  <c r="AP14" i="65" a="1"/>
  <c r="AP14" i="65" s="1"/>
  <c r="AS11" i="65" a="1"/>
  <c r="AS11" i="65" s="1"/>
  <c r="AG13" i="65" a="1"/>
  <c r="AG13" i="65" s="1"/>
  <c r="AI18" i="65" a="1"/>
  <c r="AI18" i="65" s="1"/>
  <c r="AW18" i="65" s="1"/>
  <c r="AM18" i="65" a="1"/>
  <c r="AM18" i="65" s="1"/>
  <c r="AK14" i="65" a="1"/>
  <c r="AK14" i="65" s="1"/>
  <c r="AJ11" i="65" a="1"/>
  <c r="AJ11" i="65" s="1"/>
  <c r="AP9" i="65" a="1"/>
  <c r="AP9" i="65" s="1"/>
  <c r="AJ13" i="65" a="1"/>
  <c r="AJ13" i="65" s="1"/>
  <c r="AT13" i="65" s="1"/>
  <c r="AJ18" i="65" a="1"/>
  <c r="AJ18" i="65" s="1"/>
  <c r="AJ14" i="65" a="1"/>
  <c r="AJ14" i="65" s="1"/>
  <c r="AO11" i="65" a="1"/>
  <c r="AO11" i="65" s="1"/>
  <c r="AO9" i="65" a="1"/>
  <c r="AO9" i="65" s="1"/>
  <c r="AS13" i="65" a="1"/>
  <c r="AS13" i="65" s="1"/>
  <c r="AO18" i="65" a="1"/>
  <c r="AO18" i="65" s="1"/>
  <c r="AK18" i="65" a="1"/>
  <c r="AK18" i="65" s="1"/>
  <c r="AP18" i="65" a="1"/>
  <c r="AP18" i="65" s="1"/>
  <c r="AH18" i="65" a="1"/>
  <c r="AH18" i="65" s="1"/>
  <c r="AI14" i="65" a="1"/>
  <c r="AI14" i="65" s="1"/>
  <c r="AE9" i="65" a="1"/>
  <c r="AE9" i="65" s="1"/>
  <c r="AR18" i="65" a="1"/>
  <c r="AR18" i="65" s="1"/>
  <c r="AN18" i="65" a="1"/>
  <c r="AN18" i="65" s="1"/>
  <c r="AF18" i="65" a="1"/>
  <c r="AF18" i="65" s="1"/>
  <c r="AQ18" i="65" a="1"/>
  <c r="AQ18" i="65" s="1"/>
  <c r="AQ19" i="65" a="1"/>
  <c r="AQ19" i="65" s="1"/>
  <c r="AH14" i="65" a="1"/>
  <c r="AH14" i="65" s="1"/>
  <c r="AD13" i="65" a="1"/>
  <c r="AD13" i="65" s="1"/>
  <c r="AK19" i="65" a="1"/>
  <c r="AK19" i="65" s="1"/>
  <c r="AD19" i="65" a="1"/>
  <c r="AD19" i="65" s="1"/>
  <c r="AD9" i="65" a="1"/>
  <c r="AD9" i="65" s="1"/>
  <c r="AF19" i="65" a="1"/>
  <c r="AF19" i="65" s="1"/>
  <c r="AH9" i="65" a="1"/>
  <c r="AH9" i="65" s="1"/>
  <c r="AH19" i="65" a="1"/>
  <c r="AH19" i="65" s="1"/>
  <c r="AF9" i="65" a="1"/>
  <c r="AF9" i="65" s="1"/>
  <c r="AJ9" i="65" a="1"/>
  <c r="AJ9" i="65" s="1"/>
  <c r="AK9" i="65" a="1"/>
  <c r="AK9" i="65" s="1"/>
  <c r="AI9" i="65" a="1"/>
  <c r="AI9" i="65" s="1"/>
  <c r="AG19" i="65" a="1"/>
  <c r="AG19" i="65" s="1"/>
  <c r="AP19" i="65" a="1"/>
  <c r="AP19" i="65" s="1"/>
  <c r="AI19" i="65" a="1"/>
  <c r="AI19" i="65" s="1"/>
  <c r="AN19" i="65" a="1"/>
  <c r="AN19" i="65" s="1"/>
  <c r="AD14" i="65" a="1"/>
  <c r="AD14" i="65" s="1"/>
  <c r="AM19" i="65" a="1"/>
  <c r="AM19" i="65" s="1"/>
  <c r="AR14" i="65" a="1"/>
  <c r="AR14" i="65" s="1"/>
  <c r="AE19" i="65" a="1"/>
  <c r="AE19" i="65" s="1"/>
  <c r="AG14" i="65" a="1"/>
  <c r="AG14" i="65" s="1"/>
  <c r="AO19" i="65" a="1"/>
  <c r="AO19" i="65" s="1"/>
  <c r="AN20" i="65" a="1"/>
  <c r="AN20" i="65" s="1"/>
  <c r="AK20" i="65" a="1"/>
  <c r="AK20" i="65" s="1"/>
  <c r="AF20" i="65" a="1"/>
  <c r="AF20" i="65" s="1"/>
  <c r="AO20" i="65" a="1"/>
  <c r="AO20" i="65" s="1"/>
  <c r="AE20" i="65" a="1"/>
  <c r="AE20" i="65" s="1"/>
  <c r="AD20" i="65" a="1"/>
  <c r="AD20" i="65" s="1"/>
  <c r="AJ20" i="65" a="1"/>
  <c r="AJ20" i="65" s="1"/>
  <c r="AP20" i="65" a="1"/>
  <c r="AP20" i="65" s="1"/>
  <c r="AS20" i="65" a="1"/>
  <c r="AS20" i="65" s="1"/>
  <c r="AH20" i="65" a="1"/>
  <c r="AH20" i="65" s="1"/>
  <c r="AG20" i="65" a="1"/>
  <c r="AG20" i="65" s="1"/>
  <c r="AI20" i="65" a="1"/>
  <c r="AI20" i="65" s="1"/>
  <c r="AR20" i="65" a="1"/>
  <c r="AR20" i="65" s="1"/>
  <c r="AM20" i="65" a="1"/>
  <c r="AM20" i="65" s="1"/>
  <c r="AL20" i="65" a="1"/>
  <c r="AL20" i="65" s="1"/>
  <c r="AQ20" i="65" a="1"/>
  <c r="AQ20" i="65" s="1"/>
  <c r="AT16" i="65"/>
  <c r="AU16" i="65" s="1"/>
  <c r="AT12" i="65"/>
  <c r="AU12" i="65" s="1"/>
  <c r="AW17" i="65"/>
  <c r="AW10" i="65"/>
  <c r="AT17" i="65"/>
  <c r="AW15" i="65"/>
  <c r="AW8" i="65"/>
  <c r="AW7" i="65"/>
  <c r="AT8" i="65"/>
  <c r="AT6" i="65"/>
  <c r="AW12" i="65"/>
  <c r="AW6" i="65"/>
  <c r="AT7" i="65"/>
  <c r="AW16" i="65"/>
  <c r="AT15" i="65"/>
  <c r="AT10" i="65"/>
  <c r="BA16" i="65"/>
  <c r="BB16" i="65" s="1"/>
  <c r="Z54" i="65"/>
  <c r="BA9" i="65"/>
  <c r="BD9" i="65" s="1"/>
  <c r="BA10" i="65"/>
  <c r="BA25" i="65"/>
  <c r="AA54" i="65"/>
  <c r="BA22" i="65"/>
  <c r="BA20" i="65"/>
  <c r="BA8" i="65"/>
  <c r="BA18" i="65"/>
  <c r="BA15" i="65"/>
  <c r="BA21" i="65"/>
  <c r="BA19" i="65"/>
  <c r="BA24" i="65"/>
  <c r="BA23" i="65"/>
  <c r="BA7" i="65"/>
  <c r="BA27" i="65"/>
  <c r="BA12" i="65"/>
  <c r="BA11" i="65"/>
  <c r="BA17" i="65"/>
  <c r="BA13" i="65"/>
  <c r="BA26" i="65"/>
  <c r="BA6" i="65"/>
  <c r="BA14" i="65"/>
  <c r="AW13" i="65" l="1"/>
  <c r="AT18" i="65"/>
  <c r="AU18" i="65" s="1"/>
  <c r="AW11" i="65"/>
  <c r="AT14" i="65"/>
  <c r="AT11" i="65"/>
  <c r="AU11" i="65" s="1"/>
  <c r="AL28" i="65"/>
  <c r="AQ28" i="65"/>
  <c r="AS28" i="65"/>
  <c r="AP28" i="65"/>
  <c r="AI28" i="65"/>
  <c r="AM28" i="65"/>
  <c r="AK28" i="65"/>
  <c r="AW9" i="65"/>
  <c r="AR28" i="65"/>
  <c r="AT19" i="65"/>
  <c r="AV19" i="65" s="1"/>
  <c r="AX19" i="65" s="1"/>
  <c r="AH28" i="65"/>
  <c r="AJ28" i="65"/>
  <c r="AF28" i="65"/>
  <c r="AT9" i="65"/>
  <c r="AV9" i="65" s="1"/>
  <c r="AX9" i="65" s="1"/>
  <c r="AW14" i="65"/>
  <c r="AG28" i="65"/>
  <c r="AW19" i="65"/>
  <c r="AN28" i="65"/>
  <c r="AE28" i="65"/>
  <c r="AO28" i="65"/>
  <c r="AV11" i="65"/>
  <c r="AX11" i="65" s="1"/>
  <c r="AV12" i="65"/>
  <c r="AX12" i="65" s="1"/>
  <c r="AT20" i="65"/>
  <c r="AV20" i="65" s="1"/>
  <c r="AX20" i="65" s="1"/>
  <c r="AW20" i="65"/>
  <c r="AV16" i="65"/>
  <c r="AX16" i="65" s="1"/>
  <c r="AV18" i="65"/>
  <c r="AX18" i="65" s="1"/>
  <c r="AU17" i="65"/>
  <c r="AV17" i="65"/>
  <c r="AX17" i="65" s="1"/>
  <c r="AV6" i="65"/>
  <c r="AU6" i="65"/>
  <c r="AU14" i="65"/>
  <c r="AV14" i="65"/>
  <c r="AX14" i="65" s="1"/>
  <c r="AU8" i="65"/>
  <c r="AV8" i="65"/>
  <c r="AX8" i="65" s="1"/>
  <c r="AV13" i="65"/>
  <c r="AX13" i="65" s="1"/>
  <c r="AU13" i="65"/>
  <c r="AU10" i="65"/>
  <c r="AV10" i="65"/>
  <c r="AX10" i="65" s="1"/>
  <c r="AU7" i="65"/>
  <c r="AV7" i="65"/>
  <c r="AX7" i="65" s="1"/>
  <c r="AV15" i="65"/>
  <c r="AX15" i="65" s="1"/>
  <c r="AU15" i="65"/>
  <c r="BB9" i="65"/>
  <c r="BD16" i="65"/>
  <c r="BC16" i="65"/>
  <c r="BC9" i="65"/>
  <c r="BD23" i="65"/>
  <c r="BC23" i="65"/>
  <c r="BB23" i="65"/>
  <c r="BC6" i="65"/>
  <c r="BD6" i="65"/>
  <c r="BB6" i="65"/>
  <c r="BC28" i="65"/>
  <c r="BD21" i="65"/>
  <c r="BC21" i="65"/>
  <c r="BB21" i="65"/>
  <c r="BD26" i="65"/>
  <c r="BC26" i="65"/>
  <c r="BB26" i="65"/>
  <c r="BD25" i="65"/>
  <c r="BC25" i="65"/>
  <c r="BB25" i="65"/>
  <c r="BC19" i="65"/>
  <c r="BD19" i="65"/>
  <c r="BB19" i="65"/>
  <c r="BD10" i="65"/>
  <c r="BB10" i="65"/>
  <c r="BC10" i="65"/>
  <c r="BB13" i="65"/>
  <c r="BD13" i="65"/>
  <c r="BC13" i="65"/>
  <c r="BB15" i="65"/>
  <c r="BD15" i="65"/>
  <c r="BC15" i="65"/>
  <c r="BD24" i="65"/>
  <c r="BC24" i="65"/>
  <c r="BB24" i="65"/>
  <c r="BB17" i="65"/>
  <c r="BD17" i="65"/>
  <c r="BC17" i="65"/>
  <c r="BB18" i="65"/>
  <c r="BC18" i="65"/>
  <c r="BD18" i="65"/>
  <c r="BD12" i="65"/>
  <c r="BC12" i="65"/>
  <c r="BB12" i="65"/>
  <c r="BD8" i="65"/>
  <c r="BC8" i="65"/>
  <c r="BB8" i="65"/>
  <c r="BC11" i="65"/>
  <c r="BD11" i="65"/>
  <c r="BB11" i="65"/>
  <c r="BD20" i="65"/>
  <c r="BC20" i="65"/>
  <c r="BB20" i="65"/>
  <c r="BD14" i="65"/>
  <c r="BB14" i="65"/>
  <c r="BC14" i="65"/>
  <c r="BB27" i="65"/>
  <c r="BD27" i="65"/>
  <c r="BC27" i="65"/>
  <c r="BD7" i="65"/>
  <c r="BB7" i="65"/>
  <c r="BC7" i="65"/>
  <c r="BD22" i="65"/>
  <c r="BC22" i="65"/>
  <c r="BB22" i="65"/>
  <c r="AW28" i="65" l="1"/>
  <c r="AU19" i="65"/>
  <c r="AT28" i="65"/>
  <c r="AU9" i="65"/>
  <c r="AU20" i="65"/>
  <c r="AX6" i="65"/>
  <c r="AX28" i="65" s="1"/>
  <c r="AV28" i="65"/>
  <c r="K14" i="18"/>
  <c r="C14" i="18"/>
  <c r="AU28" i="65" l="1"/>
  <c r="G61" i="18"/>
  <c r="B61" i="18"/>
  <c r="L56" i="18"/>
  <c r="G56" i="18"/>
  <c r="B56" i="18"/>
  <c r="B6" i="30"/>
  <c r="B7" i="30"/>
  <c r="B8" i="30"/>
  <c r="B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34" i="30"/>
  <c r="B35" i="30"/>
  <c r="B36" i="30"/>
  <c r="B37" i="30"/>
  <c r="B38" i="30"/>
  <c r="B39" i="30"/>
  <c r="B40" i="30"/>
  <c r="B41" i="30"/>
  <c r="B42" i="30"/>
  <c r="B43" i="30"/>
  <c r="B44" i="30"/>
  <c r="B45" i="30"/>
  <c r="B46" i="30"/>
  <c r="B47" i="30"/>
  <c r="B48" i="30"/>
  <c r="B49" i="30"/>
  <c r="B50" i="30"/>
  <c r="B51" i="30"/>
  <c r="B52" i="30"/>
  <c r="B53" i="30"/>
  <c r="BB54" i="28" l="1"/>
  <c r="BE7" i="28"/>
  <c r="BD8" i="28"/>
  <c r="BE9" i="28"/>
  <c r="BD10" i="28"/>
  <c r="BD11" i="28"/>
  <c r="BE12" i="28"/>
  <c r="BD13" i="28"/>
  <c r="BD14" i="28"/>
  <c r="BD15" i="28"/>
  <c r="BE16" i="28"/>
  <c r="BE17" i="28"/>
  <c r="BE18" i="28"/>
  <c r="BE19" i="28"/>
  <c r="BD20" i="28"/>
  <c r="BD21" i="28"/>
  <c r="BD22" i="28"/>
  <c r="BE23" i="28"/>
  <c r="BD24" i="28"/>
  <c r="BE25" i="28"/>
  <c r="BD26" i="28"/>
  <c r="BD27" i="28"/>
  <c r="BD28" i="28"/>
  <c r="BE30" i="28"/>
  <c r="BD31" i="28"/>
  <c r="BE32" i="28"/>
  <c r="BE33" i="28"/>
  <c r="BE34" i="28"/>
  <c r="BD35" i="28"/>
  <c r="BD36" i="28"/>
  <c r="BD37" i="28"/>
  <c r="BD38" i="28"/>
  <c r="BD39" i="28"/>
  <c r="BE40" i="28"/>
  <c r="BD41" i="28"/>
  <c r="BD42" i="28"/>
  <c r="BD43" i="28"/>
  <c r="BD44" i="28"/>
  <c r="BD45" i="28"/>
  <c r="BD46" i="28"/>
  <c r="BE47" i="28"/>
  <c r="BD48" i="28"/>
  <c r="BD49" i="28"/>
  <c r="BD50" i="28"/>
  <c r="BD51" i="28"/>
  <c r="BD52" i="28"/>
  <c r="BC53" i="28"/>
  <c r="C176" i="23"/>
  <c r="U46" i="23" s="1"/>
  <c r="E175" i="23"/>
  <c r="E174" i="23"/>
  <c r="E173" i="23"/>
  <c r="E172" i="23"/>
  <c r="E171" i="23"/>
  <c r="E170" i="23"/>
  <c r="E169" i="23"/>
  <c r="E168" i="23"/>
  <c r="E166" i="23"/>
  <c r="E165" i="23"/>
  <c r="E164" i="23"/>
  <c r="E163" i="23"/>
  <c r="E162" i="23"/>
  <c r="E161" i="23"/>
  <c r="E160" i="23"/>
  <c r="E159" i="23"/>
  <c r="E158" i="23"/>
  <c r="E157" i="23"/>
  <c r="E156" i="23"/>
  <c r="H77" i="23"/>
  <c r="S47" i="23" s="1"/>
  <c r="V47" i="23" s="1"/>
  <c r="X47" i="23" s="1"/>
  <c r="J76" i="23"/>
  <c r="J75" i="23"/>
  <c r="J74" i="23"/>
  <c r="J73" i="23"/>
  <c r="J72" i="23"/>
  <c r="J71" i="23"/>
  <c r="J70" i="23"/>
  <c r="J69" i="23"/>
  <c r="J68" i="23"/>
  <c r="J67" i="23"/>
  <c r="J65" i="23"/>
  <c r="J64" i="23"/>
  <c r="J63" i="23"/>
  <c r="J62" i="23"/>
  <c r="J61" i="23"/>
  <c r="J60" i="23"/>
  <c r="J59" i="23"/>
  <c r="J58" i="23"/>
  <c r="J57" i="23"/>
  <c r="E76" i="23"/>
  <c r="E75" i="23"/>
  <c r="E74" i="23"/>
  <c r="E73" i="23"/>
  <c r="E72" i="23"/>
  <c r="E71" i="23"/>
  <c r="E70" i="23"/>
  <c r="E69" i="23"/>
  <c r="E68" i="23"/>
  <c r="E67" i="23"/>
  <c r="E65" i="23"/>
  <c r="E64" i="23"/>
  <c r="E63" i="23"/>
  <c r="E62" i="23"/>
  <c r="E61" i="23"/>
  <c r="E60" i="23"/>
  <c r="E59" i="23"/>
  <c r="E58" i="23"/>
  <c r="E57" i="23"/>
  <c r="BD53" i="28" l="1"/>
  <c r="BK34" i="28"/>
  <c r="BK37" i="28"/>
  <c r="BK9" i="28"/>
  <c r="BK47" i="28"/>
  <c r="BK46" i="28"/>
  <c r="BK38" i="28"/>
  <c r="BK19" i="28"/>
  <c r="BK40" i="28"/>
  <c r="BK42" i="28"/>
  <c r="BK52" i="28"/>
  <c r="BK21" i="28"/>
  <c r="BK13" i="28"/>
  <c r="BK29" i="28"/>
  <c r="BK31" i="28"/>
  <c r="BK48" i="28"/>
  <c r="BK18" i="28"/>
  <c r="BK23" i="28"/>
  <c r="BK14" i="28"/>
  <c r="BK20" i="28"/>
  <c r="BK33" i="28"/>
  <c r="BK50" i="28"/>
  <c r="BK53" i="28"/>
  <c r="BK17" i="28"/>
  <c r="BK15" i="28"/>
  <c r="BK45" i="28"/>
  <c r="BK51" i="28"/>
  <c r="BK32" i="28"/>
  <c r="BK30" i="28"/>
  <c r="BK10" i="28"/>
  <c r="BK27" i="28"/>
  <c r="BK12" i="28"/>
  <c r="BK6" i="28"/>
  <c r="BK39" i="28"/>
  <c r="BK11" i="28"/>
  <c r="BK25" i="28"/>
  <c r="BK26" i="28"/>
  <c r="BK35" i="28"/>
  <c r="BK41" i="28"/>
  <c r="BK49" i="28"/>
  <c r="BK43" i="28"/>
  <c r="BK44" i="28"/>
  <c r="BK8" i="28"/>
  <c r="BK28" i="28"/>
  <c r="BK16" i="28"/>
  <c r="BK24" i="28"/>
  <c r="BK22" i="28"/>
  <c r="BK36" i="28"/>
  <c r="BK7" i="28"/>
  <c r="BD29" i="28"/>
  <c r="G27" i="7"/>
  <c r="BE6" i="28"/>
  <c r="S46" i="23"/>
  <c r="BE43" i="28"/>
  <c r="BD34" i="28"/>
  <c r="BD33" i="28"/>
  <c r="BD32" i="28"/>
  <c r="BD25" i="28"/>
  <c r="BD9" i="28"/>
  <c r="BE44" i="28"/>
  <c r="BE42" i="28"/>
  <c r="BE26" i="28"/>
  <c r="BE41" i="28"/>
  <c r="BE28" i="28"/>
  <c r="BE27" i="28"/>
  <c r="BE24" i="28"/>
  <c r="BD30" i="28"/>
  <c r="BD19" i="28"/>
  <c r="BE45" i="28"/>
  <c r="BD18" i="28"/>
  <c r="BD17" i="28"/>
  <c r="BD16" i="28"/>
  <c r="BE10" i="28"/>
  <c r="BE48" i="28"/>
  <c r="BE46" i="28"/>
  <c r="BE22" i="28"/>
  <c r="BE21" i="28"/>
  <c r="BE37" i="28"/>
  <c r="BE20" i="28"/>
  <c r="BE52" i="28"/>
  <c r="BE36" i="28"/>
  <c r="J77" i="23"/>
  <c r="BD7" i="28"/>
  <c r="BE53" i="28"/>
  <c r="BD23" i="28"/>
  <c r="BE50" i="28"/>
  <c r="BE51" i="28"/>
  <c r="BE35" i="28"/>
  <c r="BE49" i="28"/>
  <c r="BD47" i="28"/>
  <c r="BE39" i="28"/>
  <c r="BE38" i="28"/>
  <c r="BD40" i="28"/>
  <c r="BE15" i="28"/>
  <c r="BE31" i="28"/>
  <c r="BE14" i="28"/>
  <c r="E176" i="23"/>
  <c r="BE29" i="28"/>
  <c r="BE13" i="28"/>
  <c r="BD12" i="28"/>
  <c r="BE11" i="28"/>
  <c r="BE8" i="28"/>
  <c r="BC54" i="28"/>
  <c r="BD6" i="28"/>
  <c r="E77" i="23"/>
  <c r="CU31" i="28" l="1"/>
  <c r="CL31" i="28"/>
  <c r="DI31" i="28"/>
  <c r="CC31" i="28"/>
  <c r="DE31" i="28"/>
  <c r="BS31" i="28"/>
  <c r="DA31" i="28"/>
  <c r="CE31" i="28"/>
  <c r="CY31" i="28"/>
  <c r="DB31" i="28"/>
  <c r="CB31" i="28"/>
  <c r="CF31" i="28"/>
  <c r="CJ31" i="28"/>
  <c r="CO31" i="28"/>
  <c r="CW31" i="28"/>
  <c r="DD31" i="28"/>
  <c r="CT31" i="28"/>
  <c r="CG31" i="28"/>
  <c r="BW31" i="28"/>
  <c r="CM31" i="28"/>
  <c r="CP31" i="28"/>
  <c r="CH31" i="28"/>
  <c r="DK31" i="28"/>
  <c r="BT31" i="28"/>
  <c r="CZ31" i="28"/>
  <c r="CX31" i="28"/>
  <c r="BX31" i="28"/>
  <c r="CN31" i="28"/>
  <c r="DC31" i="28"/>
  <c r="CR31" i="28"/>
  <c r="DH31" i="28"/>
  <c r="BM31" i="28"/>
  <c r="BL31" i="28"/>
  <c r="BO31" i="28"/>
  <c r="DG31" i="28"/>
  <c r="BV31" i="28"/>
  <c r="BZ31" i="28"/>
  <c r="DJ31" i="28"/>
  <c r="CS31" i="28"/>
  <c r="BP31" i="28"/>
  <c r="BR31" i="28"/>
  <c r="CK31" i="28"/>
  <c r="BU31" i="28"/>
  <c r="DF31" i="28"/>
  <c r="BN31" i="28"/>
  <c r="CI31" i="28"/>
  <c r="BQ31" i="28"/>
  <c r="CV31" i="28"/>
  <c r="CD31" i="28"/>
  <c r="CQ31" i="28"/>
  <c r="BY31" i="28"/>
  <c r="CA31" i="28"/>
  <c r="CS24" i="28"/>
  <c r="DH24" i="28"/>
  <c r="CI24" i="28"/>
  <c r="BM24" i="28"/>
  <c r="CZ24" i="28"/>
  <c r="DA24" i="28"/>
  <c r="BO24" i="28"/>
  <c r="BL24" i="28"/>
  <c r="CC24" i="28"/>
  <c r="CQ24" i="28"/>
  <c r="CH24" i="28"/>
  <c r="DE24" i="28"/>
  <c r="DF24" i="28"/>
  <c r="CX24" i="28"/>
  <c r="BP24" i="28"/>
  <c r="CM24" i="28"/>
  <c r="CU24" i="28"/>
  <c r="BV24" i="28"/>
  <c r="CG24" i="28"/>
  <c r="DD24" i="28"/>
  <c r="CV24" i="28"/>
  <c r="CD24" i="28"/>
  <c r="BU24" i="28"/>
  <c r="DG24" i="28"/>
  <c r="CE24" i="28"/>
  <c r="BX24" i="28"/>
  <c r="CY24" i="28"/>
  <c r="BT24" i="28"/>
  <c r="DK24" i="28"/>
  <c r="CW24" i="28"/>
  <c r="CN24" i="28"/>
  <c r="DI24" i="28"/>
  <c r="CK24" i="28"/>
  <c r="BQ24" i="28"/>
  <c r="CP24" i="28"/>
  <c r="BZ24" i="28"/>
  <c r="CF24" i="28"/>
  <c r="CO24" i="28"/>
  <c r="CR24" i="28"/>
  <c r="BN24" i="28"/>
  <c r="DB24" i="28"/>
  <c r="BR24" i="28"/>
  <c r="CL24" i="28"/>
  <c r="BW24" i="28"/>
  <c r="BY24" i="28"/>
  <c r="BS24" i="28"/>
  <c r="CJ24" i="28"/>
  <c r="CB24" i="28"/>
  <c r="CT24" i="28"/>
  <c r="CA24" i="28"/>
  <c r="DC24" i="28"/>
  <c r="DJ24" i="28"/>
  <c r="BS10" i="28"/>
  <c r="CC10" i="28"/>
  <c r="CF10" i="28"/>
  <c r="CM10" i="28"/>
  <c r="CV10" i="28"/>
  <c r="CG10" i="28"/>
  <c r="DH10" i="28"/>
  <c r="BL10" i="28"/>
  <c r="CK10" i="28"/>
  <c r="CN10" i="28"/>
  <c r="CX10" i="28"/>
  <c r="DA10" i="28"/>
  <c r="BV10" i="28"/>
  <c r="CH10" i="28"/>
  <c r="CY10" i="28"/>
  <c r="CQ10" i="28"/>
  <c r="DB10" i="28"/>
  <c r="DD10" i="28"/>
  <c r="BW10" i="28"/>
  <c r="CI10" i="28"/>
  <c r="BT10" i="28"/>
  <c r="BM10" i="28"/>
  <c r="DE10" i="28"/>
  <c r="BY10" i="28"/>
  <c r="BX10" i="28"/>
  <c r="BQ10" i="28"/>
  <c r="CP10" i="28"/>
  <c r="BR10" i="28"/>
  <c r="CS10" i="28"/>
  <c r="CA10" i="28"/>
  <c r="CO10" i="28"/>
  <c r="DG10" i="28"/>
  <c r="DF10" i="28"/>
  <c r="BU10" i="28"/>
  <c r="BZ10" i="28"/>
  <c r="DI10" i="28"/>
  <c r="CJ10" i="28"/>
  <c r="DJ10" i="28"/>
  <c r="CR10" i="28"/>
  <c r="CE10" i="28"/>
  <c r="BO10" i="28"/>
  <c r="BN10" i="28"/>
  <c r="CL10" i="28"/>
  <c r="CW10" i="28"/>
  <c r="CZ10" i="28"/>
  <c r="CB10" i="28"/>
  <c r="DC10" i="28"/>
  <c r="BP10" i="28"/>
  <c r="CU10" i="28"/>
  <c r="CD10" i="28"/>
  <c r="CT10" i="28"/>
  <c r="BW29" i="28"/>
  <c r="DD29" i="28"/>
  <c r="CV29" i="28"/>
  <c r="CQ29" i="28"/>
  <c r="DB29" i="28"/>
  <c r="CY29" i="28"/>
  <c r="BY29" i="28"/>
  <c r="BS29" i="28"/>
  <c r="DA29" i="28"/>
  <c r="CN29" i="28"/>
  <c r="BR29" i="28"/>
  <c r="CC29" i="28"/>
  <c r="CK29" i="28"/>
  <c r="BM29" i="28"/>
  <c r="DJ29" i="28"/>
  <c r="BP29" i="28"/>
  <c r="BV29" i="28"/>
  <c r="BT29" i="28"/>
  <c r="CP29" i="28"/>
  <c r="CO29" i="28"/>
  <c r="BO29" i="28"/>
  <c r="CS29" i="28"/>
  <c r="DK29" i="28"/>
  <c r="DE29" i="28"/>
  <c r="DH29" i="28"/>
  <c r="CU29" i="28"/>
  <c r="CR29" i="28"/>
  <c r="CD29" i="28"/>
  <c r="DG29" i="28"/>
  <c r="CB29" i="28"/>
  <c r="CW29" i="28"/>
  <c r="BX29" i="28"/>
  <c r="BL29" i="28"/>
  <c r="CJ29" i="28"/>
  <c r="CT29" i="28"/>
  <c r="CA29" i="28"/>
  <c r="CF29" i="28"/>
  <c r="CE29" i="28"/>
  <c r="DF29" i="28"/>
  <c r="DC29" i="28"/>
  <c r="CI29" i="28"/>
  <c r="DI29" i="28"/>
  <c r="BU29" i="28"/>
  <c r="CX29" i="28"/>
  <c r="BN29" i="28"/>
  <c r="CG29" i="28"/>
  <c r="CH29" i="28"/>
  <c r="CL29" i="28"/>
  <c r="BZ29" i="28"/>
  <c r="CM29" i="28"/>
  <c r="BQ29" i="28"/>
  <c r="CZ29" i="28"/>
  <c r="DH36" i="28"/>
  <c r="BP36" i="28"/>
  <c r="CK36" i="28"/>
  <c r="CE36" i="28"/>
  <c r="CT36" i="28"/>
  <c r="CG36" i="28"/>
  <c r="DI36" i="28"/>
  <c r="BT36" i="28"/>
  <c r="BU36" i="28"/>
  <c r="DJ36" i="28"/>
  <c r="BV36" i="28"/>
  <c r="DE36" i="28"/>
  <c r="DK36" i="28"/>
  <c r="BW36" i="28"/>
  <c r="BY36" i="28"/>
  <c r="CL36" i="28"/>
  <c r="CZ36" i="28"/>
  <c r="DG36" i="28"/>
  <c r="BX36" i="28"/>
  <c r="CM36" i="28"/>
  <c r="DF36" i="28"/>
  <c r="CX36" i="28"/>
  <c r="CB36" i="28"/>
  <c r="CN36" i="28"/>
  <c r="CP36" i="28"/>
  <c r="BR36" i="28"/>
  <c r="DC36" i="28"/>
  <c r="BN36" i="28"/>
  <c r="DA36" i="28"/>
  <c r="CC36" i="28"/>
  <c r="CR36" i="28"/>
  <c r="BS36" i="28"/>
  <c r="DD36" i="28"/>
  <c r="BO36" i="28"/>
  <c r="CW36" i="28"/>
  <c r="CS36" i="28"/>
  <c r="CU36" i="28"/>
  <c r="CV36" i="28"/>
  <c r="CY36" i="28"/>
  <c r="CI36" i="28"/>
  <c r="CO36" i="28"/>
  <c r="CA36" i="28"/>
  <c r="CD36" i="28"/>
  <c r="BZ36" i="28"/>
  <c r="CQ36" i="28"/>
  <c r="CH36" i="28"/>
  <c r="CF36" i="28"/>
  <c r="CJ36" i="28"/>
  <c r="BL36" i="28"/>
  <c r="BQ36" i="28"/>
  <c r="DB36" i="28"/>
  <c r="BM36" i="28"/>
  <c r="CR52" i="28"/>
  <c r="DA52" i="28"/>
  <c r="BS52" i="28"/>
  <c r="CS52" i="28"/>
  <c r="BY52" i="28"/>
  <c r="CE52" i="28"/>
  <c r="BL52" i="28"/>
  <c r="CO52" i="28"/>
  <c r="CY52" i="28"/>
  <c r="CU52" i="28"/>
  <c r="CJ52" i="28"/>
  <c r="CK52" i="28"/>
  <c r="BN52" i="28"/>
  <c r="CB52" i="28"/>
  <c r="BQ52" i="28"/>
  <c r="BP52" i="28"/>
  <c r="CP52" i="28"/>
  <c r="DJ52" i="28"/>
  <c r="CG52" i="28"/>
  <c r="BT52" i="28"/>
  <c r="DF52" i="28"/>
  <c r="CW52" i="28"/>
  <c r="BV52" i="28"/>
  <c r="CX52" i="28"/>
  <c r="DG52" i="28"/>
  <c r="CQ52" i="28"/>
  <c r="DH52" i="28"/>
  <c r="CT52" i="28"/>
  <c r="CI52" i="28"/>
  <c r="CV52" i="28"/>
  <c r="BW52" i="28"/>
  <c r="BX52" i="28"/>
  <c r="CD52" i="28"/>
  <c r="BM52" i="28"/>
  <c r="BU52" i="28"/>
  <c r="DK52" i="28"/>
  <c r="DB52" i="28"/>
  <c r="BO52" i="28"/>
  <c r="DC52" i="28"/>
  <c r="DI52" i="28"/>
  <c r="BZ52" i="28"/>
  <c r="DD52" i="28"/>
  <c r="CA52" i="28"/>
  <c r="CC52" i="28"/>
  <c r="DE52" i="28"/>
  <c r="CZ52" i="28"/>
  <c r="CF52" i="28"/>
  <c r="CL52" i="28"/>
  <c r="CM52" i="28"/>
  <c r="BR52" i="28"/>
  <c r="CH52" i="28"/>
  <c r="CN52" i="28"/>
  <c r="CQ40" i="28"/>
  <c r="CG40" i="28"/>
  <c r="CS40" i="28"/>
  <c r="CR40" i="28"/>
  <c r="BS40" i="28"/>
  <c r="BZ40" i="28"/>
  <c r="CX40" i="28"/>
  <c r="CW40" i="28"/>
  <c r="CD40" i="28"/>
  <c r="CB40" i="28"/>
  <c r="BQ40" i="28"/>
  <c r="DJ40" i="28"/>
  <c r="BL40" i="28"/>
  <c r="BY40" i="28"/>
  <c r="CV40" i="28"/>
  <c r="BM40" i="28"/>
  <c r="DE40" i="28"/>
  <c r="BP40" i="28"/>
  <c r="DH40" i="28"/>
  <c r="BR40" i="28"/>
  <c r="CJ40" i="28"/>
  <c r="BN40" i="28"/>
  <c r="BT40" i="28"/>
  <c r="BU40" i="28"/>
  <c r="CA40" i="28"/>
  <c r="BX40" i="28"/>
  <c r="CO40" i="28"/>
  <c r="CP40" i="28"/>
  <c r="CK40" i="28"/>
  <c r="CT40" i="28"/>
  <c r="CY40" i="28"/>
  <c r="CH40" i="28"/>
  <c r="DC40" i="28"/>
  <c r="CI40" i="28"/>
  <c r="BO40" i="28"/>
  <c r="DA40" i="28"/>
  <c r="CU40" i="28"/>
  <c r="CZ40" i="28"/>
  <c r="DI40" i="28"/>
  <c r="CC40" i="28"/>
  <c r="BV40" i="28"/>
  <c r="DD40" i="28"/>
  <c r="DG40" i="28"/>
  <c r="CE40" i="28"/>
  <c r="BW40" i="28"/>
  <c r="DK40" i="28"/>
  <c r="DF40" i="28"/>
  <c r="CN40" i="28"/>
  <c r="CF40" i="28"/>
  <c r="CM40" i="28"/>
  <c r="DB40" i="28"/>
  <c r="CL40" i="28"/>
  <c r="BS22" i="28"/>
  <c r="CW22" i="28"/>
  <c r="CU22" i="28"/>
  <c r="CO22" i="28"/>
  <c r="DH22" i="28"/>
  <c r="CV22" i="28"/>
  <c r="BT22" i="28"/>
  <c r="BW22" i="28"/>
  <c r="CE22" i="28"/>
  <c r="CR22" i="28"/>
  <c r="CQ22" i="28"/>
  <c r="BX22" i="28"/>
  <c r="BY22" i="28"/>
  <c r="BL22" i="28"/>
  <c r="CS22" i="28"/>
  <c r="CX22" i="28"/>
  <c r="BQ22" i="28"/>
  <c r="CT22" i="28"/>
  <c r="BZ22" i="28"/>
  <c r="BU22" i="28"/>
  <c r="DJ22" i="28"/>
  <c r="CY22" i="28"/>
  <c r="DI22" i="28"/>
  <c r="CA22" i="28"/>
  <c r="CG22" i="28"/>
  <c r="CB22" i="28"/>
  <c r="DA22" i="28"/>
  <c r="CK22" i="28"/>
  <c r="CI22" i="28"/>
  <c r="CL22" i="28"/>
  <c r="DC22" i="28"/>
  <c r="CF22" i="28"/>
  <c r="CN22" i="28"/>
  <c r="CP22" i="28"/>
  <c r="DE22" i="28"/>
  <c r="DG22" i="28"/>
  <c r="DB22" i="28"/>
  <c r="DD22" i="28"/>
  <c r="CM22" i="28"/>
  <c r="BN22" i="28"/>
  <c r="CJ22" i="28"/>
  <c r="BO22" i="28"/>
  <c r="BP22" i="28"/>
  <c r="BV22" i="28"/>
  <c r="BM22" i="28"/>
  <c r="CD22" i="28"/>
  <c r="BR22" i="28"/>
  <c r="CC22" i="28"/>
  <c r="CZ22" i="28"/>
  <c r="CH22" i="28"/>
  <c r="DF22" i="28"/>
  <c r="DE28" i="28"/>
  <c r="CP28" i="28"/>
  <c r="CW28" i="28"/>
  <c r="BP28" i="28"/>
  <c r="BS28" i="28"/>
  <c r="DD28" i="28"/>
  <c r="DJ28" i="28"/>
  <c r="BL28" i="28"/>
  <c r="CO28" i="28"/>
  <c r="DI28" i="28"/>
  <c r="CA28" i="28"/>
  <c r="CF28" i="28"/>
  <c r="CQ28" i="28"/>
  <c r="BT28" i="28"/>
  <c r="BO28" i="28"/>
  <c r="BR28" i="28"/>
  <c r="CH28" i="28"/>
  <c r="DG28" i="28"/>
  <c r="CE28" i="28"/>
  <c r="CT28" i="28"/>
  <c r="CR28" i="28"/>
  <c r="DA28" i="28"/>
  <c r="CM28" i="28"/>
  <c r="BZ28" i="28"/>
  <c r="BM28" i="28"/>
  <c r="BY28" i="28"/>
  <c r="CY28" i="28"/>
  <c r="CX28" i="28"/>
  <c r="DK28" i="28"/>
  <c r="CB28" i="28"/>
  <c r="DB28" i="28"/>
  <c r="CN28" i="28"/>
  <c r="CG28" i="28"/>
  <c r="CI28" i="28"/>
  <c r="CV28" i="28"/>
  <c r="CL28" i="28"/>
  <c r="BU28" i="28"/>
  <c r="CD28" i="28"/>
  <c r="CZ28" i="28"/>
  <c r="CC28" i="28"/>
  <c r="BX28" i="28"/>
  <c r="BQ28" i="28"/>
  <c r="CS28" i="28"/>
  <c r="DF28" i="28"/>
  <c r="BV28" i="28"/>
  <c r="CU28" i="28"/>
  <c r="BN28" i="28"/>
  <c r="DC28" i="28"/>
  <c r="DH28" i="28"/>
  <c r="CJ28" i="28"/>
  <c r="CK28" i="28"/>
  <c r="BW28" i="28"/>
  <c r="BR8" i="28"/>
  <c r="BP8" i="28"/>
  <c r="BM8" i="28"/>
  <c r="CO8" i="28"/>
  <c r="CY8" i="28"/>
  <c r="BQ8" i="28"/>
  <c r="CH8" i="28"/>
  <c r="BN8" i="28"/>
  <c r="CG8" i="28"/>
  <c r="CX8" i="28"/>
  <c r="CJ8" i="28"/>
  <c r="CC8" i="28"/>
  <c r="BS8" i="28"/>
  <c r="BT8" i="28"/>
  <c r="CZ8" i="28"/>
  <c r="CP8" i="28"/>
  <c r="CD8" i="28"/>
  <c r="CR8" i="28"/>
  <c r="DH8" i="28"/>
  <c r="CT8" i="28"/>
  <c r="DA8" i="28"/>
  <c r="CI8" i="28"/>
  <c r="CE8" i="28"/>
  <c r="CL8" i="28"/>
  <c r="BL8" i="28"/>
  <c r="DF8" i="28"/>
  <c r="CV8" i="28"/>
  <c r="DB8" i="28"/>
  <c r="CW8" i="28"/>
  <c r="CF8" i="28"/>
  <c r="DJ8" i="28"/>
  <c r="BY8" i="28"/>
  <c r="CA8" i="28"/>
  <c r="CU8" i="28"/>
  <c r="CN8" i="28"/>
  <c r="DG8" i="28"/>
  <c r="DC8" i="28"/>
  <c r="BW8" i="28"/>
  <c r="CK8" i="28"/>
  <c r="CB8" i="28"/>
  <c r="BU8" i="28"/>
  <c r="BV8" i="28"/>
  <c r="DE8" i="28"/>
  <c r="BO8" i="28"/>
  <c r="BZ8" i="28"/>
  <c r="DI8" i="28"/>
  <c r="DD8" i="28"/>
  <c r="BX8" i="28"/>
  <c r="CQ8" i="28"/>
  <c r="CS8" i="28"/>
  <c r="CM8" i="28"/>
  <c r="BU43" i="28"/>
  <c r="BX43" i="28"/>
  <c r="BP43" i="28"/>
  <c r="BS43" i="28"/>
  <c r="DG43" i="28"/>
  <c r="CN43" i="28"/>
  <c r="CV43" i="28"/>
  <c r="CG43" i="28"/>
  <c r="CY43" i="28"/>
  <c r="BQ43" i="28"/>
  <c r="CH43" i="28"/>
  <c r="BZ43" i="28"/>
  <c r="CM43" i="28"/>
  <c r="BM43" i="28"/>
  <c r="CX43" i="28"/>
  <c r="BO43" i="28"/>
  <c r="DC43" i="28"/>
  <c r="BT43" i="28"/>
  <c r="DI43" i="28"/>
  <c r="BW43" i="28"/>
  <c r="CO43" i="28"/>
  <c r="CQ43" i="28"/>
  <c r="CL43" i="28"/>
  <c r="DJ43" i="28"/>
  <c r="CS43" i="28"/>
  <c r="DB43" i="28"/>
  <c r="CU43" i="28"/>
  <c r="CF43" i="28"/>
  <c r="DH43" i="28"/>
  <c r="DF43" i="28"/>
  <c r="CI43" i="28"/>
  <c r="DE43" i="28"/>
  <c r="DK43" i="28"/>
  <c r="CK43" i="28"/>
  <c r="DA43" i="28"/>
  <c r="CB43" i="28"/>
  <c r="BV43" i="28"/>
  <c r="BN43" i="28"/>
  <c r="CD43" i="28"/>
  <c r="CA43" i="28"/>
  <c r="CZ43" i="28"/>
  <c r="BY43" i="28"/>
  <c r="DD43" i="28"/>
  <c r="CP43" i="28"/>
  <c r="BL43" i="28"/>
  <c r="CW43" i="28"/>
  <c r="CJ43" i="28"/>
  <c r="BR43" i="28"/>
  <c r="CR43" i="28"/>
  <c r="CT43" i="28"/>
  <c r="CE43" i="28"/>
  <c r="CC43" i="28"/>
  <c r="BX19" i="28"/>
  <c r="CJ19" i="28"/>
  <c r="BO19" i="28"/>
  <c r="CY19" i="28"/>
  <c r="CK19" i="28"/>
  <c r="CA19" i="28"/>
  <c r="CW19" i="28"/>
  <c r="DF19" i="28"/>
  <c r="CL19" i="28"/>
  <c r="CG19" i="28"/>
  <c r="CM19" i="28"/>
  <c r="DB19" i="28"/>
  <c r="BT19" i="28"/>
  <c r="BQ19" i="28"/>
  <c r="CN19" i="28"/>
  <c r="BU19" i="28"/>
  <c r="BW19" i="28"/>
  <c r="BR19" i="28"/>
  <c r="BY19" i="28"/>
  <c r="CB19" i="28"/>
  <c r="CF19" i="28"/>
  <c r="CT19" i="28"/>
  <c r="CO19" i="28"/>
  <c r="CQ19" i="28"/>
  <c r="BL19" i="28"/>
  <c r="CV19" i="28"/>
  <c r="CZ19" i="28"/>
  <c r="CP19" i="28"/>
  <c r="BV19" i="28"/>
  <c r="DJ19" i="28"/>
  <c r="CS19" i="28"/>
  <c r="DC19" i="28"/>
  <c r="BZ19" i="28"/>
  <c r="CX19" i="28"/>
  <c r="CD19" i="28"/>
  <c r="BN19" i="28"/>
  <c r="DD19" i="28"/>
  <c r="DH19" i="28"/>
  <c r="CR19" i="28"/>
  <c r="BP19" i="28"/>
  <c r="DI19" i="28"/>
  <c r="DA19" i="28"/>
  <c r="CH19" i="28"/>
  <c r="BS19" i="28"/>
  <c r="BM19" i="28"/>
  <c r="DG19" i="28"/>
  <c r="DE19" i="28"/>
  <c r="CI19" i="28"/>
  <c r="CC19" i="28"/>
  <c r="CU19" i="28"/>
  <c r="CE19" i="28"/>
  <c r="DJ53" i="28"/>
  <c r="CJ53" i="28"/>
  <c r="CI53" i="28"/>
  <c r="DK53" i="28"/>
  <c r="CB53" i="28"/>
  <c r="CD53" i="28"/>
  <c r="BP53" i="28"/>
  <c r="CZ53" i="28"/>
  <c r="CY53" i="28"/>
  <c r="CE53" i="28"/>
  <c r="CX53" i="28"/>
  <c r="BU53" i="28"/>
  <c r="DE53" i="28"/>
  <c r="BQ53" i="28"/>
  <c r="DF53" i="28"/>
  <c r="DH53" i="28"/>
  <c r="CG53" i="28"/>
  <c r="BR53" i="28"/>
  <c r="CF53" i="28"/>
  <c r="CK53" i="28"/>
  <c r="CL53" i="28"/>
  <c r="BW53" i="28"/>
  <c r="BX53" i="28"/>
  <c r="DC53" i="28"/>
  <c r="CP53" i="28"/>
  <c r="CH53" i="28"/>
  <c r="CA53" i="28"/>
  <c r="CU53" i="28"/>
  <c r="DG53" i="28"/>
  <c r="BM53" i="28"/>
  <c r="CW53" i="28"/>
  <c r="CV53" i="28"/>
  <c r="CC53" i="28"/>
  <c r="DD53" i="28"/>
  <c r="DB53" i="28"/>
  <c r="CQ53" i="28"/>
  <c r="BZ53" i="28"/>
  <c r="BS53" i="28"/>
  <c r="CR53" i="28"/>
  <c r="CM53" i="28"/>
  <c r="DI53" i="28"/>
  <c r="BO53" i="28"/>
  <c r="BV53" i="28"/>
  <c r="CN53" i="28"/>
  <c r="CO53" i="28"/>
  <c r="BT53" i="28"/>
  <c r="BY53" i="28"/>
  <c r="DA53" i="28"/>
  <c r="BL53" i="28"/>
  <c r="CS53" i="28"/>
  <c r="CT53" i="28"/>
  <c r="BN53" i="28"/>
  <c r="CR38" i="28"/>
  <c r="CH38" i="28"/>
  <c r="DI38" i="28"/>
  <c r="CE38" i="28"/>
  <c r="BX38" i="28"/>
  <c r="BT38" i="28"/>
  <c r="BO38" i="28"/>
  <c r="CS38" i="28"/>
  <c r="CP38" i="28"/>
  <c r="CA38" i="28"/>
  <c r="DB38" i="28"/>
  <c r="BM38" i="28"/>
  <c r="BZ38" i="28"/>
  <c r="CI38" i="28"/>
  <c r="DJ38" i="28"/>
  <c r="DD38" i="28"/>
  <c r="BU38" i="28"/>
  <c r="CT38" i="28"/>
  <c r="CW38" i="28"/>
  <c r="CJ38" i="28"/>
  <c r="DE38" i="28"/>
  <c r="CB38" i="28"/>
  <c r="DF38" i="28"/>
  <c r="CV38" i="28"/>
  <c r="DG38" i="28"/>
  <c r="BR38" i="28"/>
  <c r="BW38" i="28"/>
  <c r="BV38" i="28"/>
  <c r="CD38" i="28"/>
  <c r="DA38" i="28"/>
  <c r="CM38" i="28"/>
  <c r="BY38" i="28"/>
  <c r="CL38" i="28"/>
  <c r="DH38" i="28"/>
  <c r="BS38" i="28"/>
  <c r="CN38" i="28"/>
  <c r="CF38" i="28"/>
  <c r="CX38" i="28"/>
  <c r="CG38" i="28"/>
  <c r="DC38" i="28"/>
  <c r="BL38" i="28"/>
  <c r="CZ38" i="28"/>
  <c r="BP38" i="28"/>
  <c r="CC38" i="28"/>
  <c r="CQ38" i="28"/>
  <c r="CY38" i="28"/>
  <c r="CO38" i="28"/>
  <c r="DK38" i="28"/>
  <c r="BQ38" i="28"/>
  <c r="CK38" i="28"/>
  <c r="CU38" i="28"/>
  <c r="BN38" i="28"/>
  <c r="CI35" i="28"/>
  <c r="CR35" i="28"/>
  <c r="CQ35" i="28"/>
  <c r="CL35" i="28"/>
  <c r="CS35" i="28"/>
  <c r="DC35" i="28"/>
  <c r="BZ35" i="28"/>
  <c r="DB35" i="28"/>
  <c r="CW35" i="28"/>
  <c r="BO35" i="28"/>
  <c r="CB35" i="28"/>
  <c r="CJ35" i="28"/>
  <c r="CY35" i="28"/>
  <c r="BX35" i="28"/>
  <c r="BV35" i="28"/>
  <c r="DA35" i="28"/>
  <c r="CN35" i="28"/>
  <c r="BW35" i="28"/>
  <c r="DG35" i="28"/>
  <c r="CU35" i="28"/>
  <c r="CM35" i="28"/>
  <c r="BM35" i="28"/>
  <c r="DK35" i="28"/>
  <c r="BN35" i="28"/>
  <c r="BR35" i="28"/>
  <c r="CF35" i="28"/>
  <c r="DJ35" i="28"/>
  <c r="BS35" i="28"/>
  <c r="CO35" i="28"/>
  <c r="BP35" i="28"/>
  <c r="BT35" i="28"/>
  <c r="DE35" i="28"/>
  <c r="CV35" i="28"/>
  <c r="BU35" i="28"/>
  <c r="CG35" i="28"/>
  <c r="CC35" i="28"/>
  <c r="CE35" i="28"/>
  <c r="DD35" i="28"/>
  <c r="BY35" i="28"/>
  <c r="DH35" i="28"/>
  <c r="DF35" i="28"/>
  <c r="CT35" i="28"/>
  <c r="CX35" i="28"/>
  <c r="CH35" i="28"/>
  <c r="CP35" i="28"/>
  <c r="CD35" i="28"/>
  <c r="CK35" i="28"/>
  <c r="DI35" i="28"/>
  <c r="BQ35" i="28"/>
  <c r="CZ35" i="28"/>
  <c r="BL35" i="28"/>
  <c r="CA35" i="28"/>
  <c r="CC46" i="28"/>
  <c r="DE46" i="28"/>
  <c r="CI46" i="28"/>
  <c r="CD46" i="28"/>
  <c r="CY46" i="28"/>
  <c r="CH46" i="28"/>
  <c r="BW46" i="28"/>
  <c r="BN46" i="28"/>
  <c r="CU46" i="28"/>
  <c r="BM46" i="28"/>
  <c r="CX46" i="28"/>
  <c r="CJ46" i="28"/>
  <c r="BX46" i="28"/>
  <c r="BQ46" i="28"/>
  <c r="BL46" i="28"/>
  <c r="CR46" i="28"/>
  <c r="CK46" i="28"/>
  <c r="CO46" i="28"/>
  <c r="BT46" i="28"/>
  <c r="CT46" i="28"/>
  <c r="DK46" i="28"/>
  <c r="DA46" i="28"/>
  <c r="DH46" i="28"/>
  <c r="CN46" i="28"/>
  <c r="BU46" i="28"/>
  <c r="CE46" i="28"/>
  <c r="CP46" i="28"/>
  <c r="DF46" i="28"/>
  <c r="CF46" i="28"/>
  <c r="DD46" i="28"/>
  <c r="BP46" i="28"/>
  <c r="CS46" i="28"/>
  <c r="BS46" i="28"/>
  <c r="CA46" i="28"/>
  <c r="DB46" i="28"/>
  <c r="DG46" i="28"/>
  <c r="BV46" i="28"/>
  <c r="BR46" i="28"/>
  <c r="BZ46" i="28"/>
  <c r="CL46" i="28"/>
  <c r="CG46" i="28"/>
  <c r="DJ46" i="28"/>
  <c r="CM46" i="28"/>
  <c r="BY46" i="28"/>
  <c r="CB46" i="28"/>
  <c r="CV46" i="28"/>
  <c r="DI46" i="28"/>
  <c r="CW46" i="28"/>
  <c r="CZ46" i="28"/>
  <c r="BO46" i="28"/>
  <c r="CQ46" i="28"/>
  <c r="DC46" i="28"/>
  <c r="CJ12" i="28"/>
  <c r="CV12" i="28"/>
  <c r="CC12" i="28"/>
  <c r="CL12" i="28"/>
  <c r="CR12" i="28"/>
  <c r="CW12" i="28"/>
  <c r="BV12" i="28"/>
  <c r="BQ12" i="28"/>
  <c r="BR12" i="28"/>
  <c r="BL12" i="28"/>
  <c r="CB12" i="28"/>
  <c r="CG12" i="28"/>
  <c r="CX12" i="28"/>
  <c r="CZ12" i="28"/>
  <c r="CO12" i="28"/>
  <c r="BN12" i="28"/>
  <c r="BZ12" i="28"/>
  <c r="DB12" i="28"/>
  <c r="DG12" i="28"/>
  <c r="CD12" i="28"/>
  <c r="DA12" i="28"/>
  <c r="DD12" i="28"/>
  <c r="CP12" i="28"/>
  <c r="CT12" i="28"/>
  <c r="DE12" i="28"/>
  <c r="CU12" i="28"/>
  <c r="DJ12" i="28"/>
  <c r="BW12" i="28"/>
  <c r="DF12" i="28"/>
  <c r="BO12" i="28"/>
  <c r="DH12" i="28"/>
  <c r="BP12" i="28"/>
  <c r="CS12" i="28"/>
  <c r="CM12" i="28"/>
  <c r="CN12" i="28"/>
  <c r="CF12" i="28"/>
  <c r="BM12" i="28"/>
  <c r="DI12" i="28"/>
  <c r="CQ12" i="28"/>
  <c r="BU12" i="28"/>
  <c r="BX12" i="28"/>
  <c r="DC12" i="28"/>
  <c r="BT12" i="28"/>
  <c r="CA12" i="28"/>
  <c r="BY12" i="28"/>
  <c r="CI12" i="28"/>
  <c r="CE12" i="28"/>
  <c r="BS12" i="28"/>
  <c r="CH12" i="28"/>
  <c r="CK12" i="28"/>
  <c r="CY12" i="28"/>
  <c r="CR30" i="28"/>
  <c r="BY30" i="28"/>
  <c r="BP30" i="28"/>
  <c r="CL30" i="28"/>
  <c r="CS30" i="28"/>
  <c r="BZ30" i="28"/>
  <c r="DH30" i="28"/>
  <c r="DG30" i="28"/>
  <c r="CT30" i="28"/>
  <c r="CP30" i="28"/>
  <c r="CF30" i="28"/>
  <c r="CV30" i="28"/>
  <c r="CW30" i="28"/>
  <c r="DI30" i="28"/>
  <c r="DE30" i="28"/>
  <c r="DJ30" i="28"/>
  <c r="CG30" i="28"/>
  <c r="CY30" i="28"/>
  <c r="BQ30" i="28"/>
  <c r="BW30" i="28"/>
  <c r="CX30" i="28"/>
  <c r="CO30" i="28"/>
  <c r="DF30" i="28"/>
  <c r="CA30" i="28"/>
  <c r="BL30" i="28"/>
  <c r="CB30" i="28"/>
  <c r="DA30" i="28"/>
  <c r="BN30" i="28"/>
  <c r="CN30" i="28"/>
  <c r="CD30" i="28"/>
  <c r="DD30" i="28"/>
  <c r="CH30" i="28"/>
  <c r="BU30" i="28"/>
  <c r="BM30" i="28"/>
  <c r="BS30" i="28"/>
  <c r="BO30" i="28"/>
  <c r="CI30" i="28"/>
  <c r="CJ30" i="28"/>
  <c r="CZ30" i="28"/>
  <c r="CQ30" i="28"/>
  <c r="CC30" i="28"/>
  <c r="DB30" i="28"/>
  <c r="DK30" i="28"/>
  <c r="BT30" i="28"/>
  <c r="BR30" i="28"/>
  <c r="CU30" i="28"/>
  <c r="CM30" i="28"/>
  <c r="DC30" i="28"/>
  <c r="BX30" i="28"/>
  <c r="CE30" i="28"/>
  <c r="BV30" i="28"/>
  <c r="CK30" i="28"/>
  <c r="CU21" i="28"/>
  <c r="DG21" i="28"/>
  <c r="CI21" i="28"/>
  <c r="BX21" i="28"/>
  <c r="BP21" i="28"/>
  <c r="DB21" i="28"/>
  <c r="CN21" i="28"/>
  <c r="CB21" i="28"/>
  <c r="CJ21" i="28"/>
  <c r="BY21" i="28"/>
  <c r="CO21" i="28"/>
  <c r="CE21" i="28"/>
  <c r="CP21" i="28"/>
  <c r="DJ21" i="28"/>
  <c r="CC21" i="28"/>
  <c r="CQ21" i="28"/>
  <c r="BM21" i="28"/>
  <c r="BZ21" i="28"/>
  <c r="CT21" i="28"/>
  <c r="BN21" i="28"/>
  <c r="CS21" i="28"/>
  <c r="DD21" i="28"/>
  <c r="CG21" i="28"/>
  <c r="BO21" i="28"/>
  <c r="DH21" i="28"/>
  <c r="CF21" i="28"/>
  <c r="CR21" i="28"/>
  <c r="CX21" i="28"/>
  <c r="DE21" i="28"/>
  <c r="CW21" i="28"/>
  <c r="DI21" i="28"/>
  <c r="CM21" i="28"/>
  <c r="CL21" i="28"/>
  <c r="DC21" i="28"/>
  <c r="BV21" i="28"/>
  <c r="BT21" i="28"/>
  <c r="DA21" i="28"/>
  <c r="BR21" i="28"/>
  <c r="CV21" i="28"/>
  <c r="BW21" i="28"/>
  <c r="CA21" i="28"/>
  <c r="BL21" i="28"/>
  <c r="CY21" i="28"/>
  <c r="CZ21" i="28"/>
  <c r="CD21" i="28"/>
  <c r="CH21" i="28"/>
  <c r="BQ21" i="28"/>
  <c r="DF21" i="28"/>
  <c r="BS21" i="28"/>
  <c r="BU21" i="28"/>
  <c r="CK21" i="28"/>
  <c r="CA42" i="28"/>
  <c r="CE42" i="28"/>
  <c r="CJ42" i="28"/>
  <c r="CO42" i="28"/>
  <c r="CQ42" i="28"/>
  <c r="CU42" i="28"/>
  <c r="CZ42" i="28"/>
  <c r="DG42" i="28"/>
  <c r="DK42" i="28"/>
  <c r="BU42" i="28"/>
  <c r="DJ42" i="28"/>
  <c r="DA42" i="28"/>
  <c r="BW42" i="28"/>
  <c r="BO42" i="28"/>
  <c r="BZ42" i="28"/>
  <c r="BP42" i="28"/>
  <c r="CM42" i="28"/>
  <c r="CP42" i="28"/>
  <c r="CF42" i="28"/>
  <c r="DC42" i="28"/>
  <c r="DF42" i="28"/>
  <c r="CV42" i="28"/>
  <c r="BX42" i="28"/>
  <c r="BL42" i="28"/>
  <c r="CN42" i="28"/>
  <c r="BQ42" i="28"/>
  <c r="CB42" i="28"/>
  <c r="CG42" i="28"/>
  <c r="DD42" i="28"/>
  <c r="CR42" i="28"/>
  <c r="CW42" i="28"/>
  <c r="DE42" i="28"/>
  <c r="CY42" i="28"/>
  <c r="DH42" i="28"/>
  <c r="BT42" i="28"/>
  <c r="DB42" i="28"/>
  <c r="BY42" i="28"/>
  <c r="CK42" i="28"/>
  <c r="BV42" i="28"/>
  <c r="CC42" i="28"/>
  <c r="BM42" i="28"/>
  <c r="CD42" i="28"/>
  <c r="CT42" i="28"/>
  <c r="CH42" i="28"/>
  <c r="CX42" i="28"/>
  <c r="BR42" i="28"/>
  <c r="CS42" i="28"/>
  <c r="CL42" i="28"/>
  <c r="DI42" i="28"/>
  <c r="BN42" i="28"/>
  <c r="BS42" i="28"/>
  <c r="CI42" i="28"/>
  <c r="CB49" i="28"/>
  <c r="DK49" i="28"/>
  <c r="CX49" i="28"/>
  <c r="BM49" i="28"/>
  <c r="DG49" i="28"/>
  <c r="BY49" i="28"/>
  <c r="CJ49" i="28"/>
  <c r="BN49" i="28"/>
  <c r="CC49" i="28"/>
  <c r="CM49" i="28"/>
  <c r="CZ49" i="28"/>
  <c r="CT49" i="28"/>
  <c r="CK49" i="28"/>
  <c r="CD49" i="28"/>
  <c r="BU49" i="28"/>
  <c r="BT49" i="28"/>
  <c r="CQ49" i="28"/>
  <c r="CU49" i="28"/>
  <c r="DB49" i="28"/>
  <c r="CH49" i="28"/>
  <c r="BV49" i="28"/>
  <c r="BZ49" i="28"/>
  <c r="BX49" i="28"/>
  <c r="CY49" i="28"/>
  <c r="BL49" i="28"/>
  <c r="CN49" i="28"/>
  <c r="BW49" i="28"/>
  <c r="DD49" i="28"/>
  <c r="DA49" i="28"/>
  <c r="BP49" i="28"/>
  <c r="CA49" i="28"/>
  <c r="CO49" i="28"/>
  <c r="DJ49" i="28"/>
  <c r="DE49" i="28"/>
  <c r="BO49" i="28"/>
  <c r="CS49" i="28"/>
  <c r="BS49" i="28"/>
  <c r="DH49" i="28"/>
  <c r="CL49" i="28"/>
  <c r="CP49" i="28"/>
  <c r="CF49" i="28"/>
  <c r="CV49" i="28"/>
  <c r="DC49" i="28"/>
  <c r="CW49" i="28"/>
  <c r="DF49" i="28"/>
  <c r="BR49" i="28"/>
  <c r="CE49" i="28"/>
  <c r="BQ49" i="28"/>
  <c r="CR49" i="28"/>
  <c r="CG49" i="28"/>
  <c r="CI49" i="28"/>
  <c r="DI49" i="28"/>
  <c r="DD50" i="28"/>
  <c r="CA50" i="28"/>
  <c r="CO50" i="28"/>
  <c r="BU50" i="28"/>
  <c r="CS50" i="28"/>
  <c r="CX50" i="28"/>
  <c r="CM50" i="28"/>
  <c r="DK50" i="28"/>
  <c r="DG50" i="28"/>
  <c r="BS50" i="28"/>
  <c r="BV50" i="28"/>
  <c r="CT50" i="28"/>
  <c r="CJ50" i="28"/>
  <c r="CG50" i="28"/>
  <c r="DF50" i="28"/>
  <c r="CD50" i="28"/>
  <c r="CY50" i="28"/>
  <c r="DA50" i="28"/>
  <c r="BX50" i="28"/>
  <c r="CV50" i="28"/>
  <c r="CI50" i="28"/>
  <c r="BQ50" i="28"/>
  <c r="CQ50" i="28"/>
  <c r="BN50" i="28"/>
  <c r="CK50" i="28"/>
  <c r="DI50" i="28"/>
  <c r="CU50" i="28"/>
  <c r="DC50" i="28"/>
  <c r="BZ50" i="28"/>
  <c r="BW50" i="28"/>
  <c r="CN50" i="28"/>
  <c r="CP50" i="28"/>
  <c r="DH50" i="28"/>
  <c r="BY50" i="28"/>
  <c r="CR50" i="28"/>
  <c r="BL50" i="28"/>
  <c r="BM50" i="28"/>
  <c r="CH50" i="28"/>
  <c r="CC50" i="28"/>
  <c r="DJ50" i="28"/>
  <c r="CB50" i="28"/>
  <c r="CE50" i="28"/>
  <c r="CW50" i="28"/>
  <c r="CF50" i="28"/>
  <c r="CZ50" i="28"/>
  <c r="BT50" i="28"/>
  <c r="BO50" i="28"/>
  <c r="DE50" i="28"/>
  <c r="BP50" i="28"/>
  <c r="DB50" i="28"/>
  <c r="BR50" i="28"/>
  <c r="CL50" i="28"/>
  <c r="BX26" i="28"/>
  <c r="CZ26" i="28"/>
  <c r="BQ26" i="28"/>
  <c r="CR26" i="28"/>
  <c r="BS26" i="28"/>
  <c r="CN26" i="28"/>
  <c r="DJ26" i="28"/>
  <c r="CK26" i="28"/>
  <c r="BR26" i="28"/>
  <c r="CS26" i="28"/>
  <c r="BT26" i="28"/>
  <c r="BU26" i="28"/>
  <c r="CC26" i="28"/>
  <c r="DD26" i="28"/>
  <c r="BV26" i="28"/>
  <c r="CU26" i="28"/>
  <c r="CT26" i="28"/>
  <c r="CD26" i="28"/>
  <c r="CE26" i="28"/>
  <c r="CV26" i="28"/>
  <c r="CJ26" i="28"/>
  <c r="BN26" i="28"/>
  <c r="DA26" i="28"/>
  <c r="BZ26" i="28"/>
  <c r="BY26" i="28"/>
  <c r="CF26" i="28"/>
  <c r="BO26" i="28"/>
  <c r="DE26" i="28"/>
  <c r="BW26" i="28"/>
  <c r="CX26" i="28"/>
  <c r="CY26" i="28"/>
  <c r="CO26" i="28"/>
  <c r="DB26" i="28"/>
  <c r="DH26" i="28"/>
  <c r="CI26" i="28"/>
  <c r="CQ26" i="28"/>
  <c r="CG26" i="28"/>
  <c r="DI26" i="28"/>
  <c r="CM26" i="28"/>
  <c r="BM26" i="28"/>
  <c r="CW26" i="28"/>
  <c r="DC26" i="28"/>
  <c r="DF26" i="28"/>
  <c r="CP26" i="28"/>
  <c r="CA26" i="28"/>
  <c r="BP26" i="28"/>
  <c r="CH26" i="28"/>
  <c r="DK26" i="28"/>
  <c r="BL26" i="28"/>
  <c r="CB26" i="28"/>
  <c r="CL26" i="28"/>
  <c r="DG26" i="28"/>
  <c r="CX33" i="28"/>
  <c r="BU33" i="28"/>
  <c r="DJ33" i="28"/>
  <c r="CE33" i="28"/>
  <c r="DF33" i="28"/>
  <c r="BR33" i="28"/>
  <c r="CM33" i="28"/>
  <c r="CF33" i="28"/>
  <c r="BN33" i="28"/>
  <c r="DH33" i="28"/>
  <c r="CV33" i="28"/>
  <c r="CB33" i="28"/>
  <c r="BM33" i="28"/>
  <c r="CS33" i="28"/>
  <c r="CI33" i="28"/>
  <c r="DA33" i="28"/>
  <c r="CD33" i="28"/>
  <c r="DD33" i="28"/>
  <c r="DE33" i="28"/>
  <c r="DI33" i="28"/>
  <c r="BY33" i="28"/>
  <c r="DK33" i="28"/>
  <c r="CN33" i="28"/>
  <c r="BS33" i="28"/>
  <c r="CT33" i="28"/>
  <c r="BV33" i="28"/>
  <c r="CK33" i="28"/>
  <c r="CA33" i="28"/>
  <c r="CO33" i="28"/>
  <c r="CJ33" i="28"/>
  <c r="BP33" i="28"/>
  <c r="CC33" i="28"/>
  <c r="CP33" i="28"/>
  <c r="CZ33" i="28"/>
  <c r="BW33" i="28"/>
  <c r="BX33" i="28"/>
  <c r="CQ33" i="28"/>
  <c r="DG33" i="28"/>
  <c r="BO33" i="28"/>
  <c r="DC33" i="28"/>
  <c r="CL33" i="28"/>
  <c r="BL33" i="28"/>
  <c r="DB33" i="28"/>
  <c r="BZ33" i="28"/>
  <c r="BQ33" i="28"/>
  <c r="CY33" i="28"/>
  <c r="CG33" i="28"/>
  <c r="CH33" i="28"/>
  <c r="BT33" i="28"/>
  <c r="CR33" i="28"/>
  <c r="CU33" i="28"/>
  <c r="CW33" i="28"/>
  <c r="CF47" i="28"/>
  <c r="BV47" i="28"/>
  <c r="BS47" i="28"/>
  <c r="DD47" i="28"/>
  <c r="BM47" i="28"/>
  <c r="CX47" i="28"/>
  <c r="CJ47" i="28"/>
  <c r="CG47" i="28"/>
  <c r="DH47" i="28"/>
  <c r="DI47" i="28"/>
  <c r="CH47" i="28"/>
  <c r="CL47" i="28"/>
  <c r="CP47" i="28"/>
  <c r="CK47" i="28"/>
  <c r="BR47" i="28"/>
  <c r="DK47" i="28"/>
  <c r="DJ47" i="28"/>
  <c r="BO47" i="28"/>
  <c r="CT47" i="28"/>
  <c r="BZ47" i="28"/>
  <c r="CD47" i="28"/>
  <c r="CM47" i="28"/>
  <c r="BW47" i="28"/>
  <c r="BP47" i="28"/>
  <c r="BN47" i="28"/>
  <c r="CW47" i="28"/>
  <c r="CN47" i="28"/>
  <c r="CY47" i="28"/>
  <c r="DB47" i="28"/>
  <c r="DG47" i="28"/>
  <c r="BT47" i="28"/>
  <c r="CS47" i="28"/>
  <c r="BU47" i="28"/>
  <c r="BX47" i="28"/>
  <c r="CE47" i="28"/>
  <c r="CQ47" i="28"/>
  <c r="DC47" i="28"/>
  <c r="DF47" i="28"/>
  <c r="CV47" i="28"/>
  <c r="DE47" i="28"/>
  <c r="CZ47" i="28"/>
  <c r="BY47" i="28"/>
  <c r="CA47" i="28"/>
  <c r="CI47" i="28"/>
  <c r="CU47" i="28"/>
  <c r="BQ47" i="28"/>
  <c r="CO47" i="28"/>
  <c r="CR47" i="28"/>
  <c r="BL47" i="28"/>
  <c r="DA47" i="28"/>
  <c r="CB47" i="28"/>
  <c r="CC47" i="28"/>
  <c r="DC13" i="28"/>
  <c r="CC13" i="28"/>
  <c r="CG13" i="28"/>
  <c r="CK13" i="28"/>
  <c r="BT13" i="28"/>
  <c r="CU13" i="28"/>
  <c r="CJ13" i="28"/>
  <c r="CM13" i="28"/>
  <c r="BM13" i="28"/>
  <c r="CV13" i="28"/>
  <c r="BW13" i="28"/>
  <c r="DA13" i="28"/>
  <c r="BU13" i="28"/>
  <c r="CO13" i="28"/>
  <c r="DF13" i="28"/>
  <c r="CF13" i="28"/>
  <c r="DG13" i="28"/>
  <c r="CQ13" i="28"/>
  <c r="CP13" i="28"/>
  <c r="BY13" i="28"/>
  <c r="CS13" i="28"/>
  <c r="CR13" i="28"/>
  <c r="BL13" i="28"/>
  <c r="DH13" i="28"/>
  <c r="DI13" i="28"/>
  <c r="CB13" i="28"/>
  <c r="CX13" i="28"/>
  <c r="CT13" i="28"/>
  <c r="CY13" i="28"/>
  <c r="CN13" i="28"/>
  <c r="BX13" i="28"/>
  <c r="CE13" i="28"/>
  <c r="CD13" i="28"/>
  <c r="BS13" i="28"/>
  <c r="DE13" i="28"/>
  <c r="CA13" i="28"/>
  <c r="CW13" i="28"/>
  <c r="BP13" i="28"/>
  <c r="BR13" i="28"/>
  <c r="BZ13" i="28"/>
  <c r="CL13" i="28"/>
  <c r="CI13" i="28"/>
  <c r="DB13" i="28"/>
  <c r="CH13" i="28"/>
  <c r="CZ13" i="28"/>
  <c r="BQ13" i="28"/>
  <c r="DJ13" i="28"/>
  <c r="BV13" i="28"/>
  <c r="BO13" i="28"/>
  <c r="BN13" i="28"/>
  <c r="DD13" i="28"/>
  <c r="CV45" i="28"/>
  <c r="BL45" i="28"/>
  <c r="CS45" i="28"/>
  <c r="CW45" i="28"/>
  <c r="CB45" i="28"/>
  <c r="BM45" i="28"/>
  <c r="BP45" i="28"/>
  <c r="CR45" i="28"/>
  <c r="CC45" i="28"/>
  <c r="BQ45" i="28"/>
  <c r="BT45" i="28"/>
  <c r="DI45" i="28"/>
  <c r="BS45" i="28"/>
  <c r="CJ45" i="28"/>
  <c r="CG45" i="28"/>
  <c r="DE45" i="28"/>
  <c r="CD45" i="28"/>
  <c r="DA45" i="28"/>
  <c r="CF45" i="28"/>
  <c r="CQ45" i="28"/>
  <c r="CH45" i="28"/>
  <c r="CI45" i="28"/>
  <c r="DC45" i="28"/>
  <c r="CK45" i="28"/>
  <c r="BZ45" i="28"/>
  <c r="CA45" i="28"/>
  <c r="CZ45" i="28"/>
  <c r="CE45" i="28"/>
  <c r="CT45" i="28"/>
  <c r="CO45" i="28"/>
  <c r="DJ45" i="28"/>
  <c r="CU45" i="28"/>
  <c r="BV45" i="28"/>
  <c r="BW45" i="28"/>
  <c r="BU45" i="28"/>
  <c r="DF45" i="28"/>
  <c r="CL45" i="28"/>
  <c r="DG45" i="28"/>
  <c r="CP45" i="28"/>
  <c r="BX45" i="28"/>
  <c r="CN45" i="28"/>
  <c r="DB45" i="28"/>
  <c r="DK45" i="28"/>
  <c r="BO45" i="28"/>
  <c r="BN45" i="28"/>
  <c r="CY45" i="28"/>
  <c r="BR45" i="28"/>
  <c r="BY45" i="28"/>
  <c r="CM45" i="28"/>
  <c r="CX45" i="28"/>
  <c r="DD45" i="28"/>
  <c r="DH45" i="28"/>
  <c r="BU41" i="28"/>
  <c r="DB41" i="28"/>
  <c r="CD41" i="28"/>
  <c r="BV41" i="28"/>
  <c r="DF41" i="28"/>
  <c r="CO41" i="28"/>
  <c r="BW41" i="28"/>
  <c r="CJ41" i="28"/>
  <c r="DD41" i="28"/>
  <c r="CE41" i="28"/>
  <c r="DC41" i="28"/>
  <c r="BZ41" i="28"/>
  <c r="CQ41" i="28"/>
  <c r="CB41" i="28"/>
  <c r="CL41" i="28"/>
  <c r="CS41" i="28"/>
  <c r="CR41" i="28"/>
  <c r="CH41" i="28"/>
  <c r="CU41" i="28"/>
  <c r="BP41" i="28"/>
  <c r="CX41" i="28"/>
  <c r="BM41" i="28"/>
  <c r="CV41" i="28"/>
  <c r="DG41" i="28"/>
  <c r="CK41" i="28"/>
  <c r="CZ41" i="28"/>
  <c r="BX41" i="28"/>
  <c r="CG41" i="28"/>
  <c r="BS41" i="28"/>
  <c r="BN41" i="28"/>
  <c r="BR41" i="28"/>
  <c r="CW41" i="28"/>
  <c r="DI41" i="28"/>
  <c r="DA41" i="28"/>
  <c r="BY41" i="28"/>
  <c r="CN41" i="28"/>
  <c r="BO41" i="28"/>
  <c r="BL41" i="28"/>
  <c r="CC41" i="28"/>
  <c r="DH41" i="28"/>
  <c r="CF41" i="28"/>
  <c r="CP41" i="28"/>
  <c r="CI41" i="28"/>
  <c r="BT41" i="28"/>
  <c r="CA41" i="28"/>
  <c r="CM41" i="28"/>
  <c r="CT41" i="28"/>
  <c r="CY41" i="28"/>
  <c r="BQ41" i="28"/>
  <c r="DE41" i="28"/>
  <c r="DK41" i="28"/>
  <c r="DJ41" i="28"/>
  <c r="CR20" i="28"/>
  <c r="BL20" i="28"/>
  <c r="CM20" i="28"/>
  <c r="DF20" i="28"/>
  <c r="BO20" i="28"/>
  <c r="DG20" i="28"/>
  <c r="DC20" i="28"/>
  <c r="CS20" i="28"/>
  <c r="CA20" i="28"/>
  <c r="BX20" i="28"/>
  <c r="BM20" i="28"/>
  <c r="CE20" i="28"/>
  <c r="CC20" i="28"/>
  <c r="CF20" i="28"/>
  <c r="BR20" i="28"/>
  <c r="CQ20" i="28"/>
  <c r="BN20" i="28"/>
  <c r="CL20" i="28"/>
  <c r="BZ20" i="28"/>
  <c r="BQ20" i="28"/>
  <c r="CJ20" i="28"/>
  <c r="CZ20" i="28"/>
  <c r="CU20" i="28"/>
  <c r="CT20" i="28"/>
  <c r="DB20" i="28"/>
  <c r="BT20" i="28"/>
  <c r="CV20" i="28"/>
  <c r="DA20" i="28"/>
  <c r="CW20" i="28"/>
  <c r="DI20" i="28"/>
  <c r="CD20" i="28"/>
  <c r="BV20" i="28"/>
  <c r="DJ20" i="28"/>
  <c r="BY20" i="28"/>
  <c r="BP20" i="28"/>
  <c r="CH20" i="28"/>
  <c r="CK20" i="28"/>
  <c r="CX20" i="28"/>
  <c r="CO20" i="28"/>
  <c r="CB20" i="28"/>
  <c r="BS20" i="28"/>
  <c r="BU20" i="28"/>
  <c r="CY20" i="28"/>
  <c r="DE20" i="28"/>
  <c r="CP20" i="28"/>
  <c r="BW20" i="28"/>
  <c r="CN20" i="28"/>
  <c r="DD20" i="28"/>
  <c r="DH20" i="28"/>
  <c r="CG20" i="28"/>
  <c r="CI20" i="28"/>
  <c r="BW9" i="28"/>
  <c r="CJ9" i="28"/>
  <c r="CU9" i="28"/>
  <c r="CI9" i="28"/>
  <c r="BX9" i="28"/>
  <c r="CX9" i="28"/>
  <c r="BQ9" i="28"/>
  <c r="CL9" i="28"/>
  <c r="CB9" i="28"/>
  <c r="BN9" i="28"/>
  <c r="CK9" i="28"/>
  <c r="DD9" i="28"/>
  <c r="CD9" i="28"/>
  <c r="CH9" i="28"/>
  <c r="BU9" i="28"/>
  <c r="CF9" i="28"/>
  <c r="BO9" i="28"/>
  <c r="CR9" i="28"/>
  <c r="BY9" i="28"/>
  <c r="CV9" i="28"/>
  <c r="DA9" i="28"/>
  <c r="CP9" i="28"/>
  <c r="CO9" i="28"/>
  <c r="BM9" i="28"/>
  <c r="CY9" i="28"/>
  <c r="CG9" i="28"/>
  <c r="DE9" i="28"/>
  <c r="DB9" i="28"/>
  <c r="CQ9" i="28"/>
  <c r="BL9" i="28"/>
  <c r="BV9" i="28"/>
  <c r="BP9" i="28"/>
  <c r="CM9" i="28"/>
  <c r="CC9" i="28"/>
  <c r="CW9" i="28"/>
  <c r="CZ9" i="28"/>
  <c r="DF9" i="28"/>
  <c r="BZ9" i="28"/>
  <c r="CA9" i="28"/>
  <c r="DI9" i="28"/>
  <c r="DC9" i="28"/>
  <c r="DH9" i="28"/>
  <c r="CT9" i="28"/>
  <c r="CS9" i="28"/>
  <c r="BT9" i="28"/>
  <c r="CN9" i="28"/>
  <c r="CE9" i="28"/>
  <c r="BR9" i="28"/>
  <c r="BS9" i="28"/>
  <c r="DG9" i="28"/>
  <c r="DJ9" i="28"/>
  <c r="CX48" i="28"/>
  <c r="CS48" i="28"/>
  <c r="CQ48" i="28"/>
  <c r="CY48" i="28"/>
  <c r="CH48" i="28"/>
  <c r="CL48" i="28"/>
  <c r="BR48" i="28"/>
  <c r="BO48" i="28"/>
  <c r="DB48" i="28"/>
  <c r="BS48" i="28"/>
  <c r="CP48" i="28"/>
  <c r="BW48" i="28"/>
  <c r="BX48" i="28"/>
  <c r="BN48" i="28"/>
  <c r="CM48" i="28"/>
  <c r="DK48" i="28"/>
  <c r="BP48" i="28"/>
  <c r="BY48" i="28"/>
  <c r="CB48" i="28"/>
  <c r="BT48" i="28"/>
  <c r="CK48" i="28"/>
  <c r="DE48" i="28"/>
  <c r="CF48" i="28"/>
  <c r="CV48" i="28"/>
  <c r="DA48" i="28"/>
  <c r="DG48" i="28"/>
  <c r="CI48" i="28"/>
  <c r="DF48" i="28"/>
  <c r="CT48" i="28"/>
  <c r="CR48" i="28"/>
  <c r="CC48" i="28"/>
  <c r="BQ48" i="28"/>
  <c r="CU48" i="28"/>
  <c r="DH48" i="28"/>
  <c r="BV48" i="28"/>
  <c r="CA48" i="28"/>
  <c r="CN48" i="28"/>
  <c r="DI48" i="28"/>
  <c r="BU48" i="28"/>
  <c r="CJ48" i="28"/>
  <c r="DC48" i="28"/>
  <c r="CG48" i="28"/>
  <c r="CE48" i="28"/>
  <c r="CD48" i="28"/>
  <c r="DJ48" i="28"/>
  <c r="CO48" i="28"/>
  <c r="BM48" i="28"/>
  <c r="BL48" i="28"/>
  <c r="CW48" i="28"/>
  <c r="DD48" i="28"/>
  <c r="CZ48" i="28"/>
  <c r="BZ48" i="28"/>
  <c r="CZ32" i="28"/>
  <c r="CV32" i="28"/>
  <c r="CW32" i="28"/>
  <c r="BQ32" i="28"/>
  <c r="BO32" i="28"/>
  <c r="CX32" i="28"/>
  <c r="CJ32" i="28"/>
  <c r="DA32" i="28"/>
  <c r="CK32" i="28"/>
  <c r="BS32" i="28"/>
  <c r="BW32" i="28"/>
  <c r="CQ32" i="28"/>
  <c r="DE32" i="28"/>
  <c r="BP32" i="28"/>
  <c r="CS32" i="28"/>
  <c r="BT32" i="28"/>
  <c r="DB32" i="28"/>
  <c r="CC32" i="28"/>
  <c r="CF32" i="28"/>
  <c r="DF32" i="28"/>
  <c r="CH32" i="28"/>
  <c r="BV32" i="28"/>
  <c r="CN32" i="28"/>
  <c r="CO32" i="28"/>
  <c r="DI32" i="28"/>
  <c r="DK32" i="28"/>
  <c r="CR32" i="28"/>
  <c r="BU32" i="28"/>
  <c r="CT32" i="28"/>
  <c r="BL32" i="28"/>
  <c r="BR32" i="28"/>
  <c r="DJ32" i="28"/>
  <c r="BX32" i="28"/>
  <c r="CP32" i="28"/>
  <c r="CA32" i="28"/>
  <c r="CE32" i="28"/>
  <c r="DH32" i="28"/>
  <c r="BN32" i="28"/>
  <c r="CY32" i="28"/>
  <c r="CG32" i="28"/>
  <c r="CB32" i="28"/>
  <c r="DC32" i="28"/>
  <c r="BM32" i="28"/>
  <c r="CM32" i="28"/>
  <c r="BY32" i="28"/>
  <c r="CU32" i="28"/>
  <c r="CD32" i="28"/>
  <c r="CL32" i="28"/>
  <c r="DD32" i="28"/>
  <c r="BZ32" i="28"/>
  <c r="CI32" i="28"/>
  <c r="DG32" i="28"/>
  <c r="DE15" i="28"/>
  <c r="BR15" i="28"/>
  <c r="CK15" i="28"/>
  <c r="BL15" i="28"/>
  <c r="BQ15" i="28"/>
  <c r="DF15" i="28"/>
  <c r="CO15" i="28"/>
  <c r="DJ15" i="28"/>
  <c r="BN15" i="28"/>
  <c r="CM15" i="28"/>
  <c r="BT15" i="28"/>
  <c r="CI15" i="28"/>
  <c r="CS15" i="28"/>
  <c r="BU15" i="28"/>
  <c r="CB15" i="28"/>
  <c r="BS15" i="28"/>
  <c r="BY15" i="28"/>
  <c r="CP15" i="28"/>
  <c r="CL15" i="28"/>
  <c r="BP15" i="28"/>
  <c r="CC15" i="28"/>
  <c r="CT15" i="28"/>
  <c r="DC15" i="28"/>
  <c r="CD15" i="28"/>
  <c r="CJ15" i="28"/>
  <c r="CW15" i="28"/>
  <c r="BX15" i="28"/>
  <c r="CA15" i="28"/>
  <c r="CF15" i="28"/>
  <c r="CX15" i="28"/>
  <c r="DA15" i="28"/>
  <c r="BM15" i="28"/>
  <c r="CH15" i="28"/>
  <c r="DH15" i="28"/>
  <c r="CY15" i="28"/>
  <c r="BV15" i="28"/>
  <c r="CV15" i="28"/>
  <c r="CQ15" i="28"/>
  <c r="CR15" i="28"/>
  <c r="DB15" i="28"/>
  <c r="CN15" i="28"/>
  <c r="DD15" i="28"/>
  <c r="CG15" i="28"/>
  <c r="CZ15" i="28"/>
  <c r="DG15" i="28"/>
  <c r="DI15" i="28"/>
  <c r="CU15" i="28"/>
  <c r="BZ15" i="28"/>
  <c r="CE15" i="28"/>
  <c r="BW15" i="28"/>
  <c r="BO15" i="28"/>
  <c r="CG25" i="28"/>
  <c r="BV25" i="28"/>
  <c r="CU25" i="28"/>
  <c r="BX25" i="28"/>
  <c r="CT25" i="28"/>
  <c r="BP25" i="28"/>
  <c r="CJ25" i="28"/>
  <c r="DJ25" i="28"/>
  <c r="CF25" i="28"/>
  <c r="CC25" i="28"/>
  <c r="CW25" i="28"/>
  <c r="BO25" i="28"/>
  <c r="DA25" i="28"/>
  <c r="CP25" i="28"/>
  <c r="CK25" i="28"/>
  <c r="DD25" i="28"/>
  <c r="BZ25" i="28"/>
  <c r="CQ25" i="28"/>
  <c r="DH25" i="28"/>
  <c r="CA25" i="28"/>
  <c r="CH25" i="28"/>
  <c r="BT25" i="28"/>
  <c r="BN25" i="28"/>
  <c r="CZ25" i="28"/>
  <c r="CM25" i="28"/>
  <c r="DF25" i="28"/>
  <c r="CL25" i="28"/>
  <c r="CS25" i="28"/>
  <c r="CX25" i="28"/>
  <c r="DB25" i="28"/>
  <c r="BR25" i="28"/>
  <c r="CI25" i="28"/>
  <c r="BW25" i="28"/>
  <c r="DI25" i="28"/>
  <c r="CO25" i="28"/>
  <c r="DE25" i="28"/>
  <c r="DC25" i="28"/>
  <c r="CD25" i="28"/>
  <c r="CR25" i="28"/>
  <c r="CY25" i="28"/>
  <c r="BS25" i="28"/>
  <c r="CV25" i="28"/>
  <c r="DG25" i="28"/>
  <c r="DK25" i="28"/>
  <c r="BQ25" i="28"/>
  <c r="CE25" i="28"/>
  <c r="BY25" i="28"/>
  <c r="BL25" i="28"/>
  <c r="CB25" i="28"/>
  <c r="CN25" i="28"/>
  <c r="BU25" i="28"/>
  <c r="BM25" i="28"/>
  <c r="CQ14" i="28"/>
  <c r="BY14" i="28"/>
  <c r="DD14" i="28"/>
  <c r="BS14" i="28"/>
  <c r="BQ14" i="28"/>
  <c r="CN14" i="28"/>
  <c r="CK14" i="28"/>
  <c r="BZ14" i="28"/>
  <c r="CT14" i="28"/>
  <c r="BW14" i="28"/>
  <c r="BP14" i="28"/>
  <c r="DG14" i="28"/>
  <c r="DH14" i="28"/>
  <c r="CF14" i="28"/>
  <c r="CE14" i="28"/>
  <c r="CI14" i="28"/>
  <c r="DJ14" i="28"/>
  <c r="DI14" i="28"/>
  <c r="BL14" i="28"/>
  <c r="DA14" i="28"/>
  <c r="CH14" i="28"/>
  <c r="BO14" i="28"/>
  <c r="CL14" i="28"/>
  <c r="CO14" i="28"/>
  <c r="BU14" i="28"/>
  <c r="BM14" i="28"/>
  <c r="BX14" i="28"/>
  <c r="BR14" i="28"/>
  <c r="BV14" i="28"/>
  <c r="DF14" i="28"/>
  <c r="CY14" i="28"/>
  <c r="CG14" i="28"/>
  <c r="CP14" i="28"/>
  <c r="CZ14" i="28"/>
  <c r="CC14" i="28"/>
  <c r="DC14" i="28"/>
  <c r="CU14" i="28"/>
  <c r="BN14" i="28"/>
  <c r="CR14" i="28"/>
  <c r="BT14" i="28"/>
  <c r="CA14" i="28"/>
  <c r="DB14" i="28"/>
  <c r="CX14" i="28"/>
  <c r="CD14" i="28"/>
  <c r="CS14" i="28"/>
  <c r="CW14" i="28"/>
  <c r="CV14" i="28"/>
  <c r="CB14" i="28"/>
  <c r="CJ14" i="28"/>
  <c r="DE14" i="28"/>
  <c r="CM14" i="28"/>
  <c r="DG37" i="28"/>
  <c r="DB37" i="28"/>
  <c r="CO37" i="28"/>
  <c r="DK37" i="28"/>
  <c r="DJ37" i="28"/>
  <c r="BX37" i="28"/>
  <c r="CQ37" i="28"/>
  <c r="BP37" i="28"/>
  <c r="CC37" i="28"/>
  <c r="BY37" i="28"/>
  <c r="BU37" i="28"/>
  <c r="CV37" i="28"/>
  <c r="BZ37" i="28"/>
  <c r="BT37" i="28"/>
  <c r="BQ37" i="28"/>
  <c r="CE37" i="28"/>
  <c r="CK37" i="28"/>
  <c r="BL37" i="28"/>
  <c r="CG37" i="28"/>
  <c r="DI37" i="28"/>
  <c r="CZ37" i="28"/>
  <c r="CI37" i="28"/>
  <c r="CJ37" i="28"/>
  <c r="CR37" i="28"/>
  <c r="CN37" i="28"/>
  <c r="CX37" i="28"/>
  <c r="CB37" i="28"/>
  <c r="CM37" i="28"/>
  <c r="CD37" i="28"/>
  <c r="BS37" i="28"/>
  <c r="BV37" i="28"/>
  <c r="BR37" i="28"/>
  <c r="DC37" i="28"/>
  <c r="DH37" i="28"/>
  <c r="CU37" i="28"/>
  <c r="DA37" i="28"/>
  <c r="CY37" i="28"/>
  <c r="DD37" i="28"/>
  <c r="CL37" i="28"/>
  <c r="BW37" i="28"/>
  <c r="BN37" i="28"/>
  <c r="DE37" i="28"/>
  <c r="BM37" i="28"/>
  <c r="CP37" i="28"/>
  <c r="CS37" i="28"/>
  <c r="BO37" i="28"/>
  <c r="DF37" i="28"/>
  <c r="CW37" i="28"/>
  <c r="CF37" i="28"/>
  <c r="CA37" i="28"/>
  <c r="CH37" i="28"/>
  <c r="CT37" i="28"/>
  <c r="CV16" i="28"/>
  <c r="CA16" i="28"/>
  <c r="BM16" i="28"/>
  <c r="CQ16" i="28"/>
  <c r="DG16" i="28"/>
  <c r="BR16" i="28"/>
  <c r="BQ16" i="28"/>
  <c r="DE16" i="28"/>
  <c r="CG16" i="28"/>
  <c r="CW16" i="28"/>
  <c r="BL16" i="28"/>
  <c r="DF16" i="28"/>
  <c r="BS16" i="28"/>
  <c r="BT16" i="28"/>
  <c r="CB16" i="28"/>
  <c r="BN16" i="28"/>
  <c r="CY16" i="28"/>
  <c r="DH16" i="28"/>
  <c r="BY16" i="28"/>
  <c r="CD16" i="28"/>
  <c r="BU16" i="28"/>
  <c r="CO16" i="28"/>
  <c r="BZ16" i="28"/>
  <c r="CS16" i="28"/>
  <c r="BP16" i="28"/>
  <c r="CZ16" i="28"/>
  <c r="CK16" i="28"/>
  <c r="CC16" i="28"/>
  <c r="DI16" i="28"/>
  <c r="DD16" i="28"/>
  <c r="BW16" i="28"/>
  <c r="DB16" i="28"/>
  <c r="CF16" i="28"/>
  <c r="DC16" i="28"/>
  <c r="CI16" i="28"/>
  <c r="DA16" i="28"/>
  <c r="CT16" i="28"/>
  <c r="DJ16" i="28"/>
  <c r="BX16" i="28"/>
  <c r="BV16" i="28"/>
  <c r="CH16" i="28"/>
  <c r="CL16" i="28"/>
  <c r="CJ16" i="28"/>
  <c r="CN16" i="28"/>
  <c r="CR16" i="28"/>
  <c r="CX16" i="28"/>
  <c r="BO16" i="28"/>
  <c r="CU16" i="28"/>
  <c r="CM16" i="28"/>
  <c r="CE16" i="28"/>
  <c r="CP16" i="28"/>
  <c r="BY44" i="28"/>
  <c r="BU44" i="28"/>
  <c r="CD44" i="28"/>
  <c r="CG44" i="28"/>
  <c r="BN44" i="28"/>
  <c r="CN44" i="28"/>
  <c r="CY44" i="28"/>
  <c r="BQ44" i="28"/>
  <c r="CI44" i="28"/>
  <c r="DH44" i="28"/>
  <c r="BL44" i="28"/>
  <c r="CX44" i="28"/>
  <c r="BO44" i="28"/>
  <c r="BW44" i="28"/>
  <c r="CZ44" i="28"/>
  <c r="DC44" i="28"/>
  <c r="DJ44" i="28"/>
  <c r="CC44" i="28"/>
  <c r="BP44" i="28"/>
  <c r="BX44" i="28"/>
  <c r="CF44" i="28"/>
  <c r="DD44" i="28"/>
  <c r="DK44" i="28"/>
  <c r="CV44" i="28"/>
  <c r="CL44" i="28"/>
  <c r="CS44" i="28"/>
  <c r="DI44" i="28"/>
  <c r="DF44" i="28"/>
  <c r="CA44" i="28"/>
  <c r="BR44" i="28"/>
  <c r="BT44" i="28"/>
  <c r="CT44" i="28"/>
  <c r="DE44" i="28"/>
  <c r="CM44" i="28"/>
  <c r="CB44" i="28"/>
  <c r="CW44" i="28"/>
  <c r="CQ44" i="28"/>
  <c r="CR44" i="28"/>
  <c r="BZ44" i="28"/>
  <c r="CU44" i="28"/>
  <c r="CE44" i="28"/>
  <c r="DA44" i="28"/>
  <c r="CO44" i="28"/>
  <c r="CJ44" i="28"/>
  <c r="BM44" i="28"/>
  <c r="CP44" i="28"/>
  <c r="CH44" i="28"/>
  <c r="DB44" i="28"/>
  <c r="BS44" i="28"/>
  <c r="CK44" i="28"/>
  <c r="DG44" i="28"/>
  <c r="BV44" i="28"/>
  <c r="CT17" i="28"/>
  <c r="CZ17" i="28"/>
  <c r="CC17" i="28"/>
  <c r="CU17" i="28"/>
  <c r="BQ17" i="28"/>
  <c r="DG17" i="28"/>
  <c r="BN17" i="28"/>
  <c r="DI17" i="28"/>
  <c r="DJ17" i="28"/>
  <c r="CV17" i="28"/>
  <c r="DA17" i="28"/>
  <c r="DD17" i="28"/>
  <c r="BV17" i="28"/>
  <c r="BY17" i="28"/>
  <c r="CQ17" i="28"/>
  <c r="DF17" i="28"/>
  <c r="BW17" i="28"/>
  <c r="CO17" i="28"/>
  <c r="CF17" i="28"/>
  <c r="BM17" i="28"/>
  <c r="CH17" i="28"/>
  <c r="BT17" i="28"/>
  <c r="CX17" i="28"/>
  <c r="CJ17" i="28"/>
  <c r="BL17" i="28"/>
  <c r="DE17" i="28"/>
  <c r="CL17" i="28"/>
  <c r="CW17" i="28"/>
  <c r="BR17" i="28"/>
  <c r="BS17" i="28"/>
  <c r="CP17" i="28"/>
  <c r="CS17" i="28"/>
  <c r="CI17" i="28"/>
  <c r="CD17" i="28"/>
  <c r="BX17" i="28"/>
  <c r="BU17" i="28"/>
  <c r="BO17" i="28"/>
  <c r="DB17" i="28"/>
  <c r="BZ17" i="28"/>
  <c r="CG17" i="28"/>
  <c r="CM17" i="28"/>
  <c r="CB17" i="28"/>
  <c r="DC17" i="28"/>
  <c r="CN17" i="28"/>
  <c r="CR17" i="28"/>
  <c r="CY17" i="28"/>
  <c r="BP17" i="28"/>
  <c r="CA17" i="28"/>
  <c r="CE17" i="28"/>
  <c r="DH17" i="28"/>
  <c r="CK17" i="28"/>
  <c r="CR11" i="28"/>
  <c r="CQ11" i="28"/>
  <c r="CL11" i="28"/>
  <c r="CT11" i="28"/>
  <c r="DI11" i="28"/>
  <c r="DC11" i="28"/>
  <c r="BY11" i="28"/>
  <c r="CJ11" i="28"/>
  <c r="BO11" i="28"/>
  <c r="CV11" i="28"/>
  <c r="CZ11" i="28"/>
  <c r="CN11" i="28"/>
  <c r="BL11" i="28"/>
  <c r="BU11" i="28"/>
  <c r="CF11" i="28"/>
  <c r="BS11" i="28"/>
  <c r="CG11" i="28"/>
  <c r="BM11" i="28"/>
  <c r="CW11" i="28"/>
  <c r="CI11" i="28"/>
  <c r="DB11" i="28"/>
  <c r="CH11" i="28"/>
  <c r="DE11" i="28"/>
  <c r="DH11" i="28"/>
  <c r="BZ11" i="28"/>
  <c r="BV11" i="28"/>
  <c r="DG11" i="28"/>
  <c r="DJ11" i="28"/>
  <c r="BW11" i="28"/>
  <c r="BN11" i="28"/>
  <c r="BT11" i="28"/>
  <c r="CY11" i="28"/>
  <c r="BX11" i="28"/>
  <c r="DA11" i="28"/>
  <c r="CA11" i="28"/>
  <c r="BQ11" i="28"/>
  <c r="CP11" i="28"/>
  <c r="DF11" i="28"/>
  <c r="CU11" i="28"/>
  <c r="CO11" i="28"/>
  <c r="CC11" i="28"/>
  <c r="DD11" i="28"/>
  <c r="BP11" i="28"/>
  <c r="CS11" i="28"/>
  <c r="CE11" i="28"/>
  <c r="CB11" i="28"/>
  <c r="CD11" i="28"/>
  <c r="CK11" i="28"/>
  <c r="CM11" i="28"/>
  <c r="CX11" i="28"/>
  <c r="BR11" i="28"/>
  <c r="DK39" i="28"/>
  <c r="BR39" i="28"/>
  <c r="CN39" i="28"/>
  <c r="BM39" i="28"/>
  <c r="CI39" i="28"/>
  <c r="DE39" i="28"/>
  <c r="CD39" i="28"/>
  <c r="CZ39" i="28"/>
  <c r="BX39" i="28"/>
  <c r="BN39" i="28"/>
  <c r="CJ39" i="28"/>
  <c r="DG39" i="28"/>
  <c r="CV39" i="28"/>
  <c r="BT39" i="28"/>
  <c r="CQ39" i="28"/>
  <c r="BO39" i="28"/>
  <c r="CK39" i="28"/>
  <c r="DH39" i="28"/>
  <c r="CW39" i="28"/>
  <c r="BU39" i="28"/>
  <c r="CR39" i="28"/>
  <c r="CG39" i="28"/>
  <c r="DC39" i="28"/>
  <c r="CB39" i="28"/>
  <c r="BZ39" i="28"/>
  <c r="CX39" i="28"/>
  <c r="BV39" i="28"/>
  <c r="CS39" i="28"/>
  <c r="BL39" i="28"/>
  <c r="BQ39" i="28"/>
  <c r="CM39" i="28"/>
  <c r="DJ39" i="28"/>
  <c r="BY39" i="28"/>
  <c r="CC39" i="28"/>
  <c r="CA39" i="28"/>
  <c r="CT39" i="28"/>
  <c r="DI39" i="28"/>
  <c r="CU39" i="28"/>
  <c r="DF39" i="28"/>
  <c r="CE39" i="28"/>
  <c r="CP39" i="28"/>
  <c r="CH39" i="28"/>
  <c r="CY39" i="28"/>
  <c r="DB39" i="28"/>
  <c r="CF39" i="28"/>
  <c r="BP39" i="28"/>
  <c r="BS39" i="28"/>
  <c r="DA39" i="28"/>
  <c r="CL39" i="28"/>
  <c r="DD39" i="28"/>
  <c r="BW39" i="28"/>
  <c r="CO39" i="28"/>
  <c r="DA23" i="28"/>
  <c r="CZ23" i="28"/>
  <c r="CI23" i="28"/>
  <c r="BQ23" i="28"/>
  <c r="CR23" i="28"/>
  <c r="DF23" i="28"/>
  <c r="CJ23" i="28"/>
  <c r="CU23" i="28"/>
  <c r="CP23" i="28"/>
  <c r="CK23" i="28"/>
  <c r="BU23" i="28"/>
  <c r="DG23" i="28"/>
  <c r="CL23" i="28"/>
  <c r="BW23" i="28"/>
  <c r="BT23" i="28"/>
  <c r="BP23" i="28"/>
  <c r="BX23" i="28"/>
  <c r="CM23" i="28"/>
  <c r="BS23" i="28"/>
  <c r="CD23" i="28"/>
  <c r="DI23" i="28"/>
  <c r="CW23" i="28"/>
  <c r="BV23" i="28"/>
  <c r="BL23" i="28"/>
  <c r="CS23" i="28"/>
  <c r="CB23" i="28"/>
  <c r="CE23" i="28"/>
  <c r="CA23" i="28"/>
  <c r="CG23" i="28"/>
  <c r="DH23" i="28"/>
  <c r="CN23" i="28"/>
  <c r="CY23" i="28"/>
  <c r="BR23" i="28"/>
  <c r="CQ23" i="28"/>
  <c r="DJ23" i="28"/>
  <c r="BM23" i="28"/>
  <c r="CX23" i="28"/>
  <c r="DE23" i="28"/>
  <c r="DD23" i="28"/>
  <c r="CF23" i="28"/>
  <c r="BZ23" i="28"/>
  <c r="CT23" i="28"/>
  <c r="CV23" i="28"/>
  <c r="BO23" i="28"/>
  <c r="BY23" i="28"/>
  <c r="CH23" i="28"/>
  <c r="CO23" i="28"/>
  <c r="DC23" i="28"/>
  <c r="BN23" i="28"/>
  <c r="CC23" i="28"/>
  <c r="DB23" i="28"/>
  <c r="BL34" i="28"/>
  <c r="CO34" i="28"/>
  <c r="CD34" i="28"/>
  <c r="CE34" i="28"/>
  <c r="CH34" i="28"/>
  <c r="DA34" i="28"/>
  <c r="BT34" i="28"/>
  <c r="DD34" i="28"/>
  <c r="BV34" i="28"/>
  <c r="CF34" i="28"/>
  <c r="DJ34" i="28"/>
  <c r="BN34" i="28"/>
  <c r="CP34" i="28"/>
  <c r="DB34" i="28"/>
  <c r="CK34" i="28"/>
  <c r="BW34" i="28"/>
  <c r="DC34" i="28"/>
  <c r="BP34" i="28"/>
  <c r="BX34" i="28"/>
  <c r="DI34" i="28"/>
  <c r="CL34" i="28"/>
  <c r="CR34" i="28"/>
  <c r="CZ34" i="28"/>
  <c r="DH34" i="28"/>
  <c r="BO34" i="28"/>
  <c r="BU34" i="28"/>
  <c r="CY34" i="28"/>
  <c r="CI34" i="28"/>
  <c r="BY34" i="28"/>
  <c r="CU34" i="28"/>
  <c r="CT34" i="28"/>
  <c r="BZ34" i="28"/>
  <c r="CG34" i="28"/>
  <c r="CW34" i="28"/>
  <c r="BS34" i="28"/>
  <c r="DF34" i="28"/>
  <c r="CQ34" i="28"/>
  <c r="CB34" i="28"/>
  <c r="CX34" i="28"/>
  <c r="BQ34" i="28"/>
  <c r="CS34" i="28"/>
  <c r="DE34" i="28"/>
  <c r="CM34" i="28"/>
  <c r="CV34" i="28"/>
  <c r="BM34" i="28"/>
  <c r="CA34" i="28"/>
  <c r="DG34" i="28"/>
  <c r="DK34" i="28"/>
  <c r="BR34" i="28"/>
  <c r="CJ34" i="28"/>
  <c r="CC34" i="28"/>
  <c r="CN34" i="28"/>
  <c r="CS27" i="28"/>
  <c r="CU27" i="28"/>
  <c r="DA27" i="28"/>
  <c r="CY27" i="28"/>
  <c r="DI27" i="28"/>
  <c r="CX27" i="28"/>
  <c r="BY27" i="28"/>
  <c r="CW27" i="28"/>
  <c r="DJ27" i="28"/>
  <c r="DK27" i="28"/>
  <c r="BV27" i="28"/>
  <c r="CA27" i="28"/>
  <c r="BN27" i="28"/>
  <c r="BT27" i="28"/>
  <c r="BW27" i="28"/>
  <c r="BS27" i="28"/>
  <c r="DE27" i="28"/>
  <c r="CL27" i="28"/>
  <c r="CO27" i="28"/>
  <c r="DG27" i="28"/>
  <c r="BZ27" i="28"/>
  <c r="BM27" i="28"/>
  <c r="CZ27" i="28"/>
  <c r="CM27" i="28"/>
  <c r="CQ27" i="28"/>
  <c r="CC27" i="28"/>
  <c r="DC27" i="28"/>
  <c r="CI27" i="28"/>
  <c r="BU27" i="28"/>
  <c r="BO27" i="28"/>
  <c r="CN27" i="28"/>
  <c r="CK27" i="28"/>
  <c r="BR27" i="28"/>
  <c r="CF27" i="28"/>
  <c r="DH27" i="28"/>
  <c r="CV27" i="28"/>
  <c r="DD27" i="28"/>
  <c r="CD27" i="28"/>
  <c r="BL27" i="28"/>
  <c r="CE27" i="28"/>
  <c r="BP27" i="28"/>
  <c r="CT27" i="28"/>
  <c r="CR27" i="28"/>
  <c r="CP27" i="28"/>
  <c r="BQ27" i="28"/>
  <c r="CH27" i="28"/>
  <c r="CG27" i="28"/>
  <c r="CJ27" i="28"/>
  <c r="BX27" i="28"/>
  <c r="DF27" i="28"/>
  <c r="DB27" i="28"/>
  <c r="CB27" i="28"/>
  <c r="BY51" i="28"/>
  <c r="CO51" i="28"/>
  <c r="CP51" i="28"/>
  <c r="DA51" i="28"/>
  <c r="BL51" i="28"/>
  <c r="DF51" i="28"/>
  <c r="CA51" i="28"/>
  <c r="BQ51" i="28"/>
  <c r="CT51" i="28"/>
  <c r="CF51" i="28"/>
  <c r="BW51" i="28"/>
  <c r="DB51" i="28"/>
  <c r="CH51" i="28"/>
  <c r="DG51" i="28"/>
  <c r="CD51" i="28"/>
  <c r="CI51" i="28"/>
  <c r="CM51" i="28"/>
  <c r="DJ51" i="28"/>
  <c r="CV51" i="28"/>
  <c r="CK51" i="28"/>
  <c r="DC51" i="28"/>
  <c r="CE51" i="28"/>
  <c r="CW51" i="28"/>
  <c r="CQ51" i="28"/>
  <c r="CN51" i="28"/>
  <c r="BV51" i="28"/>
  <c r="BT51" i="28"/>
  <c r="BP51" i="28"/>
  <c r="DD51" i="28"/>
  <c r="CX51" i="28"/>
  <c r="CR51" i="28"/>
  <c r="CZ51" i="28"/>
  <c r="BS51" i="28"/>
  <c r="BN51" i="28"/>
  <c r="BU51" i="28"/>
  <c r="BO51" i="28"/>
  <c r="CY51" i="28"/>
  <c r="CU51" i="28"/>
  <c r="DE51" i="28"/>
  <c r="DI51" i="28"/>
  <c r="CS51" i="28"/>
  <c r="DH51" i="28"/>
  <c r="CG51" i="28"/>
  <c r="CJ51" i="28"/>
  <c r="BM51" i="28"/>
  <c r="CC51" i="28"/>
  <c r="DK51" i="28"/>
  <c r="BX51" i="28"/>
  <c r="BZ51" i="28"/>
  <c r="CB51" i="28"/>
  <c r="CL51" i="28"/>
  <c r="BR51" i="28"/>
  <c r="DI7" i="28"/>
  <c r="CZ7" i="28"/>
  <c r="CI7" i="28"/>
  <c r="BR7" i="28"/>
  <c r="BL7" i="28"/>
  <c r="BS7" i="28"/>
  <c r="CM7" i="28"/>
  <c r="CF7" i="28"/>
  <c r="CO7" i="28"/>
  <c r="BX7" i="28"/>
  <c r="BT7" i="28"/>
  <c r="BM7" i="28"/>
  <c r="BY7" i="28"/>
  <c r="CH7" i="28"/>
  <c r="BU7" i="28"/>
  <c r="CP7" i="28"/>
  <c r="DC7" i="28"/>
  <c r="BV7" i="28"/>
  <c r="CC7" i="28"/>
  <c r="DE7" i="28"/>
  <c r="CJ7" i="28"/>
  <c r="BW7" i="28"/>
  <c r="CG7" i="28"/>
  <c r="DG7" i="28"/>
  <c r="BP7" i="28"/>
  <c r="CA7" i="28"/>
  <c r="CX7" i="28"/>
  <c r="CK7" i="28"/>
  <c r="CU7" i="28"/>
  <c r="DB7" i="28"/>
  <c r="DH7" i="28"/>
  <c r="CB7" i="28"/>
  <c r="DF7" i="28"/>
  <c r="BQ7" i="28"/>
  <c r="CV7" i="28"/>
  <c r="BZ7" i="28"/>
  <c r="CT7" i="28"/>
  <c r="CE7" i="28"/>
  <c r="DA7" i="28"/>
  <c r="CW7" i="28"/>
  <c r="CD7" i="28"/>
  <c r="CN7" i="28"/>
  <c r="DD7" i="28"/>
  <c r="BO7" i="28"/>
  <c r="BN7" i="28"/>
  <c r="CL7" i="28"/>
  <c r="DJ7" i="28"/>
  <c r="CQ7" i="28"/>
  <c r="CS7" i="28"/>
  <c r="CR7" i="28"/>
  <c r="CY7" i="28"/>
  <c r="BM6" i="28"/>
  <c r="DC6" i="28"/>
  <c r="CK6" i="28"/>
  <c r="BN6" i="28"/>
  <c r="BU6" i="28"/>
  <c r="CI6" i="28"/>
  <c r="CL6" i="28"/>
  <c r="CD6" i="28"/>
  <c r="CQ6" i="28"/>
  <c r="DE6" i="28"/>
  <c r="CP6" i="28"/>
  <c r="DJ6" i="28"/>
  <c r="CR6" i="28"/>
  <c r="DF6" i="28"/>
  <c r="CU6" i="28"/>
  <c r="CW6" i="28"/>
  <c r="CM6" i="28"/>
  <c r="DD6" i="28"/>
  <c r="BY6" i="28"/>
  <c r="BS6" i="28"/>
  <c r="BO6" i="28"/>
  <c r="BZ6" i="28"/>
  <c r="DA6" i="28"/>
  <c r="CA6" i="28"/>
  <c r="DH6" i="28"/>
  <c r="CS6" i="28"/>
  <c r="CZ6" i="28"/>
  <c r="BL6" i="28"/>
  <c r="CN6" i="28"/>
  <c r="CG6" i="28"/>
  <c r="BQ6" i="28"/>
  <c r="BX6" i="28"/>
  <c r="CB6" i="28"/>
  <c r="CF6" i="28"/>
  <c r="CE6" i="28"/>
  <c r="DI6" i="28"/>
  <c r="CC6" i="28"/>
  <c r="CX6" i="28"/>
  <c r="CV6" i="28"/>
  <c r="CY6" i="28"/>
  <c r="CJ6" i="28"/>
  <c r="BP6" i="28"/>
  <c r="CT6" i="28"/>
  <c r="DG6" i="28"/>
  <c r="BT6" i="28"/>
  <c r="BV6" i="28"/>
  <c r="DB6" i="28"/>
  <c r="BW6" i="28"/>
  <c r="CH6" i="28"/>
  <c r="BR6" i="28"/>
  <c r="CO6" i="28"/>
  <c r="BP18" i="28"/>
  <c r="CO18" i="28"/>
  <c r="BL18" i="28"/>
  <c r="CM18" i="28"/>
  <c r="CB18" i="28"/>
  <c r="CY18" i="28"/>
  <c r="DF18" i="28"/>
  <c r="BM18" i="28"/>
  <c r="CC18" i="28"/>
  <c r="CE18" i="28"/>
  <c r="CN18" i="28"/>
  <c r="DG18" i="28"/>
  <c r="DE18" i="28"/>
  <c r="CD18" i="28"/>
  <c r="CA18" i="28"/>
  <c r="CF18" i="28"/>
  <c r="CV18" i="28"/>
  <c r="BU18" i="28"/>
  <c r="CR18" i="28"/>
  <c r="BS18" i="28"/>
  <c r="BW18" i="28"/>
  <c r="BQ18" i="28"/>
  <c r="CQ18" i="28"/>
  <c r="BY18" i="28"/>
  <c r="CL18" i="28"/>
  <c r="BT18" i="28"/>
  <c r="BZ18" i="28"/>
  <c r="DI18" i="28"/>
  <c r="BN18" i="28"/>
  <c r="CS18" i="28"/>
  <c r="CG18" i="28"/>
  <c r="CJ18" i="28"/>
  <c r="CU18" i="28"/>
  <c r="CZ18" i="28"/>
  <c r="BX18" i="28"/>
  <c r="DH18" i="28"/>
  <c r="BV18" i="28"/>
  <c r="CI18" i="28"/>
  <c r="DC18" i="28"/>
  <c r="DB18" i="28"/>
  <c r="DJ18" i="28"/>
  <c r="CP18" i="28"/>
  <c r="BO18" i="28"/>
  <c r="BR18" i="28"/>
  <c r="CT18" i="28"/>
  <c r="CK18" i="28"/>
  <c r="CW18" i="28"/>
  <c r="DA18" i="28"/>
  <c r="DD18" i="28"/>
  <c r="CH18" i="28"/>
  <c r="CX18" i="28"/>
  <c r="V46" i="23"/>
  <c r="X46" i="23" s="1"/>
  <c r="V49" i="23"/>
  <c r="X49" i="23" s="1"/>
  <c r="C68" i="18"/>
  <c r="BD54" i="28"/>
  <c r="BE54" i="28"/>
  <c r="J57" i="7" s="1"/>
  <c r="DK23" i="28" l="1"/>
  <c r="DK21" i="28"/>
  <c r="DK22" i="28"/>
  <c r="DK10" i="28"/>
  <c r="DK19" i="28"/>
  <c r="DK15" i="28"/>
  <c r="DK8" i="28"/>
  <c r="DK16" i="28"/>
  <c r="DK14" i="28"/>
  <c r="DK13" i="28"/>
  <c r="DK17" i="28"/>
  <c r="DK9" i="28"/>
  <c r="DK7" i="28"/>
  <c r="DK20" i="28"/>
  <c r="DK6" i="28"/>
  <c r="DK18" i="28"/>
  <c r="DK11" i="28"/>
  <c r="DK12" i="28"/>
  <c r="C69" i="18"/>
  <c r="E68" i="18"/>
  <c r="E69" i="18" s="1"/>
  <c r="Q2" i="26" l="1"/>
  <c r="BN48" i="50" l="1"/>
  <c r="BM48" i="50"/>
  <c r="BC48" i="50"/>
  <c r="BB48" i="50"/>
  <c r="BO48" i="50"/>
  <c r="BE81" i="50"/>
  <c r="BE77" i="50"/>
  <c r="BE95" i="50"/>
  <c r="BH79" i="50"/>
  <c r="C7" i="17"/>
  <c r="C8" i="17"/>
  <c r="C9" i="17"/>
  <c r="C10" i="17"/>
  <c r="F10" i="17" s="1"/>
  <c r="C11" i="17"/>
  <c r="F11" i="17" s="1"/>
  <c r="C12" i="17"/>
  <c r="F12" i="17" s="1"/>
  <c r="C13" i="17"/>
  <c r="F13" i="17" s="1"/>
  <c r="C14" i="17"/>
  <c r="F14" i="17" s="1"/>
  <c r="C15" i="17"/>
  <c r="F15" i="17" s="1"/>
  <c r="C16" i="17"/>
  <c r="F16" i="17" s="1"/>
  <c r="C17" i="17"/>
  <c r="C18" i="17"/>
  <c r="C19" i="17"/>
  <c r="F19" i="17" s="1"/>
  <c r="C20" i="17"/>
  <c r="F20" i="17" s="1"/>
  <c r="C21" i="17"/>
  <c r="F21" i="17" s="1"/>
  <c r="C22" i="17"/>
  <c r="F22" i="17" s="1"/>
  <c r="C23" i="17"/>
  <c r="F23" i="17" s="1"/>
  <c r="C24" i="17"/>
  <c r="F24" i="17" s="1"/>
  <c r="C25" i="17"/>
  <c r="F25" i="17" s="1"/>
  <c r="C26" i="17"/>
  <c r="F26" i="17" s="1"/>
  <c r="C27" i="17"/>
  <c r="F27" i="17" s="1"/>
  <c r="C28" i="17"/>
  <c r="F28" i="17" s="1"/>
  <c r="C29" i="17"/>
  <c r="F29" i="17" s="1"/>
  <c r="C30" i="17"/>
  <c r="F30" i="17" s="1"/>
  <c r="C31" i="17"/>
  <c r="F31" i="17" s="1"/>
  <c r="C32" i="17"/>
  <c r="F32" i="17" s="1"/>
  <c r="C33" i="17"/>
  <c r="F33" i="17" s="1"/>
  <c r="C34" i="17"/>
  <c r="F34" i="17" s="1"/>
  <c r="C35" i="17"/>
  <c r="F35" i="17" s="1"/>
  <c r="C36" i="17"/>
  <c r="F36" i="17" s="1"/>
  <c r="C37" i="17"/>
  <c r="C38" i="17"/>
  <c r="C39" i="17"/>
  <c r="C40" i="17"/>
  <c r="F40" i="17" s="1"/>
  <c r="C41" i="17"/>
  <c r="F41" i="17" s="1"/>
  <c r="C42" i="17"/>
  <c r="F42" i="17" s="1"/>
  <c r="C43" i="17"/>
  <c r="F43" i="17" s="1"/>
  <c r="C44" i="17"/>
  <c r="F44" i="17" s="1"/>
  <c r="C45" i="17"/>
  <c r="F45" i="17" s="1"/>
  <c r="C46" i="17"/>
  <c r="F46" i="17" s="1"/>
  <c r="C47" i="17"/>
  <c r="F47" i="17" s="1"/>
  <c r="C48" i="17"/>
  <c r="F48" i="17" s="1"/>
  <c r="C49" i="17"/>
  <c r="F49" i="17" s="1"/>
  <c r="C50" i="17"/>
  <c r="F50" i="17" s="1"/>
  <c r="C51" i="17"/>
  <c r="F51" i="17" s="1"/>
  <c r="C52" i="17"/>
  <c r="F52" i="17" s="1"/>
  <c r="C53" i="17"/>
  <c r="F53" i="17" s="1"/>
  <c r="C54" i="17"/>
  <c r="F54" i="17" s="1"/>
  <c r="O114" i="23"/>
  <c r="O112" i="23"/>
  <c r="O110" i="23"/>
  <c r="E110" i="23"/>
  <c r="E108" i="23"/>
  <c r="E136" i="23"/>
  <c r="E135" i="23"/>
  <c r="E8" i="23"/>
  <c r="J8" i="23"/>
  <c r="O8" i="23"/>
  <c r="J9" i="23"/>
  <c r="O9" i="23"/>
  <c r="J10" i="23"/>
  <c r="O10" i="23"/>
  <c r="J11" i="23"/>
  <c r="O11" i="23"/>
  <c r="J12" i="23"/>
  <c r="O12" i="23"/>
  <c r="J13" i="23"/>
  <c r="O13" i="23"/>
  <c r="J14" i="23"/>
  <c r="O14" i="23"/>
  <c r="J15" i="23"/>
  <c r="O15" i="23"/>
  <c r="J16" i="23"/>
  <c r="O16" i="23"/>
  <c r="J18" i="23"/>
  <c r="O18" i="23"/>
  <c r="J19" i="23"/>
  <c r="O19" i="23"/>
  <c r="J20" i="23"/>
  <c r="O20" i="23"/>
  <c r="J21" i="23"/>
  <c r="O21" i="23"/>
  <c r="E22" i="23"/>
  <c r="J22" i="23"/>
  <c r="O22" i="23"/>
  <c r="E23" i="23"/>
  <c r="J23" i="23"/>
  <c r="O23" i="23"/>
  <c r="E24" i="23"/>
  <c r="J24" i="23"/>
  <c r="O24" i="23"/>
  <c r="E25" i="23"/>
  <c r="J25" i="23"/>
  <c r="O25" i="23"/>
  <c r="E26" i="23"/>
  <c r="J26" i="23"/>
  <c r="O26" i="23"/>
  <c r="E27" i="23"/>
  <c r="J27" i="23"/>
  <c r="O27" i="23"/>
  <c r="C28" i="23"/>
  <c r="H28" i="23"/>
  <c r="M28" i="23"/>
  <c r="S42" i="23" s="1"/>
  <c r="E32" i="23"/>
  <c r="J32" i="23"/>
  <c r="O32" i="23"/>
  <c r="E33" i="23"/>
  <c r="J33" i="23"/>
  <c r="O33" i="23"/>
  <c r="E34" i="23"/>
  <c r="J34" i="23"/>
  <c r="O34" i="23"/>
  <c r="E35" i="23"/>
  <c r="J35" i="23"/>
  <c r="O35" i="23"/>
  <c r="E36" i="23"/>
  <c r="J36" i="23"/>
  <c r="O36" i="23"/>
  <c r="E37" i="23"/>
  <c r="J37" i="23"/>
  <c r="O37" i="23"/>
  <c r="E38" i="23"/>
  <c r="J38" i="23"/>
  <c r="O38" i="23"/>
  <c r="E39" i="23"/>
  <c r="J39" i="23"/>
  <c r="O39" i="23"/>
  <c r="E40" i="23"/>
  <c r="J40" i="23"/>
  <c r="O40" i="23"/>
  <c r="E41" i="23"/>
  <c r="J41" i="23"/>
  <c r="O41" i="23"/>
  <c r="E43" i="23"/>
  <c r="J43" i="23"/>
  <c r="O43" i="23"/>
  <c r="E44" i="23"/>
  <c r="J44" i="23"/>
  <c r="O44" i="23"/>
  <c r="E45" i="23"/>
  <c r="J45" i="23"/>
  <c r="O45" i="23"/>
  <c r="E46" i="23"/>
  <c r="J46" i="23"/>
  <c r="O46" i="23"/>
  <c r="E47" i="23"/>
  <c r="J47" i="23"/>
  <c r="O47" i="23"/>
  <c r="E48" i="23"/>
  <c r="J48" i="23"/>
  <c r="O48" i="23"/>
  <c r="E49" i="23"/>
  <c r="J49" i="23"/>
  <c r="O49" i="23"/>
  <c r="E50" i="23"/>
  <c r="J50" i="23"/>
  <c r="O50" i="23"/>
  <c r="E51" i="23"/>
  <c r="J51" i="23"/>
  <c r="O51" i="23"/>
  <c r="C52" i="23"/>
  <c r="S43" i="23" s="1"/>
  <c r="H52" i="23"/>
  <c r="M52" i="23"/>
  <c r="S45" i="23" s="1"/>
  <c r="J108" i="23"/>
  <c r="E109" i="23"/>
  <c r="J109" i="23"/>
  <c r="O109" i="23"/>
  <c r="J110" i="23"/>
  <c r="E111" i="23"/>
  <c r="J111" i="23"/>
  <c r="O111" i="23"/>
  <c r="E112" i="23"/>
  <c r="J112" i="23"/>
  <c r="E113" i="23"/>
  <c r="J113" i="23"/>
  <c r="O113" i="23"/>
  <c r="J114" i="23"/>
  <c r="E115" i="23"/>
  <c r="J115" i="23"/>
  <c r="O115" i="23"/>
  <c r="E116" i="23"/>
  <c r="J116" i="23"/>
  <c r="O116" i="23"/>
  <c r="E117" i="23"/>
  <c r="J117" i="23"/>
  <c r="O117" i="23"/>
  <c r="E119" i="23"/>
  <c r="J119" i="23"/>
  <c r="O119" i="23"/>
  <c r="E120" i="23"/>
  <c r="J120" i="23"/>
  <c r="O120" i="23"/>
  <c r="E121" i="23"/>
  <c r="J121" i="23"/>
  <c r="O121" i="23"/>
  <c r="E122" i="23"/>
  <c r="J122" i="23"/>
  <c r="O122" i="23"/>
  <c r="E123" i="23"/>
  <c r="J123" i="23"/>
  <c r="O123" i="23"/>
  <c r="E124" i="23"/>
  <c r="J124" i="23"/>
  <c r="O124" i="23"/>
  <c r="E125" i="23"/>
  <c r="J125" i="23"/>
  <c r="O125" i="23"/>
  <c r="E126" i="23"/>
  <c r="J126" i="23"/>
  <c r="O126" i="23"/>
  <c r="E127" i="23"/>
  <c r="J127" i="23"/>
  <c r="O127" i="23"/>
  <c r="H128" i="23"/>
  <c r="E132" i="23"/>
  <c r="J132" i="23"/>
  <c r="O132" i="23"/>
  <c r="E133" i="23"/>
  <c r="J133" i="23"/>
  <c r="O133" i="23"/>
  <c r="E134" i="23"/>
  <c r="J134" i="23"/>
  <c r="O134" i="23"/>
  <c r="J135" i="23"/>
  <c r="O135" i="23"/>
  <c r="J136" i="23"/>
  <c r="O136" i="23"/>
  <c r="E137" i="23"/>
  <c r="J137" i="23"/>
  <c r="O137" i="23"/>
  <c r="E138" i="23"/>
  <c r="J138" i="23"/>
  <c r="O138" i="23"/>
  <c r="E139" i="23"/>
  <c r="J139" i="23"/>
  <c r="O139" i="23"/>
  <c r="E140" i="23"/>
  <c r="J140" i="23"/>
  <c r="O140" i="23"/>
  <c r="E141" i="23"/>
  <c r="J141" i="23"/>
  <c r="O141" i="23"/>
  <c r="E142" i="23"/>
  <c r="J142" i="23"/>
  <c r="O142" i="23"/>
  <c r="E144" i="23"/>
  <c r="J144" i="23"/>
  <c r="O144" i="23"/>
  <c r="E145" i="23"/>
  <c r="J145" i="23"/>
  <c r="O145" i="23"/>
  <c r="E146" i="23"/>
  <c r="J146" i="23"/>
  <c r="O146" i="23"/>
  <c r="E147" i="23"/>
  <c r="J147" i="23"/>
  <c r="O147" i="23"/>
  <c r="E148" i="23"/>
  <c r="J148" i="23"/>
  <c r="O148" i="23"/>
  <c r="AC8" i="29"/>
  <c r="Q3" i="18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CG20" i="9" s="1" a="1"/>
  <c r="CG20" i="9" s="1"/>
  <c r="B37" i="9"/>
  <c r="B38" i="9"/>
  <c r="B44" i="7"/>
  <c r="B45" i="7"/>
  <c r="CG25" i="9" a="1"/>
  <c r="CG25" i="9" s="1"/>
  <c r="CG26" i="9" a="1"/>
  <c r="CG26" i="9" s="1"/>
  <c r="B51" i="7"/>
  <c r="B6" i="9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6" i="28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6" i="16"/>
  <c r="N55" i="50" s="1"/>
  <c r="C7" i="29"/>
  <c r="N8" i="50" s="1"/>
  <c r="C8" i="29"/>
  <c r="C9" i="29"/>
  <c r="N10" i="50" s="1"/>
  <c r="C10" i="29"/>
  <c r="AI6" i="29" s="1"/>
  <c r="C11" i="29"/>
  <c r="AI7" i="29" s="1"/>
  <c r="C12" i="29"/>
  <c r="N13" i="50" s="1"/>
  <c r="C13" i="29"/>
  <c r="C14" i="29"/>
  <c r="N15" i="50" s="1"/>
  <c r="C15" i="29"/>
  <c r="N16" i="50" s="1"/>
  <c r="C16" i="29"/>
  <c r="C17" i="29"/>
  <c r="N18" i="50" s="1"/>
  <c r="C18" i="29"/>
  <c r="N19" i="50" s="1"/>
  <c r="C19" i="29"/>
  <c r="AI8" i="29" s="1"/>
  <c r="C20" i="29"/>
  <c r="N21" i="50" s="1"/>
  <c r="C21" i="29"/>
  <c r="N22" i="50" s="1"/>
  <c r="C22" i="29"/>
  <c r="N23" i="50" s="1"/>
  <c r="C23" i="29"/>
  <c r="N24" i="50" s="1"/>
  <c r="C24" i="29"/>
  <c r="C25" i="29"/>
  <c r="N26" i="50" s="1"/>
  <c r="C26" i="29"/>
  <c r="N27" i="50" s="1"/>
  <c r="C27" i="29"/>
  <c r="N28" i="50" s="1"/>
  <c r="C28" i="29"/>
  <c r="C29" i="29"/>
  <c r="AI9" i="29" s="1"/>
  <c r="C30" i="29"/>
  <c r="AI10" i="29" s="1"/>
  <c r="C31" i="29"/>
  <c r="N33" i="50" s="1"/>
  <c r="C32" i="29"/>
  <c r="N34" i="50" s="1"/>
  <c r="C33" i="29"/>
  <c r="N35" i="50" s="1"/>
  <c r="C34" i="29"/>
  <c r="N36" i="50" s="1"/>
  <c r="C35" i="29"/>
  <c r="N37" i="50" s="1"/>
  <c r="C36" i="29"/>
  <c r="AI11" i="29" s="1"/>
  <c r="C37" i="29"/>
  <c r="N39" i="50" s="1"/>
  <c r="C38" i="29"/>
  <c r="N40" i="50" s="1"/>
  <c r="C39" i="29"/>
  <c r="N41" i="50" s="1"/>
  <c r="C40" i="29"/>
  <c r="C41" i="29"/>
  <c r="N43" i="50" s="1"/>
  <c r="C42" i="29"/>
  <c r="N44" i="50" s="1"/>
  <c r="C43" i="29"/>
  <c r="N45" i="50" s="1"/>
  <c r="C44" i="29"/>
  <c r="N46" i="50" s="1"/>
  <c r="C45" i="29"/>
  <c r="AI12" i="29" s="1"/>
  <c r="C46" i="29"/>
  <c r="N48" i="50" s="1"/>
  <c r="C47" i="29"/>
  <c r="N49" i="50" s="1"/>
  <c r="C48" i="29"/>
  <c r="AI13" i="29" s="1"/>
  <c r="C49" i="29"/>
  <c r="C50" i="29"/>
  <c r="N52" i="50" s="1"/>
  <c r="C51" i="29"/>
  <c r="C52" i="29"/>
  <c r="C53" i="29"/>
  <c r="N54" i="50" s="1"/>
  <c r="C6" i="29"/>
  <c r="BC9" i="30"/>
  <c r="BC16" i="30"/>
  <c r="BC17" i="30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BK15" i="14" s="1"/>
  <c r="C51" i="14"/>
  <c r="C52" i="14"/>
  <c r="C53" i="14"/>
  <c r="C6" i="14"/>
  <c r="C7" i="12"/>
  <c r="AC7" i="12" s="1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AC21" i="12"/>
  <c r="AC23" i="12"/>
  <c r="AC24" i="12"/>
  <c r="C6" i="12"/>
  <c r="AC6" i="12" s="1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AD22" i="13"/>
  <c r="C6" i="13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U19" i="26" s="1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U23" i="26" s="1"/>
  <c r="C49" i="26"/>
  <c r="U24" i="26" s="1"/>
  <c r="C50" i="26"/>
  <c r="C51" i="26"/>
  <c r="U25" i="26" s="1"/>
  <c r="C52" i="26"/>
  <c r="C53" i="26"/>
  <c r="C6" i="26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W16" i="10" s="1"/>
  <c r="C36" i="10"/>
  <c r="W17" i="10" s="1"/>
  <c r="C37" i="10"/>
  <c r="C38" i="10"/>
  <c r="C40" i="10"/>
  <c r="W18" i="10" s="1"/>
  <c r="C41" i="10"/>
  <c r="C42" i="10"/>
  <c r="C43" i="10"/>
  <c r="C44" i="10"/>
  <c r="C45" i="10"/>
  <c r="C46" i="10"/>
  <c r="C47" i="10"/>
  <c r="C48" i="10"/>
  <c r="C49" i="10"/>
  <c r="C50" i="10"/>
  <c r="C51" i="10"/>
  <c r="C52" i="10"/>
  <c r="W21" i="10" s="1"/>
  <c r="C53" i="10"/>
  <c r="C6" i="10"/>
  <c r="F49" i="7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9" i="9"/>
  <c r="C40" i="9"/>
  <c r="C41" i="9"/>
  <c r="C42" i="9"/>
  <c r="C43" i="9"/>
  <c r="C44" i="9"/>
  <c r="C45" i="9"/>
  <c r="C43" i="7" s="1"/>
  <c r="K43" i="7" s="1"/>
  <c r="C46" i="9"/>
  <c r="C44" i="7" s="1"/>
  <c r="K44" i="7" s="1"/>
  <c r="C47" i="9"/>
  <c r="C45" i="7" s="1"/>
  <c r="K45" i="7" s="1"/>
  <c r="C48" i="9"/>
  <c r="C46" i="7" s="1"/>
  <c r="K46" i="7" s="1"/>
  <c r="C49" i="9"/>
  <c r="C47" i="7" s="1"/>
  <c r="K47" i="7" s="1"/>
  <c r="C50" i="9"/>
  <c r="C48" i="7" s="1"/>
  <c r="K48" i="7" s="1"/>
  <c r="C51" i="9"/>
  <c r="C49" i="7" s="1"/>
  <c r="K49" i="7" s="1"/>
  <c r="C52" i="9"/>
  <c r="C50" i="7" s="1"/>
  <c r="K50" i="7" s="1"/>
  <c r="C53" i="9"/>
  <c r="C51" i="7" s="1"/>
  <c r="K51" i="7" s="1"/>
  <c r="C6" i="9"/>
  <c r="D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D6" i="28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6" i="16"/>
  <c r="D7" i="29"/>
  <c r="O8" i="50" s="1"/>
  <c r="D8" i="29"/>
  <c r="O9" i="50" s="1"/>
  <c r="D9" i="29"/>
  <c r="O10" i="50" s="1"/>
  <c r="D10" i="29"/>
  <c r="O11" i="50" s="1"/>
  <c r="D11" i="29"/>
  <c r="O12" i="50" s="1"/>
  <c r="D12" i="29"/>
  <c r="O13" i="50" s="1"/>
  <c r="D13" i="29"/>
  <c r="O14" i="50" s="1"/>
  <c r="D14" i="29"/>
  <c r="O15" i="50" s="1"/>
  <c r="D15" i="29"/>
  <c r="O16" i="50" s="1"/>
  <c r="D16" i="29"/>
  <c r="O17" i="50" s="1"/>
  <c r="D17" i="29"/>
  <c r="O18" i="50" s="1"/>
  <c r="D18" i="29"/>
  <c r="O19" i="50" s="1"/>
  <c r="D19" i="29"/>
  <c r="O20" i="50" s="1"/>
  <c r="D20" i="29"/>
  <c r="O21" i="50" s="1"/>
  <c r="D21" i="29"/>
  <c r="O22" i="50" s="1"/>
  <c r="D22" i="29"/>
  <c r="O23" i="50" s="1"/>
  <c r="D23" i="29"/>
  <c r="O24" i="50" s="1"/>
  <c r="D24" i="29"/>
  <c r="O25" i="50" s="1"/>
  <c r="D25" i="29"/>
  <c r="O26" i="50" s="1"/>
  <c r="D26" i="29"/>
  <c r="O27" i="50" s="1"/>
  <c r="D27" i="29"/>
  <c r="O28" i="50" s="1"/>
  <c r="D28" i="29"/>
  <c r="O29" i="50" s="1"/>
  <c r="D29" i="29"/>
  <c r="O30" i="50" s="1"/>
  <c r="D30" i="29"/>
  <c r="O31" i="50" s="1"/>
  <c r="D31" i="29"/>
  <c r="O33" i="50" s="1"/>
  <c r="D32" i="29"/>
  <c r="O34" i="50" s="1"/>
  <c r="D33" i="29"/>
  <c r="O35" i="50" s="1"/>
  <c r="D34" i="29"/>
  <c r="O36" i="50" s="1"/>
  <c r="D35" i="29"/>
  <c r="O37" i="50" s="1"/>
  <c r="D36" i="29"/>
  <c r="O38" i="50" s="1"/>
  <c r="D37" i="29"/>
  <c r="O39" i="50" s="1"/>
  <c r="D38" i="29"/>
  <c r="O40" i="50" s="1"/>
  <c r="D39" i="29"/>
  <c r="O41" i="50" s="1"/>
  <c r="D40" i="29"/>
  <c r="O42" i="50" s="1"/>
  <c r="D41" i="29"/>
  <c r="O43" i="50" s="1"/>
  <c r="D42" i="29"/>
  <c r="O44" i="50" s="1"/>
  <c r="D43" i="29"/>
  <c r="O45" i="50" s="1"/>
  <c r="D44" i="29"/>
  <c r="O46" i="50" s="1"/>
  <c r="D45" i="29"/>
  <c r="O47" i="50" s="1"/>
  <c r="D46" i="29"/>
  <c r="O48" i="50" s="1"/>
  <c r="D47" i="29"/>
  <c r="O49" i="50" s="1"/>
  <c r="D48" i="29"/>
  <c r="O50" i="50" s="1"/>
  <c r="D49" i="29"/>
  <c r="O51" i="50" s="1"/>
  <c r="D50" i="29"/>
  <c r="O52" i="50" s="1"/>
  <c r="D51" i="29"/>
  <c r="D52" i="29"/>
  <c r="O53" i="50" s="1"/>
  <c r="D53" i="29"/>
  <c r="O54" i="50" s="1"/>
  <c r="D6" i="29"/>
  <c r="O7" i="50" s="1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6" i="30"/>
  <c r="W51" i="30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6" i="14"/>
  <c r="AB51" i="14"/>
  <c r="M51" i="16" s="1"/>
  <c r="Q51" i="26"/>
  <c r="G51" i="16" s="1"/>
  <c r="Y51" i="13"/>
  <c r="K51" i="16" s="1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6" i="12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6" i="13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44" i="26"/>
  <c r="D45" i="26"/>
  <c r="D46" i="26"/>
  <c r="D47" i="26"/>
  <c r="D48" i="26"/>
  <c r="D49" i="26"/>
  <c r="D50" i="26"/>
  <c r="D51" i="26"/>
  <c r="D52" i="26"/>
  <c r="D53" i="26"/>
  <c r="D6" i="26"/>
  <c r="D51" i="10"/>
  <c r="D52" i="10"/>
  <c r="D53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6" i="10"/>
  <c r="BP54" i="9"/>
  <c r="BN54" i="9"/>
  <c r="AV54" i="28"/>
  <c r="Z54" i="28"/>
  <c r="Y54" i="28"/>
  <c r="BD10" i="50"/>
  <c r="BH10" i="50"/>
  <c r="BF18" i="50"/>
  <c r="W22" i="10"/>
  <c r="W23" i="10"/>
  <c r="W24" i="10"/>
  <c r="W25" i="10"/>
  <c r="W26" i="10"/>
  <c r="W27" i="10"/>
  <c r="J24" i="18"/>
  <c r="J25" i="18" s="1"/>
  <c r="BB17" i="50"/>
  <c r="BC3" i="50"/>
  <c r="BH8" i="50"/>
  <c r="AK56" i="50"/>
  <c r="AL56" i="50"/>
  <c r="BB3" i="50"/>
  <c r="BF3" i="50"/>
  <c r="BG3" i="50"/>
  <c r="BH3" i="50"/>
  <c r="BI3" i="50"/>
  <c r="BL3" i="50"/>
  <c r="BM3" i="50"/>
  <c r="BN3" i="50"/>
  <c r="BO3" i="50"/>
  <c r="BB4" i="50"/>
  <c r="BF4" i="50"/>
  <c r="BG4" i="50"/>
  <c r="BH4" i="50"/>
  <c r="BI4" i="50"/>
  <c r="BL4" i="50"/>
  <c r="BM4" i="50"/>
  <c r="BN4" i="50"/>
  <c r="BO4" i="50"/>
  <c r="BB5" i="50"/>
  <c r="BC5" i="50"/>
  <c r="BD5" i="50"/>
  <c r="BE5" i="50"/>
  <c r="BF5" i="50"/>
  <c r="BG5" i="50"/>
  <c r="BH5" i="50"/>
  <c r="BI5" i="50"/>
  <c r="BL5" i="50"/>
  <c r="BM5" i="50"/>
  <c r="BN5" i="50"/>
  <c r="BO5" i="50"/>
  <c r="BB6" i="50"/>
  <c r="BC6" i="50"/>
  <c r="BD6" i="50"/>
  <c r="BE6" i="50"/>
  <c r="BF6" i="50"/>
  <c r="BG6" i="50"/>
  <c r="BH6" i="50"/>
  <c r="BI6" i="50"/>
  <c r="BN6" i="50"/>
  <c r="BO6" i="50"/>
  <c r="BB7" i="50"/>
  <c r="BC7" i="50"/>
  <c r="BD7" i="50"/>
  <c r="BE7" i="50"/>
  <c r="BF7" i="50"/>
  <c r="BG7" i="50"/>
  <c r="BH7" i="50"/>
  <c r="BI7" i="50"/>
  <c r="BN7" i="50"/>
  <c r="BO7" i="50"/>
  <c r="BB8" i="50"/>
  <c r="BF8" i="50"/>
  <c r="BG8" i="50"/>
  <c r="BI8" i="50"/>
  <c r="BL8" i="50"/>
  <c r="BM8" i="50"/>
  <c r="BN8" i="50"/>
  <c r="BO8" i="50"/>
  <c r="BB9" i="50"/>
  <c r="BF9" i="50"/>
  <c r="BG9" i="50"/>
  <c r="BH9" i="50"/>
  <c r="BI9" i="50"/>
  <c r="BL9" i="50"/>
  <c r="BM9" i="50"/>
  <c r="BN9" i="50"/>
  <c r="BO9" i="50"/>
  <c r="BB10" i="50"/>
  <c r="BF10" i="50"/>
  <c r="BG10" i="50"/>
  <c r="BI10" i="50"/>
  <c r="BL10" i="50"/>
  <c r="BM10" i="50"/>
  <c r="BN10" i="50"/>
  <c r="BO10" i="50"/>
  <c r="BB11" i="50"/>
  <c r="BF11" i="50"/>
  <c r="BG11" i="50"/>
  <c r="BH11" i="50"/>
  <c r="BI11" i="50"/>
  <c r="BL11" i="50"/>
  <c r="BM11" i="50"/>
  <c r="BN11" i="50"/>
  <c r="BO11" i="50"/>
  <c r="BB12" i="50"/>
  <c r="BF12" i="50"/>
  <c r="BG12" i="50"/>
  <c r="BH12" i="50"/>
  <c r="BI12" i="50"/>
  <c r="BL12" i="50"/>
  <c r="BM12" i="50"/>
  <c r="BN12" i="50"/>
  <c r="BO12" i="50"/>
  <c r="BB13" i="50"/>
  <c r="BG13" i="50"/>
  <c r="BH13" i="50"/>
  <c r="BI13" i="50"/>
  <c r="BL13" i="50"/>
  <c r="BM13" i="50"/>
  <c r="BN13" i="50"/>
  <c r="BO13" i="50"/>
  <c r="BB14" i="50"/>
  <c r="BD14" i="50"/>
  <c r="BE14" i="50"/>
  <c r="BG14" i="50"/>
  <c r="BH14" i="50"/>
  <c r="BI14" i="50"/>
  <c r="BL14" i="50"/>
  <c r="BM14" i="50"/>
  <c r="BN14" i="50"/>
  <c r="BO14" i="50"/>
  <c r="BB15" i="50"/>
  <c r="BC15" i="50"/>
  <c r="BF15" i="50"/>
  <c r="BG15" i="50"/>
  <c r="BH15" i="50"/>
  <c r="BI15" i="50"/>
  <c r="BL15" i="50"/>
  <c r="BM15" i="50"/>
  <c r="BN15" i="50"/>
  <c r="BO15" i="50"/>
  <c r="BB16" i="50"/>
  <c r="BC16" i="50"/>
  <c r="BD16" i="50"/>
  <c r="BE16" i="50"/>
  <c r="BF16" i="50"/>
  <c r="BG16" i="50"/>
  <c r="BH16" i="50"/>
  <c r="BI16" i="50"/>
  <c r="BL16" i="50"/>
  <c r="BM16" i="50"/>
  <c r="BN16" i="50"/>
  <c r="BO16" i="50"/>
  <c r="BC17" i="50"/>
  <c r="BD17" i="50"/>
  <c r="BE17" i="50"/>
  <c r="BF17" i="50"/>
  <c r="BG17" i="50"/>
  <c r="BH17" i="50"/>
  <c r="BI17" i="50"/>
  <c r="BL17" i="50"/>
  <c r="BN17" i="50"/>
  <c r="BO17" i="50"/>
  <c r="BG18" i="50"/>
  <c r="BH18" i="50"/>
  <c r="BI18" i="50"/>
  <c r="BL18" i="50"/>
  <c r="BN18" i="50"/>
  <c r="BO18" i="50"/>
  <c r="BB19" i="50"/>
  <c r="BN19" i="50"/>
  <c r="BO19" i="50"/>
  <c r="BB20" i="50"/>
  <c r="BC20" i="50"/>
  <c r="BD20" i="50"/>
  <c r="BE20" i="50"/>
  <c r="BF20" i="50"/>
  <c r="BG20" i="50"/>
  <c r="BH20" i="50"/>
  <c r="BI20" i="50"/>
  <c r="BN20" i="50"/>
  <c r="BO20" i="50"/>
  <c r="BB21" i="50"/>
  <c r="BC21" i="50"/>
  <c r="BD21" i="50"/>
  <c r="BE21" i="50"/>
  <c r="BF21" i="50"/>
  <c r="BG21" i="50"/>
  <c r="BH21" i="50"/>
  <c r="BI21" i="50"/>
  <c r="BL21" i="50"/>
  <c r="BM21" i="50"/>
  <c r="BN21" i="50"/>
  <c r="BO21" i="50"/>
  <c r="BB22" i="50"/>
  <c r="BD22" i="50"/>
  <c r="BE22" i="50"/>
  <c r="BF22" i="50"/>
  <c r="BG22" i="50"/>
  <c r="BH22" i="50"/>
  <c r="BL22" i="50"/>
  <c r="BM22" i="50"/>
  <c r="BN22" i="50"/>
  <c r="BO22" i="50"/>
  <c r="BB23" i="50"/>
  <c r="BC23" i="50"/>
  <c r="BD23" i="50"/>
  <c r="BE23" i="50"/>
  <c r="BF23" i="50"/>
  <c r="BG23" i="50"/>
  <c r="BH23" i="50"/>
  <c r="BL23" i="50"/>
  <c r="BN23" i="50"/>
  <c r="BO23" i="50"/>
  <c r="BB24" i="50"/>
  <c r="BC24" i="50"/>
  <c r="BN24" i="50"/>
  <c r="BB25" i="50"/>
  <c r="BC25" i="50"/>
  <c r="BN25" i="50"/>
  <c r="BB26" i="50"/>
  <c r="BC26" i="50"/>
  <c r="BN26" i="50"/>
  <c r="BB27" i="50"/>
  <c r="BC27" i="50"/>
  <c r="BN27" i="50"/>
  <c r="BB28" i="50"/>
  <c r="BC28" i="50"/>
  <c r="BN28" i="50"/>
  <c r="BB29" i="50"/>
  <c r="BC29" i="50"/>
  <c r="BN29" i="50"/>
  <c r="BB30" i="50"/>
  <c r="BC30" i="50"/>
  <c r="BN30" i="50"/>
  <c r="BB31" i="50"/>
  <c r="BC31" i="50"/>
  <c r="BN31" i="50"/>
  <c r="BB32" i="50"/>
  <c r="BC32" i="50"/>
  <c r="BN32" i="50"/>
  <c r="BB33" i="50"/>
  <c r="BC33" i="50"/>
  <c r="BN33" i="50"/>
  <c r="BB34" i="50"/>
  <c r="BC34" i="50"/>
  <c r="BN34" i="50"/>
  <c r="BB35" i="50"/>
  <c r="BC35" i="50"/>
  <c r="BN35" i="50"/>
  <c r="BB36" i="50"/>
  <c r="BC36" i="50"/>
  <c r="BN36" i="50"/>
  <c r="BB37" i="50"/>
  <c r="BC37" i="50"/>
  <c r="BN37" i="50"/>
  <c r="BB38" i="50"/>
  <c r="BC38" i="50"/>
  <c r="BN38" i="50"/>
  <c r="BB39" i="50"/>
  <c r="BC39" i="50"/>
  <c r="BN39" i="50"/>
  <c r="BB40" i="50"/>
  <c r="BC40" i="50"/>
  <c r="BN40" i="50"/>
  <c r="BB41" i="50"/>
  <c r="BC41" i="50"/>
  <c r="BN41" i="50"/>
  <c r="BB42" i="50"/>
  <c r="BC42" i="50"/>
  <c r="BN42" i="50"/>
  <c r="BB43" i="50"/>
  <c r="BC43" i="50"/>
  <c r="BN43" i="50"/>
  <c r="BB44" i="50"/>
  <c r="BC44" i="50"/>
  <c r="BN44" i="50"/>
  <c r="BB45" i="50"/>
  <c r="BC45" i="50"/>
  <c r="BN45" i="50"/>
  <c r="BB46" i="50"/>
  <c r="BC46" i="50"/>
  <c r="BN46" i="50"/>
  <c r="BB47" i="50"/>
  <c r="BC47" i="50"/>
  <c r="BN47" i="50"/>
  <c r="BB49" i="50"/>
  <c r="BC49" i="50"/>
  <c r="BN49" i="50"/>
  <c r="BB50" i="50"/>
  <c r="BC50" i="50"/>
  <c r="BN50" i="50"/>
  <c r="BB51" i="50"/>
  <c r="BC51" i="50"/>
  <c r="BN51" i="50"/>
  <c r="BB52" i="50"/>
  <c r="BC52" i="50"/>
  <c r="BN52" i="50"/>
  <c r="BB53" i="50"/>
  <c r="BC53" i="50"/>
  <c r="BN53" i="50"/>
  <c r="BB54" i="50"/>
  <c r="BC54" i="50"/>
  <c r="BN54" i="50"/>
  <c r="BB55" i="50"/>
  <c r="BC55" i="50"/>
  <c r="BN55" i="50"/>
  <c r="BB56" i="50"/>
  <c r="BC56" i="50"/>
  <c r="BN56" i="50"/>
  <c r="BB57" i="50"/>
  <c r="BC57" i="50"/>
  <c r="BN57" i="50"/>
  <c r="BB58" i="50"/>
  <c r="BC58" i="50"/>
  <c r="BN58" i="50"/>
  <c r="BB59" i="50"/>
  <c r="BC59" i="50"/>
  <c r="BN59" i="50"/>
  <c r="BB60" i="50"/>
  <c r="BC60" i="50"/>
  <c r="BN60" i="50"/>
  <c r="BB61" i="50"/>
  <c r="BC61" i="50"/>
  <c r="BN61" i="50"/>
  <c r="BB62" i="50"/>
  <c r="BC62" i="50"/>
  <c r="BN62" i="50"/>
  <c r="BB63" i="50"/>
  <c r="BC63" i="50"/>
  <c r="BN63" i="50"/>
  <c r="BB64" i="50"/>
  <c r="BC64" i="50"/>
  <c r="BN64" i="50"/>
  <c r="BB65" i="50"/>
  <c r="BC65" i="50"/>
  <c r="BN65" i="50"/>
  <c r="BB66" i="50"/>
  <c r="BC66" i="50"/>
  <c r="BN66" i="50"/>
  <c r="BB67" i="50"/>
  <c r="BC67" i="50"/>
  <c r="BN67" i="50"/>
  <c r="BB68" i="50"/>
  <c r="BC68" i="50"/>
  <c r="BN68" i="50"/>
  <c r="BB69" i="50"/>
  <c r="BC69" i="50"/>
  <c r="BN69" i="50"/>
  <c r="BB70" i="50"/>
  <c r="BC70" i="50"/>
  <c r="BN70" i="50"/>
  <c r="BB71" i="50"/>
  <c r="BC71" i="50"/>
  <c r="BD71" i="50"/>
  <c r="BN71" i="50"/>
  <c r="BB72" i="50"/>
  <c r="BC72" i="50"/>
  <c r="BD72" i="50"/>
  <c r="BN72" i="50"/>
  <c r="BO72" i="50"/>
  <c r="BB73" i="50"/>
  <c r="BC73" i="50"/>
  <c r="BD73" i="50"/>
  <c r="BE73" i="50"/>
  <c r="BF73" i="50"/>
  <c r="BG73" i="50"/>
  <c r="BH73" i="50"/>
  <c r="BI73" i="50"/>
  <c r="BL73" i="50"/>
  <c r="BM73" i="50"/>
  <c r="BN73" i="50"/>
  <c r="BO73" i="50"/>
  <c r="BB74" i="50"/>
  <c r="BC74" i="50"/>
  <c r="BD74" i="50"/>
  <c r="BE74" i="50"/>
  <c r="BF74" i="50"/>
  <c r="BG74" i="50"/>
  <c r="BH74" i="50"/>
  <c r="BI74" i="50"/>
  <c r="BL74" i="50"/>
  <c r="BM74" i="50"/>
  <c r="BN74" i="50"/>
  <c r="BO74" i="50"/>
  <c r="BB75" i="50"/>
  <c r="BC75" i="50"/>
  <c r="BD75" i="50"/>
  <c r="BE75" i="50"/>
  <c r="BF75" i="50"/>
  <c r="BG75" i="50"/>
  <c r="BH75" i="50"/>
  <c r="BI75" i="50"/>
  <c r="BL75" i="50"/>
  <c r="BM75" i="50"/>
  <c r="BN75" i="50"/>
  <c r="BO75" i="50"/>
  <c r="BB76" i="50"/>
  <c r="BC76" i="50"/>
  <c r="BD76" i="50"/>
  <c r="BE76" i="50"/>
  <c r="BF76" i="50"/>
  <c r="BG76" i="50"/>
  <c r="BH76" i="50"/>
  <c r="BI76" i="50"/>
  <c r="BL76" i="50"/>
  <c r="BM76" i="50"/>
  <c r="BN76" i="50"/>
  <c r="BO76" i="50"/>
  <c r="BB77" i="50"/>
  <c r="BC77" i="50"/>
  <c r="BF77" i="50"/>
  <c r="BG77" i="50"/>
  <c r="BH77" i="50"/>
  <c r="BI77" i="50"/>
  <c r="BL77" i="50"/>
  <c r="BM77" i="50"/>
  <c r="BN77" i="50"/>
  <c r="BO77" i="50"/>
  <c r="BB78" i="50"/>
  <c r="BC78" i="50"/>
  <c r="BF78" i="50"/>
  <c r="BG78" i="50"/>
  <c r="BH78" i="50"/>
  <c r="BI78" i="50"/>
  <c r="BL78" i="50"/>
  <c r="BM78" i="50"/>
  <c r="BN78" i="50"/>
  <c r="BO78" i="50"/>
  <c r="BB79" i="50"/>
  <c r="BC79" i="50"/>
  <c r="BE79" i="50"/>
  <c r="BF79" i="50"/>
  <c r="BG79" i="50"/>
  <c r="BI79" i="50"/>
  <c r="BL79" i="50"/>
  <c r="BM79" i="50"/>
  <c r="BN79" i="50"/>
  <c r="BO79" i="50"/>
  <c r="BB80" i="50"/>
  <c r="BC80" i="50"/>
  <c r="BE80" i="50"/>
  <c r="BF80" i="50"/>
  <c r="BG80" i="50"/>
  <c r="BH80" i="50"/>
  <c r="BI80" i="50"/>
  <c r="BL80" i="50"/>
  <c r="BM80" i="50"/>
  <c r="BN80" i="50"/>
  <c r="BO80" i="50"/>
  <c r="BB81" i="50"/>
  <c r="BC81" i="50"/>
  <c r="BF81" i="50"/>
  <c r="BG81" i="50"/>
  <c r="BH81" i="50"/>
  <c r="BI81" i="50"/>
  <c r="BL81" i="50"/>
  <c r="BM81" i="50"/>
  <c r="BN81" i="50"/>
  <c r="BO81" i="50"/>
  <c r="BB82" i="50"/>
  <c r="BC82" i="50"/>
  <c r="BE82" i="50"/>
  <c r="BF82" i="50"/>
  <c r="BG82" i="50"/>
  <c r="BH82" i="50"/>
  <c r="BI82" i="50"/>
  <c r="BL82" i="50"/>
  <c r="BM82" i="50"/>
  <c r="BN82" i="50"/>
  <c r="BO82" i="50"/>
  <c r="BB83" i="50"/>
  <c r="BC83" i="50"/>
  <c r="BF83" i="50"/>
  <c r="BG83" i="50"/>
  <c r="BH83" i="50"/>
  <c r="BI83" i="50"/>
  <c r="BL83" i="50"/>
  <c r="BM83" i="50"/>
  <c r="BN83" i="50"/>
  <c r="BO83" i="50"/>
  <c r="BB84" i="50"/>
  <c r="BC84" i="50"/>
  <c r="BF84" i="50"/>
  <c r="BG84" i="50"/>
  <c r="BH84" i="50"/>
  <c r="BI84" i="50"/>
  <c r="BL84" i="50"/>
  <c r="BM84" i="50"/>
  <c r="BN84" i="50"/>
  <c r="BO84" i="50"/>
  <c r="BB85" i="50"/>
  <c r="BC85" i="50"/>
  <c r="BF85" i="50"/>
  <c r="BG85" i="50"/>
  <c r="BH85" i="50"/>
  <c r="BI85" i="50"/>
  <c r="BL85" i="50"/>
  <c r="BM85" i="50"/>
  <c r="BN85" i="50"/>
  <c r="BO85" i="50"/>
  <c r="BB86" i="50"/>
  <c r="BC86" i="50"/>
  <c r="BF86" i="50"/>
  <c r="BG86" i="50"/>
  <c r="BH86" i="50"/>
  <c r="BI86" i="50"/>
  <c r="BL86" i="50"/>
  <c r="BM86" i="50"/>
  <c r="BN86" i="50"/>
  <c r="BO86" i="50"/>
  <c r="BB87" i="50"/>
  <c r="BC87" i="50"/>
  <c r="BF87" i="50"/>
  <c r="BG87" i="50"/>
  <c r="BH87" i="50"/>
  <c r="BI87" i="50"/>
  <c r="BL87" i="50"/>
  <c r="BM87" i="50"/>
  <c r="BN87" i="50"/>
  <c r="BO87" i="50"/>
  <c r="BB88" i="50"/>
  <c r="BC88" i="50"/>
  <c r="BF88" i="50"/>
  <c r="BG88" i="50"/>
  <c r="BH88" i="50"/>
  <c r="BI88" i="50"/>
  <c r="BL88" i="50"/>
  <c r="BM88" i="50"/>
  <c r="BN88" i="50"/>
  <c r="BO88" i="50"/>
  <c r="BB89" i="50"/>
  <c r="BC89" i="50"/>
  <c r="BF89" i="50"/>
  <c r="BG89" i="50"/>
  <c r="BH89" i="50"/>
  <c r="BI89" i="50"/>
  <c r="BL89" i="50"/>
  <c r="BM89" i="50"/>
  <c r="BN89" i="50"/>
  <c r="BO89" i="50"/>
  <c r="BB90" i="50"/>
  <c r="BC90" i="50"/>
  <c r="BF90" i="50"/>
  <c r="BG90" i="50"/>
  <c r="BH90" i="50"/>
  <c r="BI90" i="50"/>
  <c r="BL90" i="50"/>
  <c r="BM90" i="50"/>
  <c r="BN90" i="50"/>
  <c r="BO90" i="50"/>
  <c r="BB91" i="50"/>
  <c r="BC91" i="50"/>
  <c r="BF91" i="50"/>
  <c r="BG91" i="50"/>
  <c r="BH91" i="50"/>
  <c r="BI91" i="50"/>
  <c r="BL91" i="50"/>
  <c r="BM91" i="50"/>
  <c r="BN91" i="50"/>
  <c r="BO91" i="50"/>
  <c r="BB92" i="50"/>
  <c r="BC92" i="50"/>
  <c r="BF92" i="50"/>
  <c r="BG92" i="50"/>
  <c r="BH92" i="50"/>
  <c r="BI92" i="50"/>
  <c r="BL92" i="50"/>
  <c r="BM92" i="50"/>
  <c r="BN92" i="50"/>
  <c r="BO92" i="50"/>
  <c r="BB93" i="50"/>
  <c r="BC93" i="50"/>
  <c r="BF93" i="50"/>
  <c r="BG93" i="50"/>
  <c r="BH93" i="50"/>
  <c r="BI93" i="50"/>
  <c r="BL93" i="50"/>
  <c r="BM93" i="50"/>
  <c r="BN93" i="50"/>
  <c r="BO93" i="50"/>
  <c r="BB94" i="50"/>
  <c r="BC94" i="50"/>
  <c r="BD94" i="50"/>
  <c r="BE94" i="50"/>
  <c r="BF94" i="50"/>
  <c r="BG94" i="50"/>
  <c r="BH94" i="50"/>
  <c r="BI94" i="50"/>
  <c r="BL94" i="50"/>
  <c r="BM94" i="50"/>
  <c r="BN94" i="50"/>
  <c r="BO94" i="50"/>
  <c r="BB95" i="50"/>
  <c r="BC95" i="50"/>
  <c r="BD95" i="50"/>
  <c r="BF95" i="50"/>
  <c r="BG95" i="50"/>
  <c r="BH95" i="50"/>
  <c r="BI95" i="50"/>
  <c r="BL95" i="50"/>
  <c r="BM95" i="50"/>
  <c r="BN95" i="50"/>
  <c r="BO95" i="50"/>
  <c r="BB96" i="50"/>
  <c r="BC96" i="50"/>
  <c r="BD96" i="50"/>
  <c r="BE96" i="50"/>
  <c r="BF96" i="50"/>
  <c r="BG96" i="50"/>
  <c r="BH96" i="50"/>
  <c r="BI96" i="50"/>
  <c r="BL96" i="50"/>
  <c r="BM96" i="50"/>
  <c r="BN96" i="50"/>
  <c r="BO96" i="50"/>
  <c r="BB97" i="50"/>
  <c r="BC97" i="50"/>
  <c r="BD97" i="50"/>
  <c r="BE97" i="50"/>
  <c r="BF97" i="50"/>
  <c r="BG97" i="50"/>
  <c r="BH97" i="50"/>
  <c r="BI97" i="50"/>
  <c r="BL97" i="50"/>
  <c r="BM97" i="50"/>
  <c r="BN97" i="50"/>
  <c r="BO97" i="50"/>
  <c r="BB98" i="50"/>
  <c r="BC98" i="50"/>
  <c r="BD98" i="50"/>
  <c r="BE98" i="50"/>
  <c r="BF98" i="50"/>
  <c r="BG98" i="50"/>
  <c r="BH98" i="50"/>
  <c r="BI98" i="50"/>
  <c r="BL98" i="50"/>
  <c r="BM98" i="50"/>
  <c r="BN98" i="50"/>
  <c r="BO98" i="50"/>
  <c r="BB99" i="50"/>
  <c r="BC99" i="50"/>
  <c r="BD99" i="50"/>
  <c r="BE99" i="50"/>
  <c r="BF99" i="50"/>
  <c r="BG99" i="50"/>
  <c r="BH99" i="50"/>
  <c r="BI99" i="50"/>
  <c r="BL99" i="50"/>
  <c r="BM99" i="50"/>
  <c r="BN99" i="50"/>
  <c r="BO99" i="50"/>
  <c r="BH100" i="50"/>
  <c r="BI100" i="50"/>
  <c r="BL100" i="50"/>
  <c r="BM100" i="50"/>
  <c r="BN100" i="50"/>
  <c r="BO100" i="50"/>
  <c r="R3" i="23"/>
  <c r="R31" i="7"/>
  <c r="M3" i="50"/>
  <c r="P55" i="50"/>
  <c r="Q55" i="50"/>
  <c r="R55" i="50"/>
  <c r="S55" i="50"/>
  <c r="BC18" i="30"/>
  <c r="BC19" i="30"/>
  <c r="BC20" i="30"/>
  <c r="BC21" i="30"/>
  <c r="BC22" i="30"/>
  <c r="BC23" i="30"/>
  <c r="BC24" i="30"/>
  <c r="BC25" i="30"/>
  <c r="BC26" i="30"/>
  <c r="BC27" i="30"/>
  <c r="BK13" i="14"/>
  <c r="BK16" i="14"/>
  <c r="BK17" i="14"/>
  <c r="BK18" i="14"/>
  <c r="BK19" i="14"/>
  <c r="BK20" i="14"/>
  <c r="BN20" i="14" s="1"/>
  <c r="BK21" i="14"/>
  <c r="BK22" i="14"/>
  <c r="BK23" i="14"/>
  <c r="BK24" i="14"/>
  <c r="BK25" i="14"/>
  <c r="BM25" i="14" s="1"/>
  <c r="BK26" i="14"/>
  <c r="BK27" i="14"/>
  <c r="BF14" i="13"/>
  <c r="BF15" i="13"/>
  <c r="BF16" i="13"/>
  <c r="BF17" i="13"/>
  <c r="BF18" i="13"/>
  <c r="BF19" i="13"/>
  <c r="BF20" i="13"/>
  <c r="BF21" i="13"/>
  <c r="BF22" i="13"/>
  <c r="BF23" i="13"/>
  <c r="BF24" i="13"/>
  <c r="BF25" i="13"/>
  <c r="BF26" i="13"/>
  <c r="BF27" i="13"/>
  <c r="I8" i="16"/>
  <c r="I31" i="16"/>
  <c r="U26" i="26"/>
  <c r="U27" i="26"/>
  <c r="AD23" i="13"/>
  <c r="AD24" i="13"/>
  <c r="AD25" i="13"/>
  <c r="AD26" i="13"/>
  <c r="AD27" i="13"/>
  <c r="AF20" i="14"/>
  <c r="AF21" i="14"/>
  <c r="AF22" i="14"/>
  <c r="AF23" i="14"/>
  <c r="AF24" i="14"/>
  <c r="AF25" i="14"/>
  <c r="AF26" i="14"/>
  <c r="AF27" i="14"/>
  <c r="C13" i="18"/>
  <c r="B68" i="18" s="1"/>
  <c r="K84" i="32"/>
  <c r="BE18" i="50"/>
  <c r="M71" i="1"/>
  <c r="BO71" i="50" s="1"/>
  <c r="M70" i="1"/>
  <c r="BO70" i="50" s="1"/>
  <c r="M69" i="1"/>
  <c r="BO69" i="50" s="1"/>
  <c r="M68" i="1"/>
  <c r="BO68" i="50" s="1"/>
  <c r="M67" i="1"/>
  <c r="BO67" i="50" s="1"/>
  <c r="M66" i="1"/>
  <c r="BO66" i="50" s="1"/>
  <c r="BO65" i="50"/>
  <c r="BO64" i="50"/>
  <c r="BO63" i="50"/>
  <c r="BO62" i="50"/>
  <c r="BO61" i="50"/>
  <c r="BO60" i="50"/>
  <c r="BO59" i="50"/>
  <c r="BO58" i="50"/>
  <c r="BO57" i="50"/>
  <c r="BO56" i="50"/>
  <c r="BO55" i="50"/>
  <c r="BO54" i="50"/>
  <c r="BO53" i="50"/>
  <c r="BO52" i="50"/>
  <c r="BO51" i="50"/>
  <c r="BO50" i="50"/>
  <c r="BO49" i="50"/>
  <c r="BO47" i="50"/>
  <c r="BO46" i="50"/>
  <c r="BO45" i="50"/>
  <c r="BO44" i="50"/>
  <c r="BO43" i="50"/>
  <c r="BO42" i="50"/>
  <c r="BO41" i="50"/>
  <c r="BO40" i="50"/>
  <c r="BO39" i="50"/>
  <c r="BO38" i="50"/>
  <c r="BO37" i="50"/>
  <c r="BO36" i="50"/>
  <c r="BO35" i="50"/>
  <c r="BO34" i="50"/>
  <c r="BO33" i="50"/>
  <c r="BO32" i="50"/>
  <c r="BO31" i="50"/>
  <c r="BO30" i="50"/>
  <c r="BO29" i="50"/>
  <c r="BO28" i="50"/>
  <c r="BO27" i="50"/>
  <c r="BO26" i="50"/>
  <c r="BO25" i="50"/>
  <c r="BO24" i="50"/>
  <c r="L86" i="33"/>
  <c r="M86" i="33"/>
  <c r="K86" i="33"/>
  <c r="J86" i="33"/>
  <c r="F43" i="7"/>
  <c r="P47" i="50"/>
  <c r="W45" i="30"/>
  <c r="AB45" i="14"/>
  <c r="M45" i="16" s="1"/>
  <c r="Y45" i="13"/>
  <c r="K45" i="16" s="1"/>
  <c r="Y46" i="13"/>
  <c r="K46" i="16" s="1"/>
  <c r="Q45" i="26"/>
  <c r="G45" i="16" s="1"/>
  <c r="Y47" i="13"/>
  <c r="K47" i="16" s="1"/>
  <c r="AB47" i="14"/>
  <c r="M47" i="16" s="1"/>
  <c r="W47" i="30"/>
  <c r="P49" i="50"/>
  <c r="Q47" i="26"/>
  <c r="G47" i="16" s="1"/>
  <c r="BB10" i="29" l="1"/>
  <c r="BA10" i="29"/>
  <c r="AZ10" i="29"/>
  <c r="AY10" i="29"/>
  <c r="AX10" i="29"/>
  <c r="AW10" i="29"/>
  <c r="AV10" i="29"/>
  <c r="AU10" i="29"/>
  <c r="AT10" i="29"/>
  <c r="AS10" i="29"/>
  <c r="AR10" i="29"/>
  <c r="AQ10" i="29"/>
  <c r="AP10" i="29"/>
  <c r="AO10" i="29"/>
  <c r="AN10" i="29"/>
  <c r="AM10" i="29"/>
  <c r="AL10" i="29"/>
  <c r="AK10" i="29"/>
  <c r="AJ10" i="29"/>
  <c r="BB12" i="29"/>
  <c r="BA12" i="29"/>
  <c r="AZ12" i="29"/>
  <c r="AY12" i="29"/>
  <c r="AX12" i="29"/>
  <c r="AW12" i="29"/>
  <c r="AV12" i="29"/>
  <c r="AU12" i="29"/>
  <c r="AT12" i="29"/>
  <c r="AS12" i="29"/>
  <c r="AR12" i="29"/>
  <c r="AQ12" i="29"/>
  <c r="AP12" i="29"/>
  <c r="AO12" i="29"/>
  <c r="AN12" i="29"/>
  <c r="AM12" i="29"/>
  <c r="AL12" i="29"/>
  <c r="AK12" i="29"/>
  <c r="AJ12" i="29"/>
  <c r="BB9" i="29"/>
  <c r="BA9" i="29"/>
  <c r="AZ9" i="29"/>
  <c r="AY9" i="29"/>
  <c r="AX9" i="29"/>
  <c r="AW9" i="29"/>
  <c r="AV9" i="29"/>
  <c r="AU9" i="29"/>
  <c r="AT9" i="29"/>
  <c r="AS9" i="29"/>
  <c r="AR9" i="29"/>
  <c r="AQ9" i="29"/>
  <c r="AP9" i="29"/>
  <c r="AO9" i="29"/>
  <c r="AN9" i="29"/>
  <c r="AM9" i="29"/>
  <c r="AL9" i="29"/>
  <c r="AK9" i="29"/>
  <c r="AJ9" i="29"/>
  <c r="BB7" i="29"/>
  <c r="BA7" i="29"/>
  <c r="AZ7" i="29"/>
  <c r="AY7" i="29"/>
  <c r="AX7" i="29"/>
  <c r="AW7" i="29"/>
  <c r="AV7" i="29"/>
  <c r="AU7" i="29"/>
  <c r="AT7" i="29"/>
  <c r="AS7" i="29"/>
  <c r="AR7" i="29"/>
  <c r="AQ7" i="29"/>
  <c r="AP7" i="29"/>
  <c r="AO7" i="29"/>
  <c r="AN7" i="29"/>
  <c r="AM7" i="29"/>
  <c r="AL7" i="29"/>
  <c r="AK7" i="29"/>
  <c r="AJ7" i="29"/>
  <c r="BB6" i="29"/>
  <c r="BA6" i="29"/>
  <c r="AZ6" i="29"/>
  <c r="AY6" i="29"/>
  <c r="AX6" i="29"/>
  <c r="AW6" i="29"/>
  <c r="AV6" i="29"/>
  <c r="AU6" i="29"/>
  <c r="AT6" i="29"/>
  <c r="AS6" i="29"/>
  <c r="AR6" i="29"/>
  <c r="AQ6" i="29"/>
  <c r="AP6" i="29"/>
  <c r="AO6" i="29"/>
  <c r="AN6" i="29"/>
  <c r="AM6" i="29"/>
  <c r="AL6" i="29"/>
  <c r="AK6" i="29"/>
  <c r="AJ6" i="29"/>
  <c r="AD14" i="13"/>
  <c r="BB13" i="29"/>
  <c r="BA13" i="29"/>
  <c r="AZ13" i="29"/>
  <c r="AY13" i="29"/>
  <c r="AX13" i="29"/>
  <c r="AW13" i="29"/>
  <c r="AV13" i="29"/>
  <c r="AU13" i="29"/>
  <c r="AT13" i="29"/>
  <c r="AS13" i="29"/>
  <c r="AR13" i="29"/>
  <c r="AQ13" i="29"/>
  <c r="AP13" i="29"/>
  <c r="AO13" i="29"/>
  <c r="AN13" i="29"/>
  <c r="AM13" i="29"/>
  <c r="AL13" i="29"/>
  <c r="AK13" i="29"/>
  <c r="AJ13" i="29"/>
  <c r="BB11" i="29"/>
  <c r="BA11" i="29"/>
  <c r="AZ11" i="29"/>
  <c r="AY11" i="29"/>
  <c r="AX11" i="29"/>
  <c r="AW11" i="29"/>
  <c r="AV11" i="29"/>
  <c r="AU11" i="29"/>
  <c r="AT11" i="29"/>
  <c r="AS11" i="29"/>
  <c r="AR11" i="29"/>
  <c r="AQ11" i="29"/>
  <c r="AP11" i="29"/>
  <c r="AO11" i="29"/>
  <c r="AN11" i="29"/>
  <c r="AM11" i="29"/>
  <c r="AL11" i="29"/>
  <c r="AK11" i="29"/>
  <c r="AJ11" i="29"/>
  <c r="BB8" i="29"/>
  <c r="BA8" i="29"/>
  <c r="AZ8" i="29"/>
  <c r="AY8" i="29"/>
  <c r="AX8" i="29"/>
  <c r="AW8" i="29"/>
  <c r="AV8" i="29"/>
  <c r="AU8" i="29"/>
  <c r="AT8" i="29"/>
  <c r="AS8" i="29"/>
  <c r="AR8" i="29"/>
  <c r="AQ8" i="29"/>
  <c r="AP8" i="29"/>
  <c r="AO8" i="29"/>
  <c r="AN8" i="29"/>
  <c r="AM8" i="29"/>
  <c r="AL8" i="29"/>
  <c r="AK8" i="29"/>
  <c r="AJ8" i="29"/>
  <c r="N50" i="50"/>
  <c r="N20" i="50"/>
  <c r="E39" i="16"/>
  <c r="U56" i="23"/>
  <c r="U16" i="26"/>
  <c r="Z16" i="26" s="1"/>
  <c r="CG23" i="9" a="1"/>
  <c r="CG23" i="9" s="1"/>
  <c r="DJ23" i="9" s="1" a="1"/>
  <c r="DJ23" i="9" s="1"/>
  <c r="CG21" i="9" a="1"/>
  <c r="CG21" i="9" s="1"/>
  <c r="FE21" i="9" s="1" a="1"/>
  <c r="FE21" i="9" s="1"/>
  <c r="DR26" i="9"/>
  <c r="DF26" i="9"/>
  <c r="DL26" i="9"/>
  <c r="CR26" i="9"/>
  <c r="DS25" i="9"/>
  <c r="CS25" i="9"/>
  <c r="ER28" i="9" a="1"/>
  <c r="ER28" i="9" s="1"/>
  <c r="DY30" i="9" a="1"/>
  <c r="DY30" i="9" s="1"/>
  <c r="EY29" i="9" a="1"/>
  <c r="EY29" i="9" s="1"/>
  <c r="CH28" i="9"/>
  <c r="DZ28" i="9" a="1"/>
  <c r="DZ28" i="9" s="1"/>
  <c r="EJ28" i="9" a="1"/>
  <c r="EJ28" i="9" s="1"/>
  <c r="CW28" i="9" a="1"/>
  <c r="CW28" i="9" s="1"/>
  <c r="EA28" i="9" a="1"/>
  <c r="EA28" i="9" s="1"/>
  <c r="EQ29" i="9" a="1"/>
  <c r="EQ29" i="9" s="1"/>
  <c r="DS29" i="9" a="1"/>
  <c r="DS29" i="9" s="1"/>
  <c r="EA29" i="9" a="1"/>
  <c r="EA29" i="9" s="1"/>
  <c r="CV29" i="9" a="1"/>
  <c r="CV29" i="9" s="1"/>
  <c r="FG29" i="9" a="1"/>
  <c r="FG29" i="9" s="1"/>
  <c r="FD30" i="9" a="1"/>
  <c r="FD30" i="9" s="1"/>
  <c r="DU30" i="9" a="1"/>
  <c r="DU30" i="9" s="1"/>
  <c r="CN30" i="9" a="1"/>
  <c r="CN30" i="9" s="1"/>
  <c r="FC30" i="9" a="1"/>
  <c r="FC30" i="9" s="1"/>
  <c r="DH29" i="9" a="1"/>
  <c r="DH29" i="9" s="1"/>
  <c r="EX29" i="9" a="1"/>
  <c r="EX29" i="9" s="1"/>
  <c r="EG28" i="9" a="1"/>
  <c r="EG28" i="9" s="1"/>
  <c r="DZ30" i="9" a="1"/>
  <c r="DZ30" i="9" s="1"/>
  <c r="DL28" i="9" a="1"/>
  <c r="DL28" i="9" s="1"/>
  <c r="DV28" i="9" a="1"/>
  <c r="DV28" i="9" s="1"/>
  <c r="DP28" i="9" a="1"/>
  <c r="DP28" i="9" s="1"/>
  <c r="DO28" i="9" a="1"/>
  <c r="DO28" i="9" s="1"/>
  <c r="EF29" i="9" a="1"/>
  <c r="EF29" i="9" s="1"/>
  <c r="DE29" i="9" a="1"/>
  <c r="DE29" i="9" s="1"/>
  <c r="DB29" i="9" a="1"/>
  <c r="DB29" i="9" s="1"/>
  <c r="EU29" i="9" a="1"/>
  <c r="EU29" i="9" s="1"/>
  <c r="DT29" i="9" a="1"/>
  <c r="DT29" i="9" s="1"/>
  <c r="EQ30" i="9" a="1"/>
  <c r="EQ30" i="9" s="1"/>
  <c r="DE30" i="9" a="1"/>
  <c r="DE30" i="9" s="1"/>
  <c r="DL30" i="9" a="1"/>
  <c r="DL30" i="9" s="1"/>
  <c r="DJ30" i="9" a="1"/>
  <c r="DJ30" i="9" s="1"/>
  <c r="CQ28" i="9" a="1"/>
  <c r="CQ28" i="9" s="1"/>
  <c r="FF28" i="9" a="1"/>
  <c r="FF28" i="9" s="1"/>
  <c r="DK29" i="9" a="1"/>
  <c r="DK29" i="9" s="1"/>
  <c r="FD29" i="9" a="1"/>
  <c r="FD29" i="9" s="1"/>
  <c r="CL29" i="9" a="1"/>
  <c r="CL29" i="9" s="1"/>
  <c r="DT30" i="9" a="1"/>
  <c r="DT30" i="9" s="1"/>
  <c r="CP30" i="9" a="1"/>
  <c r="CP30" i="9" s="1"/>
  <c r="EX30" i="9" a="1"/>
  <c r="EX30" i="9" s="1"/>
  <c r="EK29" i="9" a="1"/>
  <c r="EK29" i="9" s="1"/>
  <c r="DC30" i="9" a="1"/>
  <c r="DC30" i="9" s="1"/>
  <c r="DX28" i="9" a="1"/>
  <c r="DX28" i="9" s="1"/>
  <c r="DU29" i="9" a="1"/>
  <c r="DU29" i="9" s="1"/>
  <c r="DY29" i="9" a="1"/>
  <c r="DY29" i="9" s="1"/>
  <c r="FB30" i="9" a="1"/>
  <c r="FB30" i="9" s="1"/>
  <c r="DC28" i="9" a="1"/>
  <c r="DC28" i="9" s="1"/>
  <c r="DC29" i="9" a="1"/>
  <c r="DC29" i="9" s="1"/>
  <c r="EH29" i="9" a="1"/>
  <c r="EH29" i="9" s="1"/>
  <c r="DD30" i="9" a="1"/>
  <c r="DD30" i="9" s="1"/>
  <c r="CU30" i="9" a="1"/>
  <c r="CU30" i="9" s="1"/>
  <c r="FG28" i="9" a="1"/>
  <c r="FG28" i="9" s="1"/>
  <c r="CJ29" i="9" a="1"/>
  <c r="CJ29" i="9" s="1"/>
  <c r="CR30" i="9" a="1"/>
  <c r="CR30" i="9" s="1"/>
  <c r="EK28" i="9" a="1"/>
  <c r="EK28" i="9" s="1"/>
  <c r="DZ29" i="9" a="1"/>
  <c r="DZ29" i="9" s="1"/>
  <c r="CL30" i="9" a="1"/>
  <c r="CL30" i="9" s="1"/>
  <c r="FC28" i="9" a="1"/>
  <c r="FC28" i="9" s="1"/>
  <c r="DG28" i="9" a="1"/>
  <c r="DG28" i="9" s="1"/>
  <c r="FD28" i="9" a="1"/>
  <c r="FD28" i="9" s="1"/>
  <c r="DN28" i="9" a="1"/>
  <c r="DN28" i="9" s="1"/>
  <c r="DV29" i="9" a="1"/>
  <c r="DV29" i="9" s="1"/>
  <c r="CQ29" i="9" a="1"/>
  <c r="CQ29" i="9" s="1"/>
  <c r="CM29" i="9" a="1"/>
  <c r="CM29" i="9" s="1"/>
  <c r="ES29" i="9" a="1"/>
  <c r="ES29" i="9" s="1"/>
  <c r="FF29" i="9" a="1"/>
  <c r="FF29" i="9" s="1"/>
  <c r="EE30" i="9" a="1"/>
  <c r="EE30" i="9" s="1"/>
  <c r="EV30" i="9" a="1"/>
  <c r="EV30" i="9" s="1"/>
  <c r="CJ30" i="9" a="1"/>
  <c r="CJ30" i="9" s="1"/>
  <c r="DA30" i="9" a="1"/>
  <c r="DA30" i="9" s="1"/>
  <c r="CO28" i="9" a="1"/>
  <c r="CO28" i="9" s="1"/>
  <c r="FA29" i="9" a="1"/>
  <c r="FA29" i="9" s="1"/>
  <c r="EV29" i="9" a="1"/>
  <c r="EV29" i="9" s="1"/>
  <c r="EK30" i="9" a="1"/>
  <c r="EK30" i="9" s="1"/>
  <c r="EZ30" i="9" a="1"/>
  <c r="EZ30" i="9" s="1"/>
  <c r="CZ28" i="9" a="1"/>
  <c r="CZ28" i="9" s="1"/>
  <c r="CS29" i="9" a="1"/>
  <c r="CS29" i="9" s="1"/>
  <c r="DQ30" i="9" a="1"/>
  <c r="DQ30" i="9" s="1"/>
  <c r="CP28" i="9" a="1"/>
  <c r="CP28" i="9" s="1"/>
  <c r="CX29" i="9" a="1"/>
  <c r="CX29" i="9" s="1"/>
  <c r="ED30" i="9" a="1"/>
  <c r="ED30" i="9" s="1"/>
  <c r="EB30" i="9" a="1"/>
  <c r="EB30" i="9" s="1"/>
  <c r="CT29" i="9" a="1"/>
  <c r="CT29" i="9" s="1"/>
  <c r="EY30" i="9" a="1"/>
  <c r="EY30" i="9" s="1"/>
  <c r="EN28" i="9" a="1"/>
  <c r="EN28" i="9" s="1"/>
  <c r="DY28" i="9" a="1"/>
  <c r="DY28" i="9" s="1"/>
  <c r="EW28" i="9" a="1"/>
  <c r="EW28" i="9" s="1"/>
  <c r="FB28" i="9" a="1"/>
  <c r="FB28" i="9" s="1"/>
  <c r="DK28" i="9" a="1"/>
  <c r="DK28" i="9" s="1"/>
  <c r="CY29" i="9" a="1"/>
  <c r="CY29" i="9" s="1"/>
  <c r="ER29" i="9" a="1"/>
  <c r="ER29" i="9" s="1"/>
  <c r="EN29" i="9" a="1"/>
  <c r="EN29" i="9" s="1"/>
  <c r="EJ29" i="9" a="1"/>
  <c r="EJ29" i="9" s="1"/>
  <c r="DG29" i="9" a="1"/>
  <c r="DG29" i="9" s="1"/>
  <c r="DH30" i="9" a="1"/>
  <c r="DH30" i="9" s="1"/>
  <c r="EU30" i="9" a="1"/>
  <c r="EU30" i="9" s="1"/>
  <c r="EJ30" i="9" a="1"/>
  <c r="EJ30" i="9" s="1"/>
  <c r="CZ30" i="9" a="1"/>
  <c r="CZ30" i="9" s="1"/>
  <c r="EV28" i="9" a="1"/>
  <c r="EV28" i="9" s="1"/>
  <c r="EE29" i="9" a="1"/>
  <c r="EE29" i="9" s="1"/>
  <c r="DI28" i="9" a="1"/>
  <c r="DI28" i="9" s="1"/>
  <c r="DU28" i="9" a="1"/>
  <c r="DU28" i="9" s="1"/>
  <c r="CM28" i="9" a="1"/>
  <c r="CM28" i="9" s="1"/>
  <c r="FE28" i="9" a="1"/>
  <c r="FE28" i="9" s="1"/>
  <c r="CN29" i="9" a="1"/>
  <c r="CN29" i="9" s="1"/>
  <c r="ED29" i="9" a="1"/>
  <c r="ED29" i="9" s="1"/>
  <c r="DN29" i="9" a="1"/>
  <c r="DN29" i="9" s="1"/>
  <c r="DI29" i="9" a="1"/>
  <c r="DI29" i="9" s="1"/>
  <c r="CZ29" i="9" a="1"/>
  <c r="CZ29" i="9" s="1"/>
  <c r="CV30" i="9" a="1"/>
  <c r="CV30" i="9" s="1"/>
  <c r="EH30" i="9" a="1"/>
  <c r="EH30" i="9" s="1"/>
  <c r="DF30" i="9" a="1"/>
  <c r="DF30" i="9" s="1"/>
  <c r="ES30" i="9" a="1"/>
  <c r="ES30" i="9" s="1"/>
  <c r="FA28" i="9" a="1"/>
  <c r="FA28" i="9" s="1"/>
  <c r="DA28" i="9" a="1"/>
  <c r="DA28" i="9" s="1"/>
  <c r="EL29" i="9" a="1"/>
  <c r="EL29" i="9" s="1"/>
  <c r="EN30" i="9" a="1"/>
  <c r="EN30" i="9" s="1"/>
  <c r="EO30" i="9" a="1"/>
  <c r="EO30" i="9" s="1"/>
  <c r="EM28" i="9" a="1"/>
  <c r="EM28" i="9" s="1"/>
  <c r="EL30" i="9" a="1"/>
  <c r="EL30" i="9" s="1"/>
  <c r="DQ28" i="9" a="1"/>
  <c r="DQ28" i="9" s="1"/>
  <c r="ET30" i="9" a="1"/>
  <c r="ET30" i="9" s="1"/>
  <c r="EY28" i="9" a="1"/>
  <c r="EY28" i="9" s="1"/>
  <c r="ET29" i="9" a="1"/>
  <c r="ET29" i="9" s="1"/>
  <c r="DB30" i="9" a="1"/>
  <c r="DB30" i="9" s="1"/>
  <c r="EF28" i="9" a="1"/>
  <c r="EF28" i="9" s="1"/>
  <c r="DQ29" i="9" a="1"/>
  <c r="DQ29" i="9" s="1"/>
  <c r="CU28" i="9" a="1"/>
  <c r="CU28" i="9" s="1"/>
  <c r="DF28" i="9" a="1"/>
  <c r="DF28" i="9" s="1"/>
  <c r="ES28" i="9" a="1"/>
  <c r="ES28" i="9" s="1"/>
  <c r="DJ28" i="9" a="1"/>
  <c r="DJ28" i="9" s="1"/>
  <c r="EP29" i="9" a="1"/>
  <c r="EP29" i="9" s="1"/>
  <c r="CP29" i="9" a="1"/>
  <c r="CP29" i="9" s="1"/>
  <c r="DA29" i="9" a="1"/>
  <c r="DA29" i="9" s="1"/>
  <c r="CW29" i="9" a="1"/>
  <c r="CW29" i="9" s="1"/>
  <c r="FA30" i="9" a="1"/>
  <c r="FA30" i="9" s="1"/>
  <c r="CK30" i="9" a="1"/>
  <c r="CK30" i="9" s="1"/>
  <c r="DR30" i="9" a="1"/>
  <c r="DR30" i="9" s="1"/>
  <c r="FF30" i="9" a="1"/>
  <c r="FF30" i="9" s="1"/>
  <c r="CX30" i="9" a="1"/>
  <c r="CX30" i="9" s="1"/>
  <c r="EL28" i="9" a="1"/>
  <c r="EL28" i="9" s="1"/>
  <c r="DM28" i="9" a="1"/>
  <c r="DM28" i="9" s="1"/>
  <c r="FC29" i="9" a="1"/>
  <c r="FC29" i="9" s="1"/>
  <c r="CY30" i="9" a="1"/>
  <c r="CY30" i="9" s="1"/>
  <c r="EI28" i="9" a="1"/>
  <c r="EI28" i="9" s="1"/>
  <c r="EC29" i="9" a="1"/>
  <c r="EC29" i="9" s="1"/>
  <c r="EC30" i="9" a="1"/>
  <c r="EC30" i="9" s="1"/>
  <c r="EA30" i="9" a="1"/>
  <c r="EA30" i="9" s="1"/>
  <c r="CT28" i="9" a="1"/>
  <c r="CT28" i="9" s="1"/>
  <c r="CL28" i="9" a="1"/>
  <c r="CL28" i="9" s="1"/>
  <c r="EW29" i="9" a="1"/>
  <c r="EW29" i="9" s="1"/>
  <c r="DG30" i="9" a="1"/>
  <c r="DG30" i="9" s="1"/>
  <c r="DE28" i="9" a="1"/>
  <c r="DE28" i="9" s="1"/>
  <c r="EB29" i="9" a="1"/>
  <c r="EB29" i="9" s="1"/>
  <c r="DW30" i="9" a="1"/>
  <c r="DW30" i="9" s="1"/>
  <c r="EE28" i="9" a="1"/>
  <c r="EE28" i="9" s="1"/>
  <c r="DO29" i="9" a="1"/>
  <c r="DO29" i="9" s="1"/>
  <c r="ER30" i="9" a="1"/>
  <c r="ER30" i="9" s="1"/>
  <c r="EZ28" i="9" a="1"/>
  <c r="EZ28" i="9" s="1"/>
  <c r="EP28" i="9" a="1"/>
  <c r="EP28" i="9" s="1"/>
  <c r="ED28" i="9" a="1"/>
  <c r="ED28" i="9" s="1"/>
  <c r="DH28" i="9" a="1"/>
  <c r="DH28" i="9" s="1"/>
  <c r="DT28" i="9" a="1"/>
  <c r="DT28" i="9" s="1"/>
  <c r="EH28" i="9" a="1"/>
  <c r="EH28" i="9" s="1"/>
  <c r="ET28" i="9" a="1"/>
  <c r="ET28" i="9" s="1"/>
  <c r="DJ29" i="9" a="1"/>
  <c r="DJ29" i="9" s="1"/>
  <c r="DP29" i="9" a="1"/>
  <c r="DP29" i="9" s="1"/>
  <c r="DM29" i="9" a="1"/>
  <c r="DM29" i="9" s="1"/>
  <c r="EI29" i="9" a="1"/>
  <c r="EI29" i="9" s="1"/>
  <c r="DS30" i="9" a="1"/>
  <c r="DS30" i="9" s="1"/>
  <c r="DP30" i="9" a="1"/>
  <c r="DP30" i="9" s="1"/>
  <c r="CO30" i="9" a="1"/>
  <c r="CO30" i="9" s="1"/>
  <c r="DX30" i="9" a="1"/>
  <c r="DX30" i="9" s="1"/>
  <c r="CQ30" i="9" a="1"/>
  <c r="CQ30" i="9" s="1"/>
  <c r="EU28" i="9" a="1"/>
  <c r="EU28" i="9" s="1"/>
  <c r="CW30" i="9" a="1"/>
  <c r="CW30" i="9" s="1"/>
  <c r="EQ28" i="9" a="1"/>
  <c r="EQ28" i="9" s="1"/>
  <c r="EO28" i="9" a="1"/>
  <c r="EO28" i="9" s="1"/>
  <c r="DW28" i="9" a="1"/>
  <c r="DW28" i="9" s="1"/>
  <c r="DR28" i="9" a="1"/>
  <c r="DR28" i="9" s="1"/>
  <c r="CY28" i="9" a="1"/>
  <c r="CY28" i="9" s="1"/>
  <c r="CJ28" i="9" a="1"/>
  <c r="CJ28" i="9" s="1"/>
  <c r="DV30" i="9" a="1"/>
  <c r="DV30" i="9" s="1"/>
  <c r="CU29" i="9" a="1"/>
  <c r="CU29" i="9" s="1"/>
  <c r="CO29" i="9" a="1"/>
  <c r="CO29" i="9" s="1"/>
  <c r="EG29" i="9" a="1"/>
  <c r="EG29" i="9" s="1"/>
  <c r="CI29" i="9" a="1"/>
  <c r="CI29" i="9" s="1"/>
  <c r="FE30" i="9" a="1"/>
  <c r="FE30" i="9" s="1"/>
  <c r="CS30" i="9" a="1"/>
  <c r="CS30" i="9" s="1"/>
  <c r="CM30" i="9" a="1"/>
  <c r="CM30" i="9" s="1"/>
  <c r="EP30" i="9" a="1"/>
  <c r="EP30" i="9" s="1"/>
  <c r="DO30" i="9" a="1"/>
  <c r="DO30" i="9" s="1"/>
  <c r="CV28" i="9" a="1"/>
  <c r="CV28" i="9" s="1"/>
  <c r="CX28" i="9" a="1"/>
  <c r="CX28" i="9" s="1"/>
  <c r="DD28" i="9" a="1"/>
  <c r="DD28" i="9" s="1"/>
  <c r="EX28" i="9" a="1"/>
  <c r="EX28" i="9" s="1"/>
  <c r="EB28" i="9" a="1"/>
  <c r="EB28" i="9" s="1"/>
  <c r="EZ29" i="9" a="1"/>
  <c r="EZ29" i="9" s="1"/>
  <c r="FE29" i="9" a="1"/>
  <c r="FE29" i="9" s="1"/>
  <c r="DX29" i="9" a="1"/>
  <c r="DX29" i="9" s="1"/>
  <c r="DW29" i="9" a="1"/>
  <c r="DW29" i="9" s="1"/>
  <c r="DI30" i="9" a="1"/>
  <c r="DI30" i="9" s="1"/>
  <c r="DM30" i="9" a="1"/>
  <c r="DM30" i="9" s="1"/>
  <c r="DK30" i="9" a="1"/>
  <c r="DK30" i="9" s="1"/>
  <c r="CT30" i="9" a="1"/>
  <c r="CT30" i="9" s="1"/>
  <c r="CH30" i="9"/>
  <c r="EC28" i="9" a="1"/>
  <c r="EC28" i="9" s="1"/>
  <c r="CR28" i="9" a="1"/>
  <c r="CR28" i="9" s="1"/>
  <c r="DB28" i="9" a="1"/>
  <c r="DB28" i="9" s="1"/>
  <c r="CI28" i="9" a="1"/>
  <c r="CI28" i="9" s="1"/>
  <c r="CK29" i="9" a="1"/>
  <c r="CK29" i="9" s="1"/>
  <c r="FB29" i="9" a="1"/>
  <c r="FB29" i="9" s="1"/>
  <c r="DD29" i="9" a="1"/>
  <c r="DD29" i="9" s="1"/>
  <c r="CH29" i="9"/>
  <c r="EF30" i="9" a="1"/>
  <c r="EF30" i="9" s="1"/>
  <c r="EW30" i="9" a="1"/>
  <c r="EW30" i="9" s="1"/>
  <c r="EM30" i="9" a="1"/>
  <c r="EM30" i="9" s="1"/>
  <c r="DN30" i="9" a="1"/>
  <c r="DN30" i="9" s="1"/>
  <c r="FG30" i="9" a="1"/>
  <c r="FG30" i="9" s="1"/>
  <c r="CN28" i="9" a="1"/>
  <c r="CN28" i="9" s="1"/>
  <c r="EO29" i="9" a="1"/>
  <c r="EO29" i="9" s="1"/>
  <c r="EI30" i="9" a="1"/>
  <c r="EI30" i="9" s="1"/>
  <c r="CI30" i="9" a="1"/>
  <c r="CI30" i="9" s="1"/>
  <c r="CK28" i="9" a="1"/>
  <c r="CK28" i="9" s="1"/>
  <c r="EM29" i="9" a="1"/>
  <c r="EM29" i="9" s="1"/>
  <c r="CG7" i="9" a="1"/>
  <c r="CG7" i="9" s="1"/>
  <c r="CG15" i="9" a="1"/>
  <c r="CG15" i="9" s="1"/>
  <c r="CG9" i="9" a="1"/>
  <c r="CG9" i="9" s="1"/>
  <c r="CG6" i="9" a="1"/>
  <c r="CG6" i="9" s="1"/>
  <c r="CG16" i="9" a="1"/>
  <c r="CG16" i="9" s="1"/>
  <c r="CG14" i="9" a="1"/>
  <c r="CG14" i="9" s="1"/>
  <c r="CG13" i="9" a="1"/>
  <c r="CG13" i="9" s="1"/>
  <c r="CG12" i="9" a="1"/>
  <c r="CG12" i="9" s="1"/>
  <c r="CG11" i="9" a="1"/>
  <c r="CG11" i="9" s="1"/>
  <c r="CG10" i="9" a="1"/>
  <c r="CG10" i="9" s="1"/>
  <c r="CG8" i="9" a="1"/>
  <c r="CG8" i="9" s="1"/>
  <c r="N42" i="50"/>
  <c r="N25" i="50"/>
  <c r="N9" i="50"/>
  <c r="N7" i="50"/>
  <c r="N53" i="50"/>
  <c r="N38" i="50"/>
  <c r="N51" i="50"/>
  <c r="N17" i="50"/>
  <c r="N11" i="50"/>
  <c r="N31" i="50"/>
  <c r="N47" i="50"/>
  <c r="N30" i="50"/>
  <c r="N14" i="50"/>
  <c r="N29" i="50"/>
  <c r="N12" i="50"/>
  <c r="U22" i="26"/>
  <c r="AD22" i="26" s="1"/>
  <c r="AD7" i="13"/>
  <c r="AK7" i="13" s="1"/>
  <c r="U21" i="26"/>
  <c r="W21" i="26" s="1"/>
  <c r="U17" i="26"/>
  <c r="AB17" i="26" s="1"/>
  <c r="AC28" i="10"/>
  <c r="AD28" i="10"/>
  <c r="AF28" i="10"/>
  <c r="AA28" i="10"/>
  <c r="AE28" i="10"/>
  <c r="AI28" i="10"/>
  <c r="AB28" i="10"/>
  <c r="AG28" i="10"/>
  <c r="AH28" i="10"/>
  <c r="AJ28" i="10"/>
  <c r="Y28" i="10"/>
  <c r="Z28" i="10"/>
  <c r="AD28" i="26"/>
  <c r="Y28" i="26"/>
  <c r="AE28" i="26"/>
  <c r="AF28" i="26"/>
  <c r="Z28" i="26"/>
  <c r="AC28" i="26"/>
  <c r="W28" i="26"/>
  <c r="AB28" i="26"/>
  <c r="X28" i="26"/>
  <c r="AA28" i="26"/>
  <c r="AH28" i="26"/>
  <c r="AG28" i="26"/>
  <c r="AP28" i="13"/>
  <c r="AN28" i="13"/>
  <c r="AQ28" i="13"/>
  <c r="AV28" i="13"/>
  <c r="AW28" i="13"/>
  <c r="AX28" i="13"/>
  <c r="AK28" i="13"/>
  <c r="AR28" i="13"/>
  <c r="AG28" i="13"/>
  <c r="AS28" i="13"/>
  <c r="AT28" i="13"/>
  <c r="AF28" i="13"/>
  <c r="AM28" i="13"/>
  <c r="AO28" i="13"/>
  <c r="AU28" i="13"/>
  <c r="AI28" i="13"/>
  <c r="AJ28" i="13"/>
  <c r="AL28" i="13"/>
  <c r="AH28" i="13"/>
  <c r="U20" i="26"/>
  <c r="X20" i="26" s="1"/>
  <c r="CG19" i="9" a="1"/>
  <c r="CG19" i="9" s="1"/>
  <c r="CG18" i="9" a="1"/>
  <c r="CG18" i="9" s="1"/>
  <c r="CG17" i="9" a="1"/>
  <c r="CG17" i="9" s="1"/>
  <c r="U18" i="26"/>
  <c r="AC18" i="26" s="1"/>
  <c r="CG22" i="9" a="1"/>
  <c r="CG22" i="9" s="1"/>
  <c r="S41" i="23"/>
  <c r="S40" i="23"/>
  <c r="AM21" i="14"/>
  <c r="BC21" i="14"/>
  <c r="AN21" i="14"/>
  <c r="AO21" i="14"/>
  <c r="AP21" i="14"/>
  <c r="AQ21" i="14"/>
  <c r="AR21" i="14"/>
  <c r="AS21" i="14"/>
  <c r="AT21" i="14"/>
  <c r="AU21" i="14"/>
  <c r="AV21" i="14"/>
  <c r="AW21" i="14"/>
  <c r="AH21" i="14"/>
  <c r="AX21" i="14"/>
  <c r="AI21" i="14"/>
  <c r="AY21" i="14"/>
  <c r="AJ21" i="14"/>
  <c r="AZ21" i="14"/>
  <c r="AK21" i="14"/>
  <c r="BA21" i="14"/>
  <c r="AL21" i="14"/>
  <c r="BB21" i="14"/>
  <c r="AS20" i="14"/>
  <c r="AT20" i="14"/>
  <c r="AU20" i="14"/>
  <c r="AV20" i="14"/>
  <c r="AW20" i="14"/>
  <c r="AH20" i="14"/>
  <c r="AX20" i="14"/>
  <c r="AI20" i="14"/>
  <c r="AY20" i="14"/>
  <c r="AJ20" i="14"/>
  <c r="AZ20" i="14"/>
  <c r="AK20" i="14"/>
  <c r="BA20" i="14"/>
  <c r="AL20" i="14"/>
  <c r="BB20" i="14"/>
  <c r="AM20" i="14"/>
  <c r="BC20" i="14"/>
  <c r="AN20" i="14"/>
  <c r="AO20" i="14"/>
  <c r="AP20" i="14"/>
  <c r="AQ20" i="14"/>
  <c r="AR20" i="14"/>
  <c r="AI27" i="14"/>
  <c r="AY27" i="14"/>
  <c r="AJ27" i="14"/>
  <c r="AZ27" i="14"/>
  <c r="AK27" i="14"/>
  <c r="BA27" i="14"/>
  <c r="AL27" i="14"/>
  <c r="BB27" i="14"/>
  <c r="AM27" i="14"/>
  <c r="BC27" i="14"/>
  <c r="AN27" i="14"/>
  <c r="AO27" i="14"/>
  <c r="AP27" i="14"/>
  <c r="AQ27" i="14"/>
  <c r="AR27" i="14"/>
  <c r="AS27" i="14"/>
  <c r="AT27" i="14"/>
  <c r="AU27" i="14"/>
  <c r="AV27" i="14"/>
  <c r="AW27" i="14"/>
  <c r="AH27" i="14"/>
  <c r="AX27" i="14"/>
  <c r="AU25" i="14"/>
  <c r="AV25" i="14"/>
  <c r="AW25" i="14"/>
  <c r="AH25" i="14"/>
  <c r="AX25" i="14"/>
  <c r="AI25" i="14"/>
  <c r="AY25" i="14"/>
  <c r="AJ25" i="14"/>
  <c r="AZ25" i="14"/>
  <c r="AK25" i="14"/>
  <c r="BA25" i="14"/>
  <c r="AL25" i="14"/>
  <c r="BB25" i="14"/>
  <c r="AM25" i="14"/>
  <c r="BC25" i="14"/>
  <c r="AN25" i="14"/>
  <c r="AO25" i="14"/>
  <c r="AP25" i="14"/>
  <c r="AQ25" i="14"/>
  <c r="AR25" i="14"/>
  <c r="AS25" i="14"/>
  <c r="AT25" i="14"/>
  <c r="AK24" i="14"/>
  <c r="BA24" i="14"/>
  <c r="AL24" i="14"/>
  <c r="BB24" i="14"/>
  <c r="AM24" i="14"/>
  <c r="BC24" i="14"/>
  <c r="AN24" i="14"/>
  <c r="AO24" i="14"/>
  <c r="AP24" i="14"/>
  <c r="AQ24" i="14"/>
  <c r="AR24" i="14"/>
  <c r="AS24" i="14"/>
  <c r="AT24" i="14"/>
  <c r="AU24" i="14"/>
  <c r="AV24" i="14"/>
  <c r="AW24" i="14"/>
  <c r="AH24" i="14"/>
  <c r="AX24" i="14"/>
  <c r="AI24" i="14"/>
  <c r="AY24" i="14"/>
  <c r="AJ24" i="14"/>
  <c r="AZ24" i="14"/>
  <c r="AQ23" i="14"/>
  <c r="AR23" i="14"/>
  <c r="AS23" i="14"/>
  <c r="AT23" i="14"/>
  <c r="AU23" i="14"/>
  <c r="AV23" i="14"/>
  <c r="AW23" i="14"/>
  <c r="AH23" i="14"/>
  <c r="AX23" i="14"/>
  <c r="AI23" i="14"/>
  <c r="AY23" i="14"/>
  <c r="AJ23" i="14"/>
  <c r="AZ23" i="14"/>
  <c r="AK23" i="14"/>
  <c r="BA23" i="14"/>
  <c r="AL23" i="14"/>
  <c r="BB23" i="14"/>
  <c r="AM23" i="14"/>
  <c r="BC23" i="14"/>
  <c r="AN23" i="14"/>
  <c r="AO23" i="14"/>
  <c r="AP23" i="14"/>
  <c r="AO26" i="14"/>
  <c r="AP26" i="14"/>
  <c r="AQ26" i="14"/>
  <c r="AR26" i="14"/>
  <c r="AS26" i="14"/>
  <c r="AT26" i="14"/>
  <c r="AU26" i="14"/>
  <c r="AV26" i="14"/>
  <c r="AW26" i="14"/>
  <c r="AH26" i="14"/>
  <c r="AX26" i="14"/>
  <c r="AI26" i="14"/>
  <c r="AY26" i="14"/>
  <c r="AJ26" i="14"/>
  <c r="AZ26" i="14"/>
  <c r="AK26" i="14"/>
  <c r="BA26" i="14"/>
  <c r="AL26" i="14"/>
  <c r="BB26" i="14"/>
  <c r="AM26" i="14"/>
  <c r="BC26" i="14"/>
  <c r="AN26" i="14"/>
  <c r="AG22" i="14"/>
  <c r="AW22" i="14"/>
  <c r="AH22" i="14"/>
  <c r="AX22" i="14"/>
  <c r="AI22" i="14"/>
  <c r="AY22" i="14"/>
  <c r="AJ22" i="14"/>
  <c r="AZ22" i="14"/>
  <c r="AK22" i="14"/>
  <c r="BA22" i="14"/>
  <c r="AL22" i="14"/>
  <c r="BB22" i="14"/>
  <c r="AM22" i="14"/>
  <c r="BC22" i="14"/>
  <c r="AN22" i="14"/>
  <c r="AO22" i="14"/>
  <c r="AP22" i="14"/>
  <c r="AQ22" i="14"/>
  <c r="AR22" i="14"/>
  <c r="AS22" i="14"/>
  <c r="AT22" i="14"/>
  <c r="AU22" i="14"/>
  <c r="AV22" i="14"/>
  <c r="AO25" i="13"/>
  <c r="AP25" i="13"/>
  <c r="AQ25" i="13"/>
  <c r="AR25" i="13"/>
  <c r="AS25" i="13"/>
  <c r="AT25" i="13"/>
  <c r="AU25" i="13"/>
  <c r="AF25" i="13"/>
  <c r="AV25" i="13"/>
  <c r="AG25" i="13"/>
  <c r="AW25" i="13"/>
  <c r="AH25" i="13"/>
  <c r="AX25" i="13"/>
  <c r="AL25" i="13"/>
  <c r="AM25" i="13"/>
  <c r="AI25" i="13"/>
  <c r="AJ25" i="13"/>
  <c r="AK25" i="13"/>
  <c r="AN25" i="13"/>
  <c r="AR24" i="13"/>
  <c r="AS24" i="13"/>
  <c r="AT24" i="13"/>
  <c r="AU24" i="13"/>
  <c r="AF24" i="13"/>
  <c r="AV24" i="13"/>
  <c r="AG24" i="13"/>
  <c r="AW24" i="13"/>
  <c r="AH24" i="13"/>
  <c r="AX24" i="13"/>
  <c r="AI24" i="13"/>
  <c r="AJ24" i="13"/>
  <c r="AK24" i="13"/>
  <c r="AO24" i="13"/>
  <c r="AP24" i="13"/>
  <c r="AL24" i="13"/>
  <c r="AM24" i="13"/>
  <c r="AN24" i="13"/>
  <c r="AQ24" i="13"/>
  <c r="AH22" i="13"/>
  <c r="AX22" i="13"/>
  <c r="AI22" i="13"/>
  <c r="AJ22" i="13"/>
  <c r="AK22" i="13"/>
  <c r="AL22" i="13"/>
  <c r="AM22" i="13"/>
  <c r="AN22" i="13"/>
  <c r="AO22" i="13"/>
  <c r="AP22" i="13"/>
  <c r="AQ22" i="13"/>
  <c r="AU22" i="13"/>
  <c r="AF22" i="13"/>
  <c r="AV22" i="13"/>
  <c r="AR22" i="13"/>
  <c r="AS22" i="13"/>
  <c r="AT22" i="13"/>
  <c r="AG22" i="13"/>
  <c r="AW22" i="13"/>
  <c r="AI27" i="13"/>
  <c r="AJ27" i="13"/>
  <c r="AK27" i="13"/>
  <c r="AL27" i="13"/>
  <c r="AM27" i="13"/>
  <c r="AN27" i="13"/>
  <c r="AO27" i="13"/>
  <c r="AP27" i="13"/>
  <c r="AQ27" i="13"/>
  <c r="AR27" i="13"/>
  <c r="AF27" i="13"/>
  <c r="AV27" i="13"/>
  <c r="AG27" i="13"/>
  <c r="AW27" i="13"/>
  <c r="AX27" i="13"/>
  <c r="AS27" i="13"/>
  <c r="AT27" i="13"/>
  <c r="AU27" i="13"/>
  <c r="AH27" i="13"/>
  <c r="AL26" i="13"/>
  <c r="AM26" i="13"/>
  <c r="AR26" i="13"/>
  <c r="AN26" i="13"/>
  <c r="AO26" i="13"/>
  <c r="AP26" i="13"/>
  <c r="AQ26" i="13"/>
  <c r="AS26" i="13"/>
  <c r="AT26" i="13"/>
  <c r="AU26" i="13"/>
  <c r="AI26" i="13"/>
  <c r="AJ26" i="13"/>
  <c r="AK26" i="13"/>
  <c r="AF26" i="13"/>
  <c r="AV26" i="13"/>
  <c r="AG26" i="13"/>
  <c r="AW26" i="13"/>
  <c r="AH26" i="13"/>
  <c r="AX26" i="13"/>
  <c r="AU23" i="13"/>
  <c r="AF23" i="13"/>
  <c r="AV23" i="13"/>
  <c r="AG23" i="13"/>
  <c r="AW23" i="13"/>
  <c r="AH23" i="13"/>
  <c r="AX23" i="13"/>
  <c r="AI23" i="13"/>
  <c r="AJ23" i="13"/>
  <c r="AK23" i="13"/>
  <c r="AL23" i="13"/>
  <c r="AM23" i="13"/>
  <c r="AN23" i="13"/>
  <c r="AR23" i="13"/>
  <c r="AS23" i="13"/>
  <c r="AT23" i="13"/>
  <c r="AO23" i="13"/>
  <c r="AP23" i="13"/>
  <c r="AQ23" i="13"/>
  <c r="AH25" i="26"/>
  <c r="W25" i="26"/>
  <c r="X25" i="26"/>
  <c r="Y25" i="26"/>
  <c r="Z25" i="26"/>
  <c r="AA25" i="26"/>
  <c r="AB25" i="26"/>
  <c r="AC25" i="26"/>
  <c r="AD25" i="26"/>
  <c r="AE25" i="26"/>
  <c r="AF25" i="26"/>
  <c r="AG25" i="26"/>
  <c r="Z23" i="26"/>
  <c r="AA23" i="26"/>
  <c r="AB23" i="26"/>
  <c r="AC23" i="26"/>
  <c r="AD23" i="26"/>
  <c r="AE23" i="26"/>
  <c r="AF23" i="26"/>
  <c r="AG23" i="26"/>
  <c r="AH23" i="26"/>
  <c r="W23" i="26"/>
  <c r="X23" i="26"/>
  <c r="Y23" i="26"/>
  <c r="Z19" i="26"/>
  <c r="AA19" i="26"/>
  <c r="AB19" i="26"/>
  <c r="AC19" i="26"/>
  <c r="AD19" i="26"/>
  <c r="AE19" i="26"/>
  <c r="AF19" i="26"/>
  <c r="AG19" i="26"/>
  <c r="AH19" i="26"/>
  <c r="W19" i="26"/>
  <c r="X19" i="26"/>
  <c r="Y19" i="26"/>
  <c r="AD24" i="26"/>
  <c r="AE24" i="26"/>
  <c r="AF24" i="26"/>
  <c r="AG24" i="26"/>
  <c r="AH24" i="26"/>
  <c r="W24" i="26"/>
  <c r="X24" i="26"/>
  <c r="Y24" i="26"/>
  <c r="Z24" i="26"/>
  <c r="AA24" i="26"/>
  <c r="AB24" i="26"/>
  <c r="AC24" i="26"/>
  <c r="Z27" i="26"/>
  <c r="AA27" i="26"/>
  <c r="AB27" i="26"/>
  <c r="AC27" i="26"/>
  <c r="AD27" i="26"/>
  <c r="AE27" i="26"/>
  <c r="AF27" i="26"/>
  <c r="AG27" i="26"/>
  <c r="AH27" i="26"/>
  <c r="W27" i="26"/>
  <c r="X27" i="26"/>
  <c r="Y27" i="26"/>
  <c r="W26" i="26"/>
  <c r="X26" i="26"/>
  <c r="Y26" i="26"/>
  <c r="Z26" i="26"/>
  <c r="AA26" i="26"/>
  <c r="AB26" i="26"/>
  <c r="AC26" i="26"/>
  <c r="AD26" i="26"/>
  <c r="AE26" i="26"/>
  <c r="AF26" i="26"/>
  <c r="AG26" i="26"/>
  <c r="AH26" i="26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B23" i="10"/>
  <c r="AC23" i="10"/>
  <c r="AD23" i="10"/>
  <c r="AE23" i="10"/>
  <c r="AF23" i="10"/>
  <c r="AG23" i="10"/>
  <c r="AH23" i="10"/>
  <c r="AI23" i="10"/>
  <c r="AJ23" i="10"/>
  <c r="Y23" i="10"/>
  <c r="Z23" i="10"/>
  <c r="AA23" i="10"/>
  <c r="AJ17" i="10"/>
  <c r="Y17" i="10"/>
  <c r="Z17" i="10"/>
  <c r="AA17" i="10"/>
  <c r="AB17" i="10"/>
  <c r="AC17" i="10"/>
  <c r="AD17" i="10"/>
  <c r="AE17" i="10"/>
  <c r="AF17" i="10"/>
  <c r="AG17" i="10"/>
  <c r="AH17" i="10"/>
  <c r="AI17" i="10"/>
  <c r="AF16" i="10"/>
  <c r="AG16" i="10"/>
  <c r="AH16" i="10"/>
  <c r="AI16" i="10"/>
  <c r="AJ16" i="10"/>
  <c r="Y16" i="10"/>
  <c r="Z16" i="10"/>
  <c r="AA16" i="10"/>
  <c r="AB16" i="10"/>
  <c r="AC16" i="10"/>
  <c r="AD16" i="10"/>
  <c r="AE16" i="10"/>
  <c r="AJ21" i="10"/>
  <c r="Y21" i="10"/>
  <c r="Z21" i="10"/>
  <c r="AA21" i="10"/>
  <c r="AB21" i="10"/>
  <c r="AC21" i="10"/>
  <c r="AD21" i="10"/>
  <c r="AE21" i="10"/>
  <c r="AF21" i="10"/>
  <c r="AG21" i="10"/>
  <c r="AH21" i="10"/>
  <c r="AI21" i="10"/>
  <c r="AB27" i="10"/>
  <c r="AC27" i="10"/>
  <c r="AD27" i="10"/>
  <c r="AE27" i="10"/>
  <c r="AF27" i="10"/>
  <c r="AG27" i="10"/>
  <c r="AH27" i="10"/>
  <c r="AI27" i="10"/>
  <c r="AJ27" i="10"/>
  <c r="Y27" i="10"/>
  <c r="Z27" i="10"/>
  <c r="AA27" i="10"/>
  <c r="Y26" i="10"/>
  <c r="Z26" i="10"/>
  <c r="AA26" i="10"/>
  <c r="AB26" i="10"/>
  <c r="AC26" i="10"/>
  <c r="AD26" i="10"/>
  <c r="AE26" i="10"/>
  <c r="AF26" i="10"/>
  <c r="AG26" i="10"/>
  <c r="AH26" i="10"/>
  <c r="AI26" i="10"/>
  <c r="AJ26" i="10"/>
  <c r="AJ25" i="10"/>
  <c r="Y25" i="10"/>
  <c r="Z25" i="10"/>
  <c r="AA25" i="10"/>
  <c r="AB25" i="10"/>
  <c r="AC25" i="10"/>
  <c r="AD25" i="10"/>
  <c r="AE25" i="10"/>
  <c r="AF25" i="10"/>
  <c r="AG25" i="10"/>
  <c r="AH25" i="10"/>
  <c r="AI25" i="10"/>
  <c r="AF24" i="10"/>
  <c r="AG24" i="10"/>
  <c r="AH24" i="10"/>
  <c r="AI24" i="10"/>
  <c r="AJ24" i="10"/>
  <c r="Y24" i="10"/>
  <c r="Z24" i="10"/>
  <c r="AA24" i="10"/>
  <c r="AB24" i="10"/>
  <c r="AC24" i="10"/>
  <c r="AD24" i="10"/>
  <c r="AE24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U41" i="23"/>
  <c r="S44" i="23"/>
  <c r="AF15" i="14"/>
  <c r="AC17" i="12"/>
  <c r="AN17" i="12" s="1"/>
  <c r="AD20" i="13"/>
  <c r="AC18" i="12"/>
  <c r="AX18" i="12" s="1"/>
  <c r="BK11" i="14"/>
  <c r="BM11" i="14" s="1"/>
  <c r="CH26" i="9"/>
  <c r="EL26" i="9" a="1"/>
  <c r="EL26" i="9" s="1"/>
  <c r="DN26" i="9" a="1"/>
  <c r="DN26" i="9" s="1"/>
  <c r="FA26" i="9" a="1"/>
  <c r="FA26" i="9" s="1"/>
  <c r="FD26" i="9" a="1"/>
  <c r="FD26" i="9" s="1"/>
  <c r="EG26" i="9" a="1"/>
  <c r="EG26" i="9" s="1"/>
  <c r="EB26" i="9" a="1"/>
  <c r="EB26" i="9" s="1"/>
  <c r="DD26" i="9" a="1"/>
  <c r="DD26" i="9" s="1"/>
  <c r="DK26" i="9" a="1"/>
  <c r="DK26" i="9" s="1"/>
  <c r="DW26" i="9" a="1"/>
  <c r="DW26" i="9" s="1"/>
  <c r="CZ26" i="9" a="1"/>
  <c r="CZ26" i="9" s="1"/>
  <c r="ES26" i="9" a="1"/>
  <c r="ES26" i="9" s="1"/>
  <c r="EV26" i="9" a="1"/>
  <c r="EV26" i="9" s="1"/>
  <c r="CT26" i="9" a="1"/>
  <c r="CT26" i="9" s="1"/>
  <c r="EE26" i="9" a="1"/>
  <c r="EE26" i="9" s="1"/>
  <c r="DG26" i="9" a="1"/>
  <c r="DG26" i="9" s="1"/>
  <c r="EH26" i="9" a="1"/>
  <c r="EH26" i="9" s="1"/>
  <c r="DI26" i="9" a="1"/>
  <c r="DI26" i="9" s="1"/>
  <c r="FC26" i="9" a="1"/>
  <c r="FC26" i="9" s="1"/>
  <c r="CY26" i="9" a="1"/>
  <c r="CY26" i="9" s="1"/>
  <c r="CU26" i="9" a="1"/>
  <c r="CU26" i="9" s="1"/>
  <c r="DX26" i="9" a="1"/>
  <c r="DX26" i="9" s="1"/>
  <c r="CM26" i="9" a="1"/>
  <c r="CM26" i="9" s="1"/>
  <c r="CO26" i="9" a="1"/>
  <c r="CO26" i="9" s="1"/>
  <c r="EA26" i="9" a="1"/>
  <c r="EA26" i="9" s="1"/>
  <c r="CQ26" i="9" a="1"/>
  <c r="CQ26" i="9" s="1"/>
  <c r="DV26" i="9" a="1"/>
  <c r="DV26" i="9" s="1"/>
  <c r="CN26" i="9" a="1"/>
  <c r="CN26" i="9" s="1"/>
  <c r="DQ26" i="9" a="1"/>
  <c r="DQ26" i="9" s="1"/>
  <c r="ET26" i="9" a="1"/>
  <c r="ET26" i="9" s="1"/>
  <c r="DB26" i="9" a="1"/>
  <c r="DB26" i="9" s="1"/>
  <c r="EZ26" i="9" a="1"/>
  <c r="EZ26" i="9" s="1"/>
  <c r="CI26" i="9" a="1"/>
  <c r="CI26" i="9" s="1"/>
  <c r="DA26" i="9" a="1"/>
  <c r="DA26" i="9" s="1"/>
  <c r="CL26" i="9" a="1"/>
  <c r="CL26" i="9" s="1"/>
  <c r="EJ26" i="9" a="1"/>
  <c r="EJ26" i="9" s="1"/>
  <c r="CV26" i="9" a="1"/>
  <c r="CV26" i="9" s="1"/>
  <c r="FE26" i="9" a="1"/>
  <c r="FE26" i="9" s="1"/>
  <c r="ER26" i="9" a="1"/>
  <c r="ER26" i="9" s="1"/>
  <c r="FF26" i="9" a="1"/>
  <c r="FF26" i="9" s="1"/>
  <c r="DZ26" i="9" a="1"/>
  <c r="DZ26" i="9" s="1"/>
  <c r="EQ26" i="9" a="1"/>
  <c r="EQ26" i="9" s="1"/>
  <c r="EK26" i="9" a="1"/>
  <c r="EK26" i="9" s="1"/>
  <c r="DP26" i="9" a="1"/>
  <c r="DP26" i="9" s="1"/>
  <c r="CW26" i="9" a="1"/>
  <c r="CW26" i="9" s="1"/>
  <c r="CS26" i="9" a="1"/>
  <c r="CS26" i="9" s="1"/>
  <c r="FB26" i="9" a="1"/>
  <c r="FB26" i="9" s="1"/>
  <c r="CX26" i="9" a="1"/>
  <c r="CX26" i="9" s="1"/>
  <c r="DJ26" i="9" a="1"/>
  <c r="DJ26" i="9" s="1"/>
  <c r="DH26" i="9" a="1"/>
  <c r="DH26" i="9" s="1"/>
  <c r="CK26" i="9" a="1"/>
  <c r="CK26" i="9" s="1"/>
  <c r="EU26" i="9" a="1"/>
  <c r="EU26" i="9" s="1"/>
  <c r="EF26" i="9" a="1"/>
  <c r="EF26" i="9" s="1"/>
  <c r="FG26" i="9" a="1"/>
  <c r="FG26" i="9" s="1"/>
  <c r="EN26" i="9" a="1"/>
  <c r="EN26" i="9" s="1"/>
  <c r="EX26" i="9" a="1"/>
  <c r="EX26" i="9" s="1"/>
  <c r="EI26" i="9" a="1"/>
  <c r="EI26" i="9" s="1"/>
  <c r="CP26" i="9" a="1"/>
  <c r="CP26" i="9" s="1"/>
  <c r="DY26" i="9" a="1"/>
  <c r="DY26" i="9" s="1"/>
  <c r="DC26" i="9" a="1"/>
  <c r="DC26" i="9" s="1"/>
  <c r="EP26" i="9" a="1"/>
  <c r="EP26" i="9" s="1"/>
  <c r="EY26" i="9" a="1"/>
  <c r="EY26" i="9" s="1"/>
  <c r="EM26" i="9" a="1"/>
  <c r="EM26" i="9" s="1"/>
  <c r="DS26" i="9" a="1"/>
  <c r="DS26" i="9" s="1"/>
  <c r="EW26" i="9" a="1"/>
  <c r="EW26" i="9" s="1"/>
  <c r="DO26" i="9" a="1"/>
  <c r="DO26" i="9" s="1"/>
  <c r="DE26" i="9" a="1"/>
  <c r="DE26" i="9" s="1"/>
  <c r="DM26" i="9" a="1"/>
  <c r="DM26" i="9" s="1"/>
  <c r="CJ26" i="9" a="1"/>
  <c r="CJ26" i="9" s="1"/>
  <c r="EC26" i="9" a="1"/>
  <c r="EC26" i="9" s="1"/>
  <c r="DU26" i="9" a="1"/>
  <c r="DU26" i="9" s="1"/>
  <c r="EO26" i="9" a="1"/>
  <c r="EO26" i="9" s="1"/>
  <c r="DT26" i="9" a="1"/>
  <c r="DT26" i="9" s="1"/>
  <c r="ED26" i="9" a="1"/>
  <c r="ED26" i="9" s="1"/>
  <c r="DD20" i="9" a="1"/>
  <c r="DD20" i="9" s="1"/>
  <c r="EM20" i="9" a="1"/>
  <c r="EM20" i="9" s="1"/>
  <c r="DI20" i="9" a="1"/>
  <c r="DI20" i="9" s="1"/>
  <c r="EI20" i="9" a="1"/>
  <c r="EI20" i="9" s="1"/>
  <c r="DJ20" i="9" a="1"/>
  <c r="DJ20" i="9" s="1"/>
  <c r="EB20" i="9" a="1"/>
  <c r="EB20" i="9" s="1"/>
  <c r="CO20" i="9" a="1"/>
  <c r="CO20" i="9" s="1"/>
  <c r="DO20" i="9" a="1"/>
  <c r="DO20" i="9" s="1"/>
  <c r="EV20" i="9" a="1"/>
  <c r="EV20" i="9" s="1"/>
  <c r="DR20" i="9" a="1"/>
  <c r="DR20" i="9" s="1"/>
  <c r="EK20" i="9" a="1"/>
  <c r="EK20" i="9" s="1"/>
  <c r="CQ20" i="9" a="1"/>
  <c r="CQ20" i="9" s="1"/>
  <c r="DE20" i="9" a="1"/>
  <c r="DE20" i="9" s="1"/>
  <c r="ES20" i="9" a="1"/>
  <c r="ES20" i="9" s="1"/>
  <c r="FA20" i="9" a="1"/>
  <c r="FA20" i="9" s="1"/>
  <c r="DF20" i="9" a="1"/>
  <c r="DF20" i="9" s="1"/>
  <c r="DX20" i="9" a="1"/>
  <c r="DX20" i="9" s="1"/>
  <c r="FD20" i="9" a="1"/>
  <c r="FD20" i="9" s="1"/>
  <c r="CK20" i="9" a="1"/>
  <c r="CK20" i="9" s="1"/>
  <c r="DZ20" i="9" a="1"/>
  <c r="DZ20" i="9" s="1"/>
  <c r="EF20" i="9" a="1"/>
  <c r="EF20" i="9" s="1"/>
  <c r="FE20" i="9" a="1"/>
  <c r="FE20" i="9" s="1"/>
  <c r="DG20" i="9" a="1"/>
  <c r="DG20" i="9" s="1"/>
  <c r="DM20" i="9" a="1"/>
  <c r="DM20" i="9" s="1"/>
  <c r="ER20" i="9" a="1"/>
  <c r="ER20" i="9" s="1"/>
  <c r="CJ20" i="9" a="1"/>
  <c r="CJ20" i="9" s="1"/>
  <c r="DN20" i="9" a="1"/>
  <c r="DN20" i="9" s="1"/>
  <c r="DV20" i="9" a="1"/>
  <c r="DV20" i="9" s="1"/>
  <c r="FB20" i="9" a="1"/>
  <c r="FB20" i="9" s="1"/>
  <c r="EQ20" i="9" a="1"/>
  <c r="EQ20" i="9" s="1"/>
  <c r="EZ20" i="9" a="1"/>
  <c r="EZ20" i="9" s="1"/>
  <c r="CX20" i="9" a="1"/>
  <c r="CX20" i="9" s="1"/>
  <c r="CW20" i="9" a="1"/>
  <c r="CW20" i="9" s="1"/>
  <c r="EH20" i="9" a="1"/>
  <c r="EH20" i="9" s="1"/>
  <c r="DW20" i="9" a="1"/>
  <c r="DW20" i="9" s="1"/>
  <c r="ED20" i="9" a="1"/>
  <c r="ED20" i="9" s="1"/>
  <c r="EG20" i="9" a="1"/>
  <c r="EG20" i="9" s="1"/>
  <c r="CH20" i="9"/>
  <c r="DL20" i="9" a="1"/>
  <c r="DL20" i="9" s="1"/>
  <c r="DB20" i="9" a="1"/>
  <c r="DB20" i="9" s="1"/>
  <c r="DT20" i="9" a="1"/>
  <c r="DT20" i="9" s="1"/>
  <c r="DQ20" i="9" a="1"/>
  <c r="DQ20" i="9" s="1"/>
  <c r="FG20" i="9" a="1"/>
  <c r="FG20" i="9" s="1"/>
  <c r="CN20" i="9" a="1"/>
  <c r="CN20" i="9" s="1"/>
  <c r="EP20" i="9" a="1"/>
  <c r="EP20" i="9" s="1"/>
  <c r="EY20" i="9" a="1"/>
  <c r="EY20" i="9" s="1"/>
  <c r="CZ20" i="9" a="1"/>
  <c r="CZ20" i="9" s="1"/>
  <c r="DU20" i="9" a="1"/>
  <c r="DU20" i="9" s="1"/>
  <c r="CM20" i="9" a="1"/>
  <c r="CM20" i="9" s="1"/>
  <c r="DA20" i="9" a="1"/>
  <c r="DA20" i="9" s="1"/>
  <c r="DH20" i="9" a="1"/>
  <c r="DH20" i="9" s="1"/>
  <c r="CY20" i="9" a="1"/>
  <c r="CY20" i="9" s="1"/>
  <c r="FF20" i="9" a="1"/>
  <c r="FF20" i="9" s="1"/>
  <c r="DK20" i="9" a="1"/>
  <c r="DK20" i="9" s="1"/>
  <c r="CI20" i="9" a="1"/>
  <c r="CI20" i="9" s="1"/>
  <c r="CT20" i="9" a="1"/>
  <c r="CT20" i="9" s="1"/>
  <c r="FC20" i="9" a="1"/>
  <c r="FC20" i="9" s="1"/>
  <c r="EJ20" i="9" a="1"/>
  <c r="EJ20" i="9" s="1"/>
  <c r="CL20" i="9" a="1"/>
  <c r="CL20" i="9" s="1"/>
  <c r="EW20" i="9" a="1"/>
  <c r="EW20" i="9" s="1"/>
  <c r="EL20" i="9" a="1"/>
  <c r="EL20" i="9" s="1"/>
  <c r="CR20" i="9" a="1"/>
  <c r="CR20" i="9" s="1"/>
  <c r="EC20" i="9" a="1"/>
  <c r="EC20" i="9" s="1"/>
  <c r="CV20" i="9" a="1"/>
  <c r="CV20" i="9" s="1"/>
  <c r="EN20" i="9" a="1"/>
  <c r="EN20" i="9" s="1"/>
  <c r="DS20" i="9" a="1"/>
  <c r="DS20" i="9" s="1"/>
  <c r="EU20" i="9" a="1"/>
  <c r="EU20" i="9" s="1"/>
  <c r="EA20" i="9" a="1"/>
  <c r="EA20" i="9" s="1"/>
  <c r="ET20" i="9" a="1"/>
  <c r="ET20" i="9" s="1"/>
  <c r="DP20" i="9" a="1"/>
  <c r="DP20" i="9" s="1"/>
  <c r="EO20" i="9" a="1"/>
  <c r="EO20" i="9" s="1"/>
  <c r="CU20" i="9" a="1"/>
  <c r="CU20" i="9" s="1"/>
  <c r="CS20" i="9" a="1"/>
  <c r="CS20" i="9" s="1"/>
  <c r="DC20" i="9" a="1"/>
  <c r="DC20" i="9" s="1"/>
  <c r="CP20" i="9" a="1"/>
  <c r="CP20" i="9" s="1"/>
  <c r="EX20" i="9" a="1"/>
  <c r="EX20" i="9" s="1"/>
  <c r="EE20" i="9" a="1"/>
  <c r="EE20" i="9" s="1"/>
  <c r="DY20" i="9" a="1"/>
  <c r="DY20" i="9" s="1"/>
  <c r="B48" i="7"/>
  <c r="BK8" i="14"/>
  <c r="BL8" i="14" s="1"/>
  <c r="B47" i="7"/>
  <c r="CG24" i="9" a="1"/>
  <c r="CG24" i="9" s="1"/>
  <c r="AC8" i="12"/>
  <c r="AK8" i="12" s="1"/>
  <c r="AF9" i="14"/>
  <c r="AC11" i="12"/>
  <c r="AJ11" i="12" s="1"/>
  <c r="AC16" i="12"/>
  <c r="AT16" i="12" s="1"/>
  <c r="AC10" i="12"/>
  <c r="AO10" i="12" s="1"/>
  <c r="AC15" i="12"/>
  <c r="AP15" i="12" s="1"/>
  <c r="AD21" i="13"/>
  <c r="AC13" i="12"/>
  <c r="AQ13" i="12" s="1"/>
  <c r="B43" i="7"/>
  <c r="B49" i="7"/>
  <c r="B50" i="7"/>
  <c r="B46" i="7"/>
  <c r="AC25" i="12"/>
  <c r="AF25" i="12" s="1"/>
  <c r="AC26" i="12"/>
  <c r="AC19" i="12"/>
  <c r="AH19" i="12" s="1"/>
  <c r="AF19" i="14"/>
  <c r="AC22" i="12"/>
  <c r="AD22" i="12" s="1"/>
  <c r="AC14" i="12"/>
  <c r="AU14" i="12" s="1"/>
  <c r="AC9" i="12"/>
  <c r="AG9" i="12" s="1"/>
  <c r="AC12" i="12"/>
  <c r="AO12" i="12" s="1"/>
  <c r="AC20" i="12"/>
  <c r="AQ20" i="12" s="1"/>
  <c r="AX23" i="12"/>
  <c r="AV23" i="12"/>
  <c r="AS23" i="12"/>
  <c r="AP23" i="12"/>
  <c r="AI23" i="12"/>
  <c r="AM23" i="12"/>
  <c r="AD23" i="12"/>
  <c r="AQ23" i="12"/>
  <c r="AK23" i="12"/>
  <c r="AG23" i="12"/>
  <c r="AU23" i="12"/>
  <c r="AJ23" i="12"/>
  <c r="AN23" i="12"/>
  <c r="AW23" i="12"/>
  <c r="AT23" i="12"/>
  <c r="AO23" i="12"/>
  <c r="AF23" i="12"/>
  <c r="AE23" i="12"/>
  <c r="AL23" i="12"/>
  <c r="AR23" i="12"/>
  <c r="AH23" i="12"/>
  <c r="AT24" i="12"/>
  <c r="AJ24" i="12"/>
  <c r="AU24" i="12"/>
  <c r="AW24" i="12"/>
  <c r="AV24" i="12"/>
  <c r="AF24" i="12"/>
  <c r="AP24" i="12"/>
  <c r="AX24" i="12"/>
  <c r="AH24" i="12"/>
  <c r="AR24" i="12"/>
  <c r="AM24" i="12"/>
  <c r="AN24" i="12"/>
  <c r="AQ24" i="12"/>
  <c r="AL24" i="12"/>
  <c r="AI24" i="12"/>
  <c r="AO24" i="12"/>
  <c r="AK24" i="12"/>
  <c r="AG24" i="12"/>
  <c r="AE24" i="12"/>
  <c r="AS24" i="12"/>
  <c r="AD24" i="12"/>
  <c r="AE21" i="12"/>
  <c r="AM21" i="12"/>
  <c r="AL21" i="12"/>
  <c r="AN21" i="12"/>
  <c r="AP21" i="12"/>
  <c r="AI21" i="12"/>
  <c r="AR21" i="12"/>
  <c r="AJ21" i="12"/>
  <c r="AS21" i="12"/>
  <c r="AQ21" i="12"/>
  <c r="AK21" i="12"/>
  <c r="AF21" i="12"/>
  <c r="AD21" i="12"/>
  <c r="AO21" i="12"/>
  <c r="AW21" i="12"/>
  <c r="AG21" i="12"/>
  <c r="AU21" i="12"/>
  <c r="AT21" i="12"/>
  <c r="AV21" i="12"/>
  <c r="AX21" i="12"/>
  <c r="AH21" i="12"/>
  <c r="AM7" i="12"/>
  <c r="AI7" i="12"/>
  <c r="AP7" i="12"/>
  <c r="AT7" i="12"/>
  <c r="AW7" i="12"/>
  <c r="AO7" i="12"/>
  <c r="AX7" i="12"/>
  <c r="AV7" i="12"/>
  <c r="AF7" i="12"/>
  <c r="AU7" i="12"/>
  <c r="AR7" i="12"/>
  <c r="AS7" i="12"/>
  <c r="AN7" i="12"/>
  <c r="AJ7" i="12"/>
  <c r="AG7" i="12"/>
  <c r="AH7" i="12"/>
  <c r="AK7" i="12"/>
  <c r="AL7" i="12"/>
  <c r="AQ7" i="12"/>
  <c r="AD7" i="12"/>
  <c r="AE7" i="12"/>
  <c r="AO6" i="12"/>
  <c r="AU6" i="12"/>
  <c r="AE6" i="12"/>
  <c r="AD6" i="12"/>
  <c r="AL6" i="12"/>
  <c r="AW6" i="12"/>
  <c r="AM6" i="12"/>
  <c r="AR6" i="12"/>
  <c r="AT6" i="12"/>
  <c r="AX6" i="12"/>
  <c r="AN6" i="12"/>
  <c r="AQ6" i="12"/>
  <c r="AS6" i="12"/>
  <c r="AP6" i="12"/>
  <c r="AF6" i="12"/>
  <c r="AG6" i="12"/>
  <c r="AH6" i="12"/>
  <c r="AI6" i="12"/>
  <c r="AK6" i="12"/>
  <c r="AV6" i="12"/>
  <c r="AJ6" i="12"/>
  <c r="AF10" i="14"/>
  <c r="AF11" i="14"/>
  <c r="U6" i="26"/>
  <c r="AD19" i="13"/>
  <c r="BF12" i="13"/>
  <c r="BH12" i="13" s="1"/>
  <c r="AF7" i="14"/>
  <c r="BF13" i="13"/>
  <c r="BI13" i="13" s="1"/>
  <c r="AF14" i="14"/>
  <c r="AF18" i="14"/>
  <c r="AF8" i="14"/>
  <c r="AF13" i="14"/>
  <c r="AF6" i="14"/>
  <c r="BK7" i="14"/>
  <c r="BL7" i="14" s="1"/>
  <c r="BK6" i="14"/>
  <c r="BL6" i="14" s="1"/>
  <c r="U11" i="26"/>
  <c r="W13" i="10"/>
  <c r="BK9" i="14"/>
  <c r="BN9" i="14" s="1"/>
  <c r="U15" i="26"/>
  <c r="BK10" i="14"/>
  <c r="BM10" i="14" s="1"/>
  <c r="BC15" i="30"/>
  <c r="BF15" i="30" s="1"/>
  <c r="U7" i="26"/>
  <c r="BK14" i="14"/>
  <c r="BN14" i="14" s="1"/>
  <c r="W15" i="10"/>
  <c r="U8" i="26"/>
  <c r="AD12" i="13"/>
  <c r="W14" i="10"/>
  <c r="U9" i="26"/>
  <c r="AF12" i="14"/>
  <c r="W20" i="10"/>
  <c r="BC14" i="30"/>
  <c r="BF14" i="30" s="1"/>
  <c r="BK12" i="14"/>
  <c r="BL12" i="14" s="1"/>
  <c r="AF17" i="14"/>
  <c r="U10" i="26"/>
  <c r="AD13" i="13"/>
  <c r="W19" i="10"/>
  <c r="W12" i="10"/>
  <c r="I13" i="16"/>
  <c r="I11" i="16"/>
  <c r="I10" i="16"/>
  <c r="I16" i="16"/>
  <c r="I15" i="16"/>
  <c r="I9" i="16"/>
  <c r="I18" i="16"/>
  <c r="I7" i="16"/>
  <c r="I12" i="16"/>
  <c r="I6" i="16"/>
  <c r="I14" i="16"/>
  <c r="I19" i="16"/>
  <c r="I17" i="16"/>
  <c r="AD16" i="13"/>
  <c r="AF16" i="14"/>
  <c r="AD11" i="13"/>
  <c r="U13" i="26"/>
  <c r="AD18" i="13"/>
  <c r="AD6" i="13"/>
  <c r="W11" i="10"/>
  <c r="W8" i="10"/>
  <c r="U14" i="26"/>
  <c r="AD10" i="13"/>
  <c r="BF7" i="13"/>
  <c r="BG7" i="13" s="1"/>
  <c r="BC8" i="30"/>
  <c r="BD8" i="30" s="1"/>
  <c r="AD8" i="13"/>
  <c r="U12" i="26"/>
  <c r="BF6" i="13"/>
  <c r="BH6" i="13" s="1"/>
  <c r="BC12" i="30"/>
  <c r="BE12" i="30" s="1"/>
  <c r="BC7" i="30"/>
  <c r="BD7" i="30" s="1"/>
  <c r="AD17" i="13"/>
  <c r="BF9" i="13"/>
  <c r="BG9" i="13" s="1"/>
  <c r="BC11" i="30"/>
  <c r="BF11" i="30" s="1"/>
  <c r="BC10" i="30"/>
  <c r="BD10" i="30" s="1"/>
  <c r="BC13" i="30"/>
  <c r="BF13" i="30" s="1"/>
  <c r="BC6" i="30"/>
  <c r="AD9" i="13"/>
  <c r="AD15" i="13"/>
  <c r="BF10" i="13"/>
  <c r="BI10" i="13" s="1"/>
  <c r="BF11" i="13"/>
  <c r="BG11" i="13" s="1"/>
  <c r="BF8" i="13"/>
  <c r="BG8" i="13" s="1"/>
  <c r="J28" i="23"/>
  <c r="E28" i="23"/>
  <c r="J128" i="23"/>
  <c r="G69" i="1"/>
  <c r="H69" i="1" s="1"/>
  <c r="G49" i="7"/>
  <c r="P49" i="7" s="1"/>
  <c r="G63" i="1"/>
  <c r="H63" i="1" s="1"/>
  <c r="G43" i="7"/>
  <c r="P43" i="7" s="1"/>
  <c r="E65" i="1"/>
  <c r="D48" i="17" s="1"/>
  <c r="E48" i="17" s="1"/>
  <c r="F45" i="7"/>
  <c r="G65" i="1"/>
  <c r="H65" i="1" s="1"/>
  <c r="G45" i="7"/>
  <c r="J52" i="23"/>
  <c r="O52" i="23"/>
  <c r="E69" i="1"/>
  <c r="D52" i="17" s="1"/>
  <c r="E52" i="17" s="1"/>
  <c r="N59" i="27"/>
  <c r="R59" i="27" s="1"/>
  <c r="E63" i="1"/>
  <c r="N53" i="27"/>
  <c r="R53" i="27" s="1"/>
  <c r="E114" i="23"/>
  <c r="E128" i="23" s="1"/>
  <c r="C128" i="23"/>
  <c r="U40" i="23" s="1"/>
  <c r="O28" i="23"/>
  <c r="E52" i="23"/>
  <c r="M128" i="23"/>
  <c r="O108" i="23"/>
  <c r="O128" i="23" s="1"/>
  <c r="W6" i="10"/>
  <c r="W10" i="10"/>
  <c r="W7" i="10"/>
  <c r="W9" i="10"/>
  <c r="O55" i="50"/>
  <c r="AE51" i="29"/>
  <c r="AD51" i="29"/>
  <c r="E49" i="7" s="1"/>
  <c r="Y51" i="30"/>
  <c r="X51" i="30"/>
  <c r="AD51" i="14"/>
  <c r="AC51" i="14"/>
  <c r="S51" i="26"/>
  <c r="R51" i="26"/>
  <c r="AA51" i="13"/>
  <c r="Z51" i="13"/>
  <c r="AA45" i="13"/>
  <c r="X16" i="10"/>
  <c r="X17" i="10"/>
  <c r="X18" i="10"/>
  <c r="X21" i="10"/>
  <c r="X22" i="10"/>
  <c r="X23" i="10"/>
  <c r="X24" i="10"/>
  <c r="X25" i="10"/>
  <c r="X26" i="10"/>
  <c r="X27" i="10"/>
  <c r="BF9" i="30"/>
  <c r="BE9" i="30"/>
  <c r="BD9" i="30"/>
  <c r="BF16" i="30"/>
  <c r="BE16" i="30"/>
  <c r="BD16" i="30"/>
  <c r="BD17" i="30"/>
  <c r="BE17" i="30"/>
  <c r="BF17" i="30"/>
  <c r="BD18" i="30"/>
  <c r="BE18" i="30"/>
  <c r="BF18" i="30"/>
  <c r="BE19" i="30"/>
  <c r="BF19" i="30"/>
  <c r="BD19" i="30"/>
  <c r="BF20" i="30"/>
  <c r="BE20" i="30"/>
  <c r="BD20" i="30"/>
  <c r="BD21" i="30"/>
  <c r="BE21" i="30"/>
  <c r="BF21" i="30"/>
  <c r="BE22" i="30"/>
  <c r="BF22" i="30"/>
  <c r="BD22" i="30"/>
  <c r="BD23" i="30"/>
  <c r="BE23" i="30"/>
  <c r="BF23" i="30"/>
  <c r="BE24" i="30"/>
  <c r="BD24" i="30"/>
  <c r="BF24" i="30"/>
  <c r="BF25" i="30"/>
  <c r="BE25" i="30"/>
  <c r="BD25" i="30"/>
  <c r="BD26" i="30"/>
  <c r="BE26" i="30"/>
  <c r="BF26" i="30"/>
  <c r="BD27" i="30"/>
  <c r="BE27" i="30"/>
  <c r="BF27" i="30"/>
  <c r="BM19" i="14"/>
  <c r="BL19" i="14"/>
  <c r="BN19" i="14"/>
  <c r="BM23" i="14"/>
  <c r="BL23" i="14"/>
  <c r="BN23" i="14"/>
  <c r="BN13" i="14"/>
  <c r="BM13" i="14"/>
  <c r="BL13" i="14"/>
  <c r="BL15" i="14"/>
  <c r="BM15" i="14"/>
  <c r="BN15" i="14"/>
  <c r="BM16" i="14"/>
  <c r="BL16" i="14"/>
  <c r="BN16" i="14"/>
  <c r="BL17" i="14"/>
  <c r="BN17" i="14"/>
  <c r="BM17" i="14"/>
  <c r="BL18" i="14"/>
  <c r="BN18" i="14"/>
  <c r="BM18" i="14"/>
  <c r="BL20" i="14"/>
  <c r="BM20" i="14"/>
  <c r="BL21" i="14"/>
  <c r="BM21" i="14"/>
  <c r="BN21" i="14"/>
  <c r="BL22" i="14"/>
  <c r="BM22" i="14"/>
  <c r="BN22" i="14"/>
  <c r="BM24" i="14"/>
  <c r="BN24" i="14"/>
  <c r="BL24" i="14"/>
  <c r="BN25" i="14"/>
  <c r="BL25" i="14"/>
  <c r="BL26" i="14"/>
  <c r="BM26" i="14"/>
  <c r="BN26" i="14"/>
  <c r="BL27" i="14"/>
  <c r="BM27" i="14"/>
  <c r="BN27" i="14"/>
  <c r="BG18" i="13"/>
  <c r="BI18" i="13"/>
  <c r="BH18" i="13"/>
  <c r="BH14" i="13"/>
  <c r="BG14" i="13"/>
  <c r="BI14" i="13"/>
  <c r="BH15" i="13"/>
  <c r="BI15" i="13"/>
  <c r="BG15" i="13"/>
  <c r="BI16" i="13"/>
  <c r="BH16" i="13"/>
  <c r="BG16" i="13"/>
  <c r="BG17" i="13"/>
  <c r="BH17" i="13"/>
  <c r="BI17" i="13"/>
  <c r="BG19" i="13"/>
  <c r="BH19" i="13"/>
  <c r="BI19" i="13"/>
  <c r="BG20" i="13"/>
  <c r="BH20" i="13"/>
  <c r="BI20" i="13"/>
  <c r="BG21" i="13"/>
  <c r="BH21" i="13"/>
  <c r="BI21" i="13"/>
  <c r="BG22" i="13"/>
  <c r="BH22" i="13"/>
  <c r="BI22" i="13"/>
  <c r="BI23" i="13"/>
  <c r="BG23" i="13"/>
  <c r="BH23" i="13"/>
  <c r="BH24" i="13"/>
  <c r="BI24" i="13"/>
  <c r="BG24" i="13"/>
  <c r="BG25" i="13"/>
  <c r="BI25" i="13"/>
  <c r="BH25" i="13"/>
  <c r="BG26" i="13"/>
  <c r="BH26" i="13"/>
  <c r="BI26" i="13"/>
  <c r="BG27" i="13"/>
  <c r="BI27" i="13"/>
  <c r="BH27" i="13"/>
  <c r="V27" i="26"/>
  <c r="AJ27" i="26"/>
  <c r="AK27" i="26"/>
  <c r="AL27" i="26"/>
  <c r="AM27" i="26"/>
  <c r="AI27" i="26"/>
  <c r="V19" i="26"/>
  <c r="V23" i="26"/>
  <c r="V24" i="26"/>
  <c r="V25" i="26"/>
  <c r="AI26" i="26"/>
  <c r="V26" i="26"/>
  <c r="AL26" i="26"/>
  <c r="AM26" i="26"/>
  <c r="AK26" i="26"/>
  <c r="AJ26" i="26"/>
  <c r="AE27" i="13"/>
  <c r="AG24" i="14"/>
  <c r="AE22" i="13"/>
  <c r="AE23" i="13"/>
  <c r="AE24" i="13"/>
  <c r="AE25" i="13"/>
  <c r="AE26" i="13"/>
  <c r="AY26" i="13"/>
  <c r="AG20" i="14"/>
  <c r="AG21" i="14"/>
  <c r="AG23" i="14"/>
  <c r="AG25" i="14"/>
  <c r="AG26" i="14"/>
  <c r="AG27" i="14"/>
  <c r="R47" i="50"/>
  <c r="AD45" i="29"/>
  <c r="E43" i="7" s="1"/>
  <c r="Y45" i="30"/>
  <c r="X45" i="30"/>
  <c r="AD45" i="14"/>
  <c r="AC45" i="14"/>
  <c r="Z45" i="13"/>
  <c r="S45" i="26"/>
  <c r="R45" i="26"/>
  <c r="AE47" i="29"/>
  <c r="R49" i="50" s="1"/>
  <c r="AD47" i="29"/>
  <c r="Y47" i="30"/>
  <c r="X47" i="30"/>
  <c r="AD47" i="14"/>
  <c r="AC47" i="14"/>
  <c r="AA47" i="13"/>
  <c r="Z47" i="13"/>
  <c r="S47" i="26"/>
  <c r="R47" i="26"/>
  <c r="BG6" i="29" l="1"/>
  <c r="BG7" i="29"/>
  <c r="BI7" i="29" s="1"/>
  <c r="BG8" i="29"/>
  <c r="BG9" i="29"/>
  <c r="BG11" i="29"/>
  <c r="BI11" i="29" s="1"/>
  <c r="BG12" i="29"/>
  <c r="BI12" i="29" s="1"/>
  <c r="BG13" i="29"/>
  <c r="BI13" i="29" s="1"/>
  <c r="BG10" i="29"/>
  <c r="BI10" i="29" s="1"/>
  <c r="BI6" i="29"/>
  <c r="BH6" i="29"/>
  <c r="BI8" i="29"/>
  <c r="BH8" i="29"/>
  <c r="BI9" i="29"/>
  <c r="BH9" i="29"/>
  <c r="W16" i="26"/>
  <c r="AE16" i="26"/>
  <c r="V16" i="26"/>
  <c r="AH16" i="26"/>
  <c r="AD16" i="26"/>
  <c r="Y16" i="26"/>
  <c r="AG16" i="26"/>
  <c r="X16" i="26"/>
  <c r="DL21" i="9" a="1"/>
  <c r="DL21" i="9" s="1"/>
  <c r="DH21" i="9" a="1"/>
  <c r="DH21" i="9" s="1"/>
  <c r="DQ21" i="9" a="1"/>
  <c r="DQ21" i="9" s="1"/>
  <c r="EX21" i="9" a="1"/>
  <c r="EX21" i="9" s="1"/>
  <c r="EC21" i="9" a="1"/>
  <c r="EC21" i="9" s="1"/>
  <c r="EA21" i="9" a="1"/>
  <c r="EA21" i="9" s="1"/>
  <c r="DZ21" i="9" a="1"/>
  <c r="DZ21" i="9" s="1"/>
  <c r="FA21" i="9" a="1"/>
  <c r="FA21" i="9" s="1"/>
  <c r="CO21" i="9" a="1"/>
  <c r="CO21" i="9" s="1"/>
  <c r="EB21" i="9" a="1"/>
  <c r="EB21" i="9" s="1"/>
  <c r="CV21" i="9" a="1"/>
  <c r="CV21" i="9" s="1"/>
  <c r="DN21" i="9" a="1"/>
  <c r="DN21" i="9" s="1"/>
  <c r="DG21" i="9" a="1"/>
  <c r="DG21" i="9" s="1"/>
  <c r="CZ21" i="9" a="1"/>
  <c r="CZ21" i="9" s="1"/>
  <c r="EH21" i="9" a="1"/>
  <c r="EH21" i="9" s="1"/>
  <c r="DJ21" i="9" a="1"/>
  <c r="DJ21" i="9" s="1"/>
  <c r="CJ21" i="9" a="1"/>
  <c r="CJ21" i="9" s="1"/>
  <c r="EU21" i="9" a="1"/>
  <c r="EU21" i="9" s="1"/>
  <c r="EJ21" i="9" a="1"/>
  <c r="EJ21" i="9" s="1"/>
  <c r="CW21" i="9" a="1"/>
  <c r="CW21" i="9" s="1"/>
  <c r="DM21" i="9" a="1"/>
  <c r="DM21" i="9" s="1"/>
  <c r="AF16" i="26"/>
  <c r="AC16" i="26"/>
  <c r="AB16" i="26"/>
  <c r="AA16" i="26"/>
  <c r="EP21" i="9" a="1"/>
  <c r="EP21" i="9" s="1"/>
  <c r="EF21" i="9" a="1"/>
  <c r="EF21" i="9" s="1"/>
  <c r="FF21" i="9" a="1"/>
  <c r="FF21" i="9" s="1"/>
  <c r="DP21" i="9" a="1"/>
  <c r="DP21" i="9" s="1"/>
  <c r="CY21" i="9" a="1"/>
  <c r="CY21" i="9" s="1"/>
  <c r="EL21" i="9" a="1"/>
  <c r="EL21" i="9" s="1"/>
  <c r="EN21" i="9" a="1"/>
  <c r="EN21" i="9" s="1"/>
  <c r="CP21" i="9" a="1"/>
  <c r="CP21" i="9" s="1"/>
  <c r="DV21" i="9" a="1"/>
  <c r="DV21" i="9" s="1"/>
  <c r="CQ21" i="9" a="1"/>
  <c r="CQ21" i="9" s="1"/>
  <c r="FB21" i="9" a="1"/>
  <c r="FB21" i="9" s="1"/>
  <c r="ER21" i="9" a="1"/>
  <c r="ER21" i="9" s="1"/>
  <c r="CL21" i="9" a="1"/>
  <c r="CL21" i="9" s="1"/>
  <c r="EI21" i="9" a="1"/>
  <c r="EI21" i="9" s="1"/>
  <c r="EG21" i="9" a="1"/>
  <c r="EG21" i="9" s="1"/>
  <c r="CT21" i="9" a="1"/>
  <c r="CT21" i="9" s="1"/>
  <c r="DF21" i="9" a="1"/>
  <c r="DF21" i="9" s="1"/>
  <c r="CU23" i="9" a="1"/>
  <c r="CU23" i="9" s="1"/>
  <c r="ES23" i="9" a="1"/>
  <c r="ES23" i="9" s="1"/>
  <c r="EN23" i="9" a="1"/>
  <c r="EN23" i="9" s="1"/>
  <c r="EY23" i="9" a="1"/>
  <c r="EY23" i="9" s="1"/>
  <c r="CJ23" i="9" a="1"/>
  <c r="CJ23" i="9" s="1"/>
  <c r="DI23" i="9" a="1"/>
  <c r="DI23" i="9" s="1"/>
  <c r="EK21" i="9" a="1"/>
  <c r="EK21" i="9" s="1"/>
  <c r="DE21" i="9" a="1"/>
  <c r="DE21" i="9" s="1"/>
  <c r="FG21" i="9" a="1"/>
  <c r="FG21" i="9" s="1"/>
  <c r="EU23" i="9" a="1"/>
  <c r="EU23" i="9" s="1"/>
  <c r="CT23" i="9" a="1"/>
  <c r="CT23" i="9" s="1"/>
  <c r="DV23" i="9" a="1"/>
  <c r="DV23" i="9" s="1"/>
  <c r="EY21" i="9" a="1"/>
  <c r="EY21" i="9" s="1"/>
  <c r="EG23" i="9" a="1"/>
  <c r="EG23" i="9" s="1"/>
  <c r="CI23" i="9" a="1"/>
  <c r="CI23" i="9" s="1"/>
  <c r="EJ23" i="9" a="1"/>
  <c r="EJ23" i="9" s="1"/>
  <c r="DD23" i="9" a="1"/>
  <c r="DD23" i="9" s="1"/>
  <c r="CR23" i="9" a="1"/>
  <c r="CR23" i="9" s="1"/>
  <c r="DU23" i="9" a="1"/>
  <c r="DU23" i="9" s="1"/>
  <c r="CV23" i="9" a="1"/>
  <c r="CV23" i="9" s="1"/>
  <c r="CN23" i="9" a="1"/>
  <c r="CN23" i="9" s="1"/>
  <c r="FB23" i="9" a="1"/>
  <c r="FB23" i="9" s="1"/>
  <c r="CX23" i="9" a="1"/>
  <c r="CX23" i="9" s="1"/>
  <c r="EE23" i="9" a="1"/>
  <c r="EE23" i="9" s="1"/>
  <c r="EW23" i="9" a="1"/>
  <c r="EW23" i="9" s="1"/>
  <c r="DE23" i="9" a="1"/>
  <c r="DE23" i="9" s="1"/>
  <c r="CP23" i="9" a="1"/>
  <c r="CP23" i="9" s="1"/>
  <c r="DT23" i="9" a="1"/>
  <c r="DT23" i="9" s="1"/>
  <c r="DX23" i="9" a="1"/>
  <c r="DX23" i="9" s="1"/>
  <c r="DH23" i="9" a="1"/>
  <c r="DH23" i="9" s="1"/>
  <c r="DR23" i="9" a="1"/>
  <c r="DR23" i="9" s="1"/>
  <c r="EH23" i="9" a="1"/>
  <c r="EH23" i="9" s="1"/>
  <c r="EC23" i="9" a="1"/>
  <c r="EC23" i="9" s="1"/>
  <c r="FE23" i="9" a="1"/>
  <c r="FE23" i="9" s="1"/>
  <c r="CY23" i="9" a="1"/>
  <c r="CY23" i="9" s="1"/>
  <c r="EL23" i="9" a="1"/>
  <c r="EL23" i="9" s="1"/>
  <c r="EI23" i="9" a="1"/>
  <c r="EI23" i="9" s="1"/>
  <c r="DG23" i="9" a="1"/>
  <c r="DG23" i="9" s="1"/>
  <c r="EV23" i="9" a="1"/>
  <c r="EV23" i="9" s="1"/>
  <c r="DF23" i="9" a="1"/>
  <c r="DF23" i="9" s="1"/>
  <c r="DM23" i="9" a="1"/>
  <c r="DM23" i="9" s="1"/>
  <c r="CK23" i="9" a="1"/>
  <c r="CK23" i="9" s="1"/>
  <c r="DC23" i="9" a="1"/>
  <c r="DC23" i="9" s="1"/>
  <c r="DP23" i="9" a="1"/>
  <c r="DP23" i="9" s="1"/>
  <c r="CQ23" i="9" a="1"/>
  <c r="CQ23" i="9" s="1"/>
  <c r="CO23" i="9" a="1"/>
  <c r="CO23" i="9" s="1"/>
  <c r="FG23" i="9" a="1"/>
  <c r="FG23" i="9" s="1"/>
  <c r="FA23" i="9" a="1"/>
  <c r="FA23" i="9" s="1"/>
  <c r="CH23" i="9"/>
  <c r="EO23" i="9" a="1"/>
  <c r="EO23" i="9" s="1"/>
  <c r="EB23" i="9" a="1"/>
  <c r="EB23" i="9" s="1"/>
  <c r="DW23" i="9" a="1"/>
  <c r="DW23" i="9" s="1"/>
  <c r="EK23" i="9" a="1"/>
  <c r="EK23" i="9" s="1"/>
  <c r="EM23" i="9" a="1"/>
  <c r="EM23" i="9" s="1"/>
  <c r="CL23" i="9" a="1"/>
  <c r="CL23" i="9" s="1"/>
  <c r="DQ23" i="9" a="1"/>
  <c r="DQ23" i="9" s="1"/>
  <c r="ED23" i="9" a="1"/>
  <c r="ED23" i="9" s="1"/>
  <c r="FC23" i="9" a="1"/>
  <c r="FC23" i="9" s="1"/>
  <c r="CW23" i="9" a="1"/>
  <c r="CW23" i="9" s="1"/>
  <c r="CS23" i="9" a="1"/>
  <c r="CS23" i="9" s="1"/>
  <c r="EZ23" i="9" a="1"/>
  <c r="EZ23" i="9" s="1"/>
  <c r="DS23" i="9" a="1"/>
  <c r="DS23" i="9" s="1"/>
  <c r="DK23" i="9" a="1"/>
  <c r="DK23" i="9" s="1"/>
  <c r="DB23" i="9" a="1"/>
  <c r="DB23" i="9" s="1"/>
  <c r="DL23" i="9" a="1"/>
  <c r="DL23" i="9" s="1"/>
  <c r="DN23" i="9" a="1"/>
  <c r="DN23" i="9" s="1"/>
  <c r="ER23" i="9" a="1"/>
  <c r="ER23" i="9" s="1"/>
  <c r="DO23" i="9" a="1"/>
  <c r="DO23" i="9" s="1"/>
  <c r="DZ23" i="9" a="1"/>
  <c r="DZ23" i="9" s="1"/>
  <c r="EX23" i="9" a="1"/>
  <c r="EX23" i="9" s="1"/>
  <c r="CZ23" i="9" a="1"/>
  <c r="CZ23" i="9" s="1"/>
  <c r="ET23" i="9" a="1"/>
  <c r="ET23" i="9" s="1"/>
  <c r="FF23" i="9" a="1"/>
  <c r="FF23" i="9" s="1"/>
  <c r="EQ23" i="9" a="1"/>
  <c r="EQ23" i="9" s="1"/>
  <c r="EP23" i="9" a="1"/>
  <c r="EP23" i="9" s="1"/>
  <c r="CM23" i="9" a="1"/>
  <c r="CM23" i="9" s="1"/>
  <c r="FD23" i="9" a="1"/>
  <c r="FD23" i="9" s="1"/>
  <c r="CR21" i="9" a="1"/>
  <c r="CR21" i="9" s="1"/>
  <c r="EM21" i="9" a="1"/>
  <c r="EM21" i="9" s="1"/>
  <c r="DR21" i="9" a="1"/>
  <c r="DR21" i="9" s="1"/>
  <c r="DY23" i="9" a="1"/>
  <c r="DY23" i="9" s="1"/>
  <c r="EA23" i="9" a="1"/>
  <c r="EA23" i="9" s="1"/>
  <c r="EF23" i="9" a="1"/>
  <c r="EF23" i="9" s="1"/>
  <c r="DA23" i="9" a="1"/>
  <c r="DA23" i="9" s="1"/>
  <c r="DB21" i="9" a="1"/>
  <c r="DB21" i="9" s="1"/>
  <c r="EO21" i="9" a="1"/>
  <c r="EO21" i="9" s="1"/>
  <c r="CN21" i="9" a="1"/>
  <c r="CN21" i="9" s="1"/>
  <c r="FD21" i="9" a="1"/>
  <c r="FD21" i="9" s="1"/>
  <c r="DK21" i="9" a="1"/>
  <c r="DK21" i="9" s="1"/>
  <c r="FC21" i="9" a="1"/>
  <c r="FC21" i="9" s="1"/>
  <c r="DY21" i="9" a="1"/>
  <c r="DY21" i="9" s="1"/>
  <c r="DO21" i="9" a="1"/>
  <c r="DO21" i="9" s="1"/>
  <c r="EE21" i="9" a="1"/>
  <c r="EE21" i="9" s="1"/>
  <c r="ET21" i="9" a="1"/>
  <c r="ET21" i="9" s="1"/>
  <c r="DD21" i="9" a="1"/>
  <c r="DD21" i="9" s="1"/>
  <c r="EV21" i="9" a="1"/>
  <c r="EV21" i="9" s="1"/>
  <c r="ES21" i="9" a="1"/>
  <c r="ES21" i="9" s="1"/>
  <c r="CS21" i="9" a="1"/>
  <c r="CS21" i="9" s="1"/>
  <c r="CH21" i="9"/>
  <c r="CK21" i="9" a="1"/>
  <c r="CK21" i="9" s="1"/>
  <c r="EQ21" i="9" a="1"/>
  <c r="EQ21" i="9" s="1"/>
  <c r="CI21" i="9" a="1"/>
  <c r="CI21" i="9" s="1"/>
  <c r="DS21" i="9" a="1"/>
  <c r="DS21" i="9" s="1"/>
  <c r="DC21" i="9" a="1"/>
  <c r="DC21" i="9" s="1"/>
  <c r="CX21" i="9" a="1"/>
  <c r="CX21" i="9" s="1"/>
  <c r="EZ21" i="9" a="1"/>
  <c r="EZ21" i="9" s="1"/>
  <c r="ED21" i="9" a="1"/>
  <c r="ED21" i="9" s="1"/>
  <c r="DW21" i="9" a="1"/>
  <c r="DW21" i="9" s="1"/>
  <c r="DT21" i="9" a="1"/>
  <c r="DT21" i="9" s="1"/>
  <c r="DA21" i="9" a="1"/>
  <c r="DA21" i="9" s="1"/>
  <c r="CU21" i="9" a="1"/>
  <c r="CU21" i="9" s="1"/>
  <c r="DU21" i="9" a="1"/>
  <c r="DU21" i="9" s="1"/>
  <c r="FH20" i="9"/>
  <c r="FJ20" i="9" s="1"/>
  <c r="FH26" i="9"/>
  <c r="FJ26" i="9" s="1"/>
  <c r="CM21" i="9" a="1"/>
  <c r="CM21" i="9" s="1"/>
  <c r="DX21" i="9" a="1"/>
  <c r="DX21" i="9" s="1"/>
  <c r="EW21" i="9" a="1"/>
  <c r="EW21" i="9" s="1"/>
  <c r="DI21" i="9" a="1"/>
  <c r="DI21" i="9" s="1"/>
  <c r="EW14" i="9" a="1"/>
  <c r="EW14" i="9" s="1"/>
  <c r="CV16" i="9" a="1"/>
  <c r="CV16" i="9" s="1"/>
  <c r="EU6" i="9" a="1"/>
  <c r="EU6" i="9" s="1"/>
  <c r="DR9" i="9" a="1"/>
  <c r="DR9" i="9" s="1"/>
  <c r="CS15" i="9" a="1"/>
  <c r="CS15" i="9" s="1"/>
  <c r="CV22" i="9" a="1"/>
  <c r="CV22" i="9" s="1"/>
  <c r="DH7" i="9" a="1"/>
  <c r="DH7" i="9" s="1"/>
  <c r="DB17" i="9" a="1"/>
  <c r="DB17" i="9" s="1"/>
  <c r="DQ18" i="9" a="1"/>
  <c r="DQ18" i="9" s="1"/>
  <c r="ES19" i="9" a="1"/>
  <c r="ES19" i="9" s="1"/>
  <c r="DI8" i="9" a="1"/>
  <c r="DI8" i="9" s="1"/>
  <c r="CU10" i="9" a="1"/>
  <c r="CU10" i="9" s="1"/>
  <c r="EQ11" i="9" a="1"/>
  <c r="EQ11" i="9" s="1"/>
  <c r="CQ12" i="9" a="1"/>
  <c r="CQ12" i="9" s="1"/>
  <c r="CK13" i="9" a="1"/>
  <c r="CK13" i="9" s="1"/>
  <c r="EW7" i="9" a="1"/>
  <c r="EW7" i="9" s="1"/>
  <c r="CZ7" i="9" a="1"/>
  <c r="CZ7" i="9" s="1"/>
  <c r="DZ7" i="9" a="1"/>
  <c r="DZ7" i="9" s="1"/>
  <c r="CO7" i="9" a="1"/>
  <c r="CO7" i="9" s="1"/>
  <c r="DD7" i="9" a="1"/>
  <c r="DD7" i="9" s="1"/>
  <c r="DJ7" i="9" a="1"/>
  <c r="DJ7" i="9" s="1"/>
  <c r="EI7" i="9" a="1"/>
  <c r="EI7" i="9" s="1"/>
  <c r="EX7" i="9" a="1"/>
  <c r="EX7" i="9" s="1"/>
  <c r="FC7" i="9" a="1"/>
  <c r="FC7" i="9" s="1"/>
  <c r="EC7" i="9" a="1"/>
  <c r="EC7" i="9" s="1"/>
  <c r="CV7" i="9" a="1"/>
  <c r="CV7" i="9" s="1"/>
  <c r="CT7" i="9" a="1"/>
  <c r="CT7" i="9" s="1"/>
  <c r="EJ7" i="9" a="1"/>
  <c r="EJ7" i="9" s="1"/>
  <c r="CS7" i="9" a="1"/>
  <c r="CS7" i="9" s="1"/>
  <c r="CK7" i="9" a="1"/>
  <c r="CK7" i="9" s="1"/>
  <c r="EY7" i="9" a="1"/>
  <c r="EY7" i="9" s="1"/>
  <c r="DC7" i="9" a="1"/>
  <c r="DC7" i="9" s="1"/>
  <c r="DG7" i="9" a="1"/>
  <c r="DG7" i="9" s="1"/>
  <c r="DQ7" i="9" a="1"/>
  <c r="DQ7" i="9" s="1"/>
  <c r="DN7" i="9" a="1"/>
  <c r="DN7" i="9" s="1"/>
  <c r="FA7" i="9" a="1"/>
  <c r="FA7" i="9" s="1"/>
  <c r="ED7" i="9" a="1"/>
  <c r="ED7" i="9" s="1"/>
  <c r="EE7" i="9" a="1"/>
  <c r="EE7" i="9" s="1"/>
  <c r="DV7" i="9" a="1"/>
  <c r="DV7" i="9" s="1"/>
  <c r="CR7" i="9" a="1"/>
  <c r="CR7" i="9" s="1"/>
  <c r="DX7" i="9" a="1"/>
  <c r="DX7" i="9" s="1"/>
  <c r="CH7" i="9"/>
  <c r="CP7" i="9" a="1"/>
  <c r="CP7" i="9" s="1"/>
  <c r="CX7" i="9" a="1"/>
  <c r="CX7" i="9" s="1"/>
  <c r="CM7" i="9" a="1"/>
  <c r="CM7" i="9" s="1"/>
  <c r="DK7" i="9" a="1"/>
  <c r="DK7" i="9" s="1"/>
  <c r="FG7" i="9" a="1"/>
  <c r="FG7" i="9" s="1"/>
  <c r="FB7" i="9" a="1"/>
  <c r="FB7" i="9" s="1"/>
  <c r="EZ7" i="9" a="1"/>
  <c r="EZ7" i="9" s="1"/>
  <c r="CU7" i="9" a="1"/>
  <c r="CU7" i="9" s="1"/>
  <c r="CQ7" i="9" a="1"/>
  <c r="CQ7" i="9" s="1"/>
  <c r="EL7" i="9" a="1"/>
  <c r="EL7" i="9" s="1"/>
  <c r="EH7" i="9" a="1"/>
  <c r="EH7" i="9" s="1"/>
  <c r="EV7" i="9" a="1"/>
  <c r="EV7" i="9" s="1"/>
  <c r="EK7" i="9" a="1"/>
  <c r="EK7" i="9" s="1"/>
  <c r="EO7" i="9" a="1"/>
  <c r="EO7" i="9" s="1"/>
  <c r="CL7" i="9" a="1"/>
  <c r="CL7" i="9" s="1"/>
  <c r="EP7" i="9" a="1"/>
  <c r="EP7" i="9" s="1"/>
  <c r="CN7" i="9" a="1"/>
  <c r="CN7" i="9" s="1"/>
  <c r="EU7" i="9" a="1"/>
  <c r="EU7" i="9" s="1"/>
  <c r="FE7" i="9" a="1"/>
  <c r="FE7" i="9" s="1"/>
  <c r="ER7" i="9" a="1"/>
  <c r="ER7" i="9" s="1"/>
  <c r="CY7" i="9" a="1"/>
  <c r="CY7" i="9" s="1"/>
  <c r="FD7" i="9" a="1"/>
  <c r="FD7" i="9" s="1"/>
  <c r="DR7" i="9" a="1"/>
  <c r="DR7" i="9" s="1"/>
  <c r="DU7" i="9" a="1"/>
  <c r="DU7" i="9" s="1"/>
  <c r="CI7" i="9" a="1"/>
  <c r="CI7" i="9" s="1"/>
  <c r="DE7" i="9" a="1"/>
  <c r="DE7" i="9" s="1"/>
  <c r="EF7" i="9" a="1"/>
  <c r="EF7" i="9" s="1"/>
  <c r="EG7" i="9" a="1"/>
  <c r="EG7" i="9" s="1"/>
  <c r="DA7" i="9" a="1"/>
  <c r="DA7" i="9" s="1"/>
  <c r="DY7" i="9" a="1"/>
  <c r="DY7" i="9" s="1"/>
  <c r="EM7" i="9" a="1"/>
  <c r="EM7" i="9" s="1"/>
  <c r="DI7" i="9" a="1"/>
  <c r="DI7" i="9" s="1"/>
  <c r="ES7" i="9" a="1"/>
  <c r="ES7" i="9" s="1"/>
  <c r="EQ7" i="9" a="1"/>
  <c r="EQ7" i="9" s="1"/>
  <c r="DL7" i="9" a="1"/>
  <c r="DL7" i="9" s="1"/>
  <c r="FF7" i="9" a="1"/>
  <c r="FF7" i="9" s="1"/>
  <c r="EB7" i="9" a="1"/>
  <c r="EB7" i="9" s="1"/>
  <c r="DM7" i="9" a="1"/>
  <c r="DM7" i="9" s="1"/>
  <c r="EN7" i="9" a="1"/>
  <c r="EN7" i="9" s="1"/>
  <c r="DT7" i="9" a="1"/>
  <c r="DT7" i="9" s="1"/>
  <c r="CJ7" i="9" a="1"/>
  <c r="CJ7" i="9" s="1"/>
  <c r="CW7" i="9" a="1"/>
  <c r="CW7" i="9" s="1"/>
  <c r="DB7" i="9" a="1"/>
  <c r="DB7" i="9" s="1"/>
  <c r="DP7" i="9" a="1"/>
  <c r="DP7" i="9" s="1"/>
  <c r="DF7" i="9" a="1"/>
  <c r="DF7" i="9" s="1"/>
  <c r="DS7" i="9" a="1"/>
  <c r="DS7" i="9" s="1"/>
  <c r="DW7" i="9" a="1"/>
  <c r="DW7" i="9" s="1"/>
  <c r="DO7" i="9" a="1"/>
  <c r="DO7" i="9" s="1"/>
  <c r="EA7" i="9" a="1"/>
  <c r="EA7" i="9" s="1"/>
  <c r="ET7" i="9" a="1"/>
  <c r="ET7" i="9" s="1"/>
  <c r="CQ6" i="9" a="1"/>
  <c r="CQ6" i="9" s="1"/>
  <c r="DQ15" i="9" a="1"/>
  <c r="DQ15" i="9" s="1"/>
  <c r="DZ15" i="9" a="1"/>
  <c r="DZ15" i="9" s="1"/>
  <c r="DR15" i="9" a="1"/>
  <c r="DR15" i="9" s="1"/>
  <c r="DE15" i="9" a="1"/>
  <c r="DE15" i="9" s="1"/>
  <c r="EP15" i="9" a="1"/>
  <c r="EP15" i="9" s="1"/>
  <c r="CZ15" i="9" a="1"/>
  <c r="CZ15" i="9" s="1"/>
  <c r="FD15" i="9" a="1"/>
  <c r="FD15" i="9" s="1"/>
  <c r="DM15" i="9" a="1"/>
  <c r="DM15" i="9" s="1"/>
  <c r="EQ6" i="9" a="1"/>
  <c r="EQ6" i="9" s="1"/>
  <c r="EB15" i="9" a="1"/>
  <c r="EB15" i="9" s="1"/>
  <c r="DN15" i="9" a="1"/>
  <c r="DN15" i="9" s="1"/>
  <c r="EU15" i="9" a="1"/>
  <c r="EU15" i="9" s="1"/>
  <c r="CU15" i="9" a="1"/>
  <c r="CU15" i="9" s="1"/>
  <c r="CX15" i="9" a="1"/>
  <c r="CX15" i="9" s="1"/>
  <c r="DI15" i="9" a="1"/>
  <c r="DI15" i="9" s="1"/>
  <c r="CV15" i="9" a="1"/>
  <c r="CV15" i="9" s="1"/>
  <c r="CO15" i="9" a="1"/>
  <c r="CO15" i="9" s="1"/>
  <c r="FF15" i="9" a="1"/>
  <c r="FF15" i="9" s="1"/>
  <c r="FG15" i="9" a="1"/>
  <c r="FG15" i="9" s="1"/>
  <c r="ED15" i="9" a="1"/>
  <c r="ED15" i="9" s="1"/>
  <c r="DM9" i="9" a="1"/>
  <c r="DM9" i="9" s="1"/>
  <c r="EC9" i="9" a="1"/>
  <c r="EC9" i="9" s="1"/>
  <c r="EW15" i="9" a="1"/>
  <c r="EW15" i="9" s="1"/>
  <c r="ER15" i="9" a="1"/>
  <c r="ER15" i="9" s="1"/>
  <c r="CR15" i="9" a="1"/>
  <c r="CR15" i="9" s="1"/>
  <c r="DV15" i="9" a="1"/>
  <c r="DV15" i="9" s="1"/>
  <c r="DL6" i="9" a="1"/>
  <c r="DL6" i="9" s="1"/>
  <c r="EZ9" i="9" a="1"/>
  <c r="EZ9" i="9" s="1"/>
  <c r="CN15" i="9" a="1"/>
  <c r="CN15" i="9" s="1"/>
  <c r="CJ15" i="9" a="1"/>
  <c r="CJ15" i="9" s="1"/>
  <c r="DR6" i="9" a="1"/>
  <c r="DR6" i="9" s="1"/>
  <c r="FC6" i="9" a="1"/>
  <c r="FC6" i="9" s="1"/>
  <c r="EH6" i="9" a="1"/>
  <c r="EH6" i="9" s="1"/>
  <c r="ER6" i="9" a="1"/>
  <c r="ER6" i="9" s="1"/>
  <c r="FD6" i="9" a="1"/>
  <c r="FD6" i="9" s="1"/>
  <c r="EN6" i="9" a="1"/>
  <c r="EN6" i="9" s="1"/>
  <c r="EA15" i="9" a="1"/>
  <c r="EA15" i="9" s="1"/>
  <c r="DP15" i="9" a="1"/>
  <c r="DP15" i="9" s="1"/>
  <c r="CW15" i="9" a="1"/>
  <c r="CW15" i="9" s="1"/>
  <c r="FE15" i="9" a="1"/>
  <c r="FE15" i="9" s="1"/>
  <c r="EQ15" i="9" a="1"/>
  <c r="EQ15" i="9" s="1"/>
  <c r="EW6" i="9" a="1"/>
  <c r="EW6" i="9" s="1"/>
  <c r="EE15" i="9" a="1"/>
  <c r="EE15" i="9" s="1"/>
  <c r="DK15" i="9" a="1"/>
  <c r="DK15" i="9" s="1"/>
  <c r="FE6" i="9" a="1"/>
  <c r="FE6" i="9" s="1"/>
  <c r="CT6" i="9" a="1"/>
  <c r="CT6" i="9" s="1"/>
  <c r="FA9" i="9" a="1"/>
  <c r="FA9" i="9" s="1"/>
  <c r="CR13" i="9" a="1"/>
  <c r="CR13" i="9" s="1"/>
  <c r="EW9" i="9" a="1"/>
  <c r="EW9" i="9" s="1"/>
  <c r="EH9" i="9" a="1"/>
  <c r="EH9" i="9" s="1"/>
  <c r="FA6" i="9" a="1"/>
  <c r="FA6" i="9" s="1"/>
  <c r="DN9" i="9" a="1"/>
  <c r="DN9" i="9" s="1"/>
  <c r="FC15" i="9" a="1"/>
  <c r="FC15" i="9" s="1"/>
  <c r="EG15" i="9" a="1"/>
  <c r="EG15" i="9" s="1"/>
  <c r="CP15" i="9" a="1"/>
  <c r="CP15" i="9" s="1"/>
  <c r="CK15" i="9" a="1"/>
  <c r="CK15" i="9" s="1"/>
  <c r="DD15" i="9" a="1"/>
  <c r="DD15" i="9" s="1"/>
  <c r="ES15" i="9" a="1"/>
  <c r="ES15" i="9" s="1"/>
  <c r="EC15" i="9" a="1"/>
  <c r="EC15" i="9" s="1"/>
  <c r="CY15" i="9" a="1"/>
  <c r="CY15" i="9" s="1"/>
  <c r="EV15" i="9" a="1"/>
  <c r="EV15" i="9" s="1"/>
  <c r="CI15" i="9" a="1"/>
  <c r="CI15" i="9" s="1"/>
  <c r="EL15" i="9" a="1"/>
  <c r="EL15" i="9" s="1"/>
  <c r="CU9" i="9" a="1"/>
  <c r="CU9" i="9" s="1"/>
  <c r="CZ9" i="9" a="1"/>
  <c r="CZ9" i="9" s="1"/>
  <c r="EK6" i="9" a="1"/>
  <c r="EK6" i="9" s="1"/>
  <c r="CM15" i="9" a="1"/>
  <c r="CM15" i="9" s="1"/>
  <c r="EK15" i="9" a="1"/>
  <c r="EK15" i="9" s="1"/>
  <c r="FB15" i="9" a="1"/>
  <c r="FB15" i="9" s="1"/>
  <c r="EK9" i="9" a="1"/>
  <c r="EK9" i="9" s="1"/>
  <c r="DL9" i="9" a="1"/>
  <c r="DL9" i="9" s="1"/>
  <c r="DB9" i="9" a="1"/>
  <c r="DB9" i="9" s="1"/>
  <c r="V21" i="26"/>
  <c r="DK6" i="9" a="1"/>
  <c r="DK6" i="9" s="1"/>
  <c r="EC10" i="9" a="1"/>
  <c r="EC10" i="9" s="1"/>
  <c r="DD10" i="9" a="1"/>
  <c r="DD10" i="9" s="1"/>
  <c r="EQ10" i="9" a="1"/>
  <c r="EQ10" i="9" s="1"/>
  <c r="DN10" i="9" a="1"/>
  <c r="DN10" i="9" s="1"/>
  <c r="FG10" i="9" a="1"/>
  <c r="FG10" i="9" s="1"/>
  <c r="CJ10" i="9" a="1"/>
  <c r="CJ10" i="9" s="1"/>
  <c r="DM6" i="9" a="1"/>
  <c r="DM6" i="9" s="1"/>
  <c r="EU9" i="9" a="1"/>
  <c r="EU9" i="9" s="1"/>
  <c r="EA9" i="9" a="1"/>
  <c r="EA9" i="9" s="1"/>
  <c r="FB9" i="9" a="1"/>
  <c r="FB9" i="9" s="1"/>
  <c r="EG9" i="9" a="1"/>
  <c r="EG9" i="9" s="1"/>
  <c r="EV9" i="9" a="1"/>
  <c r="EV9" i="9" s="1"/>
  <c r="ER9" i="9" a="1"/>
  <c r="ER9" i="9" s="1"/>
  <c r="EY9" i="9" a="1"/>
  <c r="EY9" i="9" s="1"/>
  <c r="DG9" i="9" a="1"/>
  <c r="DG9" i="9" s="1"/>
  <c r="DY9" i="9" a="1"/>
  <c r="DY9" i="9" s="1"/>
  <c r="DU9" i="9" a="1"/>
  <c r="DU9" i="9" s="1"/>
  <c r="EB9" i="9" a="1"/>
  <c r="EB9" i="9" s="1"/>
  <c r="CI11" i="9" a="1"/>
  <c r="CI11" i="9" s="1"/>
  <c r="DO9" i="9" a="1"/>
  <c r="DO9" i="9" s="1"/>
  <c r="DC9" i="9" a="1"/>
  <c r="DC9" i="9" s="1"/>
  <c r="FG9" i="9" a="1"/>
  <c r="FG9" i="9" s="1"/>
  <c r="CV9" i="9" a="1"/>
  <c r="CV9" i="9" s="1"/>
  <c r="EL6" i="9" a="1"/>
  <c r="EL6" i="9" s="1"/>
  <c r="DQ6" i="9" a="1"/>
  <c r="DQ6" i="9" s="1"/>
  <c r="ET13" i="9" a="1"/>
  <c r="ET13" i="9" s="1"/>
  <c r="ED6" i="9" a="1"/>
  <c r="ED6" i="9" s="1"/>
  <c r="DW6" i="9" a="1"/>
  <c r="DW6" i="9" s="1"/>
  <c r="DE9" i="9" a="1"/>
  <c r="DE9" i="9" s="1"/>
  <c r="EQ13" i="9" a="1"/>
  <c r="EQ13" i="9" s="1"/>
  <c r="EN15" i="9" a="1"/>
  <c r="EN15" i="9" s="1"/>
  <c r="DW15" i="9" a="1"/>
  <c r="DW15" i="9" s="1"/>
  <c r="DH15" i="9" a="1"/>
  <c r="DH15" i="9" s="1"/>
  <c r="CV6" i="9" a="1"/>
  <c r="CV6" i="9" s="1"/>
  <c r="DS6" i="9" a="1"/>
  <c r="DS6" i="9" s="1"/>
  <c r="EZ6" i="9" a="1"/>
  <c r="EZ6" i="9" s="1"/>
  <c r="CH6" i="9"/>
  <c r="DT13" i="9" a="1"/>
  <c r="DT13" i="9" s="1"/>
  <c r="CS6" i="9" a="1"/>
  <c r="CS6" i="9" s="1"/>
  <c r="FA15" i="9" a="1"/>
  <c r="FA15" i="9" s="1"/>
  <c r="ET15" i="9" a="1"/>
  <c r="ET15" i="9" s="1"/>
  <c r="EZ15" i="9" a="1"/>
  <c r="EZ15" i="9" s="1"/>
  <c r="EY10" i="9" a="1"/>
  <c r="EY10" i="9" s="1"/>
  <c r="DE6" i="9" a="1"/>
  <c r="DE6" i="9" s="1"/>
  <c r="CZ6" i="9" a="1"/>
  <c r="CZ6" i="9" s="1"/>
  <c r="DM10" i="9" a="1"/>
  <c r="DM10" i="9" s="1"/>
  <c r="CN6" i="9" a="1"/>
  <c r="CN6" i="9" s="1"/>
  <c r="DA6" i="9" a="1"/>
  <c r="DA6" i="9" s="1"/>
  <c r="CY10" i="9" a="1"/>
  <c r="CY10" i="9" s="1"/>
  <c r="DJ15" i="9" a="1"/>
  <c r="DJ15" i="9" s="1"/>
  <c r="DA15" i="9" a="1"/>
  <c r="DA15" i="9" s="1"/>
  <c r="DG15" i="9" a="1"/>
  <c r="DG15" i="9" s="1"/>
  <c r="EF15" i="9" a="1"/>
  <c r="EF15" i="9" s="1"/>
  <c r="DX10" i="9" a="1"/>
  <c r="DX10" i="9" s="1"/>
  <c r="DW13" i="9" a="1"/>
  <c r="DW13" i="9" s="1"/>
  <c r="EH15" i="9" a="1"/>
  <c r="EH15" i="9" s="1"/>
  <c r="DO15" i="9" a="1"/>
  <c r="DO15" i="9" s="1"/>
  <c r="DT15" i="9" a="1"/>
  <c r="DT15" i="9" s="1"/>
  <c r="EI15" i="9" a="1"/>
  <c r="EI15" i="9" s="1"/>
  <c r="DT10" i="9" a="1"/>
  <c r="DT10" i="9" s="1"/>
  <c r="DF13" i="9" a="1"/>
  <c r="DF13" i="9" s="1"/>
  <c r="EJ15" i="9" a="1"/>
  <c r="EJ15" i="9" s="1"/>
  <c r="EO15" i="9" a="1"/>
  <c r="EO15" i="9" s="1"/>
  <c r="CL15" i="9" a="1"/>
  <c r="CL15" i="9" s="1"/>
  <c r="DX15" i="9" a="1"/>
  <c r="DX15" i="9" s="1"/>
  <c r="EA10" i="9" a="1"/>
  <c r="EA10" i="9" s="1"/>
  <c r="DP13" i="9" a="1"/>
  <c r="DP13" i="9" s="1"/>
  <c r="DY15" i="9" a="1"/>
  <c r="DY15" i="9" s="1"/>
  <c r="EY15" i="9" a="1"/>
  <c r="EY15" i="9" s="1"/>
  <c r="EM15" i="9" a="1"/>
  <c r="EM15" i="9" s="1"/>
  <c r="DL15" i="9" a="1"/>
  <c r="DL15" i="9" s="1"/>
  <c r="CW6" i="9" a="1"/>
  <c r="CW6" i="9" s="1"/>
  <c r="DF6" i="9" a="1"/>
  <c r="DF6" i="9" s="1"/>
  <c r="DH6" i="9" a="1"/>
  <c r="DH6" i="9" s="1"/>
  <c r="CO6" i="9" a="1"/>
  <c r="CO6" i="9" s="1"/>
  <c r="DY13" i="9" a="1"/>
  <c r="DY13" i="9" s="1"/>
  <c r="CK10" i="9" a="1"/>
  <c r="CK10" i="9" s="1"/>
  <c r="DV13" i="9" a="1"/>
  <c r="DV13" i="9" s="1"/>
  <c r="CH10" i="9"/>
  <c r="DC13" i="9" a="1"/>
  <c r="DC13" i="9" s="1"/>
  <c r="EN10" i="9" a="1"/>
  <c r="EN10" i="9" s="1"/>
  <c r="CQ9" i="9" a="1"/>
  <c r="CQ9" i="9" s="1"/>
  <c r="EI9" i="9" a="1"/>
  <c r="EI9" i="9" s="1"/>
  <c r="DR10" i="9" a="1"/>
  <c r="DR10" i="9" s="1"/>
  <c r="CI9" i="9" a="1"/>
  <c r="CI9" i="9" s="1"/>
  <c r="DZ9" i="9" a="1"/>
  <c r="DZ9" i="9" s="1"/>
  <c r="ES10" i="9" a="1"/>
  <c r="ES10" i="9" s="1"/>
  <c r="ET9" i="9" a="1"/>
  <c r="ET9" i="9" s="1"/>
  <c r="DV9" i="9" a="1"/>
  <c r="DV9" i="9" s="1"/>
  <c r="DZ10" i="9" a="1"/>
  <c r="DZ10" i="9" s="1"/>
  <c r="CV10" i="9" a="1"/>
  <c r="CV10" i="9" s="1"/>
  <c r="CP12" i="9" a="1"/>
  <c r="CP12" i="9" s="1"/>
  <c r="EN12" i="9" a="1"/>
  <c r="EN12" i="9" s="1"/>
  <c r="EZ10" i="9" a="1"/>
  <c r="EZ10" i="9" s="1"/>
  <c r="CH11" i="9"/>
  <c r="EW12" i="9" a="1"/>
  <c r="EW12" i="9" s="1"/>
  <c r="EP13" i="9" a="1"/>
  <c r="EP13" i="9" s="1"/>
  <c r="DO10" i="9" a="1"/>
  <c r="DO10" i="9" s="1"/>
  <c r="DZ12" i="9" a="1"/>
  <c r="DZ12" i="9" s="1"/>
  <c r="ES13" i="9" a="1"/>
  <c r="ES13" i="9" s="1"/>
  <c r="DF10" i="9" a="1"/>
  <c r="DF10" i="9" s="1"/>
  <c r="EE11" i="9" a="1"/>
  <c r="EE11" i="9" s="1"/>
  <c r="FG13" i="9" a="1"/>
  <c r="FG13" i="9" s="1"/>
  <c r="ET11" i="9" a="1"/>
  <c r="ET11" i="9" s="1"/>
  <c r="CL11" i="9" a="1"/>
  <c r="CL11" i="9" s="1"/>
  <c r="DP11" i="9" a="1"/>
  <c r="DP11" i="9" s="1"/>
  <c r="DL11" i="9" a="1"/>
  <c r="DL11" i="9" s="1"/>
  <c r="EE12" i="9" a="1"/>
  <c r="EE12" i="9" s="1"/>
  <c r="V17" i="26"/>
  <c r="CS11" i="9" a="1"/>
  <c r="CS11" i="9" s="1"/>
  <c r="EG12" i="9" a="1"/>
  <c r="EG12" i="9" s="1"/>
  <c r="DO11" i="9" a="1"/>
  <c r="DO11" i="9" s="1"/>
  <c r="DF11" i="9" a="1"/>
  <c r="DF11" i="9" s="1"/>
  <c r="EA11" i="9" a="1"/>
  <c r="EA11" i="9" s="1"/>
  <c r="CW10" i="9" a="1"/>
  <c r="CW10" i="9" s="1"/>
  <c r="CI10" i="9" a="1"/>
  <c r="CI10" i="9" s="1"/>
  <c r="CY11" i="9" a="1"/>
  <c r="CY11" i="9" s="1"/>
  <c r="FB13" i="9" a="1"/>
  <c r="FB13" i="9" s="1"/>
  <c r="DJ10" i="9" a="1"/>
  <c r="DJ10" i="9" s="1"/>
  <c r="ET10" i="9" a="1"/>
  <c r="ET10" i="9" s="1"/>
  <c r="CO11" i="9" a="1"/>
  <c r="CO11" i="9" s="1"/>
  <c r="EE13" i="9" a="1"/>
  <c r="EE13" i="9" s="1"/>
  <c r="CW13" i="9" a="1"/>
  <c r="CW13" i="9" s="1"/>
  <c r="DY11" i="9" a="1"/>
  <c r="DY11" i="9" s="1"/>
  <c r="EO11" i="9" a="1"/>
  <c r="EO11" i="9" s="1"/>
  <c r="CX10" i="9" a="1"/>
  <c r="CX10" i="9" s="1"/>
  <c r="CT10" i="9" a="1"/>
  <c r="CT10" i="9" s="1"/>
  <c r="EG11" i="9" a="1"/>
  <c r="EG11" i="9" s="1"/>
  <c r="CI13" i="9" a="1"/>
  <c r="CI13" i="9" s="1"/>
  <c r="EA13" i="9" a="1"/>
  <c r="EA13" i="9" s="1"/>
  <c r="DJ12" i="9" a="1"/>
  <c r="DJ12" i="9" s="1"/>
  <c r="DI12" i="9" a="1"/>
  <c r="DI12" i="9" s="1"/>
  <c r="CL12" i="9" a="1"/>
  <c r="CL12" i="9" s="1"/>
  <c r="DA12" i="9" a="1"/>
  <c r="DA12" i="9" s="1"/>
  <c r="DT12" i="9" a="1"/>
  <c r="DT12" i="9" s="1"/>
  <c r="DP12" i="9" a="1"/>
  <c r="DP12" i="9" s="1"/>
  <c r="EC6" i="9" a="1"/>
  <c r="EC6" i="9" s="1"/>
  <c r="CR6" i="9" a="1"/>
  <c r="CR6" i="9" s="1"/>
  <c r="FA12" i="9" a="1"/>
  <c r="FA12" i="9" s="1"/>
  <c r="DG13" i="9" a="1"/>
  <c r="DG13" i="9" s="1"/>
  <c r="CU13" i="9" a="1"/>
  <c r="CU13" i="9" s="1"/>
  <c r="CY9" i="9" a="1"/>
  <c r="CY9" i="9" s="1"/>
  <c r="EQ9" i="9" a="1"/>
  <c r="EQ9" i="9" s="1"/>
  <c r="EO9" i="9" a="1"/>
  <c r="EO9" i="9" s="1"/>
  <c r="EJ6" i="9" a="1"/>
  <c r="EJ6" i="9" s="1"/>
  <c r="CL6" i="9" a="1"/>
  <c r="CL6" i="9" s="1"/>
  <c r="FF6" i="9" a="1"/>
  <c r="FF6" i="9" s="1"/>
  <c r="EY12" i="9" a="1"/>
  <c r="EY12" i="9" s="1"/>
  <c r="EJ9" i="9" a="1"/>
  <c r="EJ9" i="9" s="1"/>
  <c r="DK9" i="9" a="1"/>
  <c r="DK9" i="9" s="1"/>
  <c r="DP9" i="9" a="1"/>
  <c r="DP9" i="9" s="1"/>
  <c r="DS9" i="9" a="1"/>
  <c r="DS9" i="9" s="1"/>
  <c r="DO13" i="9" a="1"/>
  <c r="DO13" i="9" s="1"/>
  <c r="CS13" i="9" a="1"/>
  <c r="CS13" i="9" s="1"/>
  <c r="DS15" i="9" a="1"/>
  <c r="DS15" i="9" s="1"/>
  <c r="DF15" i="9" a="1"/>
  <c r="DF15" i="9" s="1"/>
  <c r="CT15" i="9" a="1"/>
  <c r="CT15" i="9" s="1"/>
  <c r="DC15" i="9" a="1"/>
  <c r="DC15" i="9" s="1"/>
  <c r="DU15" i="9" a="1"/>
  <c r="DU15" i="9" s="1"/>
  <c r="FE9" i="9" a="1"/>
  <c r="FE9" i="9" s="1"/>
  <c r="DA9" i="9" a="1"/>
  <c r="DA9" i="9" s="1"/>
  <c r="CW9" i="9" a="1"/>
  <c r="CW9" i="9" s="1"/>
  <c r="ES9" i="9" a="1"/>
  <c r="ES9" i="9" s="1"/>
  <c r="DW14" i="9" a="1"/>
  <c r="DW14" i="9" s="1"/>
  <c r="CZ14" i="9" a="1"/>
  <c r="CZ14" i="9" s="1"/>
  <c r="CX9" i="9" a="1"/>
  <c r="CX9" i="9" s="1"/>
  <c r="CK9" i="9" a="1"/>
  <c r="CK9" i="9" s="1"/>
  <c r="DH9" i="9" a="1"/>
  <c r="DH9" i="9" s="1"/>
  <c r="DQ9" i="9" a="1"/>
  <c r="DQ9" i="9" s="1"/>
  <c r="DQ14" i="9" a="1"/>
  <c r="DQ14" i="9" s="1"/>
  <c r="EM14" i="9" a="1"/>
  <c r="EM14" i="9" s="1"/>
  <c r="CO9" i="9" a="1"/>
  <c r="CO9" i="9" s="1"/>
  <c r="DW9" i="9" a="1"/>
  <c r="DW9" i="9" s="1"/>
  <c r="FC9" i="9" a="1"/>
  <c r="FC9" i="9" s="1"/>
  <c r="DF9" i="9" a="1"/>
  <c r="DF9" i="9" s="1"/>
  <c r="DO14" i="9" a="1"/>
  <c r="DO14" i="9" s="1"/>
  <c r="DK14" i="9" a="1"/>
  <c r="DK14" i="9" s="1"/>
  <c r="EM9" i="9" a="1"/>
  <c r="EM9" i="9" s="1"/>
  <c r="CH9" i="9"/>
  <c r="CP9" i="9" a="1"/>
  <c r="CP9" i="9" s="1"/>
  <c r="CR9" i="9" a="1"/>
  <c r="CR9" i="9" s="1"/>
  <c r="CS9" i="9" a="1"/>
  <c r="CS9" i="9" s="1"/>
  <c r="EF9" i="9" a="1"/>
  <c r="EF9" i="9" s="1"/>
  <c r="DD9" i="9" a="1"/>
  <c r="DD9" i="9" s="1"/>
  <c r="EQ12" i="9" a="1"/>
  <c r="EQ12" i="9" s="1"/>
  <c r="FG12" i="9" a="1"/>
  <c r="FG12" i="9" s="1"/>
  <c r="DA13" i="9" a="1"/>
  <c r="DA13" i="9" s="1"/>
  <c r="DX12" i="9" a="1"/>
  <c r="DX12" i="9" s="1"/>
  <c r="CL9" i="9" a="1"/>
  <c r="CL9" i="9" s="1"/>
  <c r="DJ9" i="9" a="1"/>
  <c r="DJ9" i="9" s="1"/>
  <c r="CT9" i="9" a="1"/>
  <c r="CT9" i="9" s="1"/>
  <c r="DI9" i="9" a="1"/>
  <c r="DI9" i="9" s="1"/>
  <c r="EF13" i="9" a="1"/>
  <c r="EF13" i="9" s="1"/>
  <c r="DN13" i="9" a="1"/>
  <c r="DN13" i="9" s="1"/>
  <c r="DY12" i="9" a="1"/>
  <c r="DY12" i="9" s="1"/>
  <c r="EB13" i="9" a="1"/>
  <c r="EB13" i="9" s="1"/>
  <c r="DF14" i="9" a="1"/>
  <c r="DF14" i="9" s="1"/>
  <c r="CQ15" i="9" a="1"/>
  <c r="CQ15" i="9" s="1"/>
  <c r="CH15" i="9"/>
  <c r="DB15" i="9" a="1"/>
  <c r="DB15" i="9" s="1"/>
  <c r="EX15" i="9" a="1"/>
  <c r="EX15" i="9" s="1"/>
  <c r="DV6" i="9" a="1"/>
  <c r="DV6" i="9" s="1"/>
  <c r="DZ6" i="9" a="1"/>
  <c r="DZ6" i="9" s="1"/>
  <c r="DN6" i="9" a="1"/>
  <c r="DN6" i="9" s="1"/>
  <c r="DS12" i="9" a="1"/>
  <c r="DS12" i="9" s="1"/>
  <c r="EL9" i="9" a="1"/>
  <c r="EL9" i="9" s="1"/>
  <c r="EE9" i="9" a="1"/>
  <c r="EE9" i="9" s="1"/>
  <c r="FD9" i="9" a="1"/>
  <c r="FD9" i="9" s="1"/>
  <c r="CJ9" i="9" a="1"/>
  <c r="CJ9" i="9" s="1"/>
  <c r="EN9" i="9" a="1"/>
  <c r="EN9" i="9" s="1"/>
  <c r="CP13" i="9" a="1"/>
  <c r="CP13" i="9" s="1"/>
  <c r="FC13" i="9" a="1"/>
  <c r="FC13" i="9" s="1"/>
  <c r="DE10" i="9" a="1"/>
  <c r="DE10" i="9" s="1"/>
  <c r="EU10" i="9" a="1"/>
  <c r="EU10" i="9" s="1"/>
  <c r="DO6" i="9" a="1"/>
  <c r="DO6" i="9" s="1"/>
  <c r="CX6" i="9" a="1"/>
  <c r="CX6" i="9" s="1"/>
  <c r="CJ6" i="9" a="1"/>
  <c r="CJ6" i="9" s="1"/>
  <c r="CX12" i="9" a="1"/>
  <c r="CX12" i="9" s="1"/>
  <c r="CM9" i="9" a="1"/>
  <c r="CM9" i="9" s="1"/>
  <c r="DT9" i="9" a="1"/>
  <c r="DT9" i="9" s="1"/>
  <c r="CN9" i="9" a="1"/>
  <c r="CN9" i="9" s="1"/>
  <c r="EX9" i="9" a="1"/>
  <c r="EX9" i="9" s="1"/>
  <c r="ED9" i="9" a="1"/>
  <c r="ED9" i="9" s="1"/>
  <c r="CT13" i="9" a="1"/>
  <c r="CT13" i="9" s="1"/>
  <c r="DK13" i="9" a="1"/>
  <c r="DK13" i="9" s="1"/>
  <c r="DW10" i="9" a="1"/>
  <c r="DW10" i="9" s="1"/>
  <c r="FA10" i="9" a="1"/>
  <c r="FA10" i="9" s="1"/>
  <c r="EE6" i="9" a="1"/>
  <c r="EE6" i="9" s="1"/>
  <c r="DP6" i="9" a="1"/>
  <c r="DP6" i="9" s="1"/>
  <c r="FB12" i="9" a="1"/>
  <c r="FB12" i="9" s="1"/>
  <c r="EP9" i="9" a="1"/>
  <c r="EP9" i="9" s="1"/>
  <c r="DX9" i="9" a="1"/>
  <c r="DX9" i="9" s="1"/>
  <c r="FF9" i="9" a="1"/>
  <c r="FF9" i="9" s="1"/>
  <c r="EW13" i="9" a="1"/>
  <c r="EW13" i="9" s="1"/>
  <c r="DH13" i="9" a="1"/>
  <c r="DH13" i="9" s="1"/>
  <c r="FC12" i="9" a="1"/>
  <c r="FC12" i="9" s="1"/>
  <c r="CZ13" i="9" a="1"/>
  <c r="CZ13" i="9" s="1"/>
  <c r="EO13" i="9" a="1"/>
  <c r="EO13" i="9" s="1"/>
  <c r="CX13" i="9" a="1"/>
  <c r="CX13" i="9" s="1"/>
  <c r="DI13" i="9" a="1"/>
  <c r="DI13" i="9" s="1"/>
  <c r="DM13" i="9" a="1"/>
  <c r="DM13" i="9" s="1"/>
  <c r="CQ13" i="9" a="1"/>
  <c r="CQ13" i="9" s="1"/>
  <c r="EH10" i="9" a="1"/>
  <c r="EH10" i="9" s="1"/>
  <c r="CO10" i="9" a="1"/>
  <c r="CO10" i="9" s="1"/>
  <c r="DS11" i="9" a="1"/>
  <c r="DS11" i="9" s="1"/>
  <c r="DR12" i="9" a="1"/>
  <c r="DR12" i="9" s="1"/>
  <c r="EK12" i="9" a="1"/>
  <c r="EK12" i="9" s="1"/>
  <c r="EI13" i="9" a="1"/>
  <c r="EI13" i="9" s="1"/>
  <c r="ER13" i="9" a="1"/>
  <c r="ER13" i="9" s="1"/>
  <c r="DS14" i="9" a="1"/>
  <c r="DS14" i="9" s="1"/>
  <c r="EJ11" i="9" a="1"/>
  <c r="EJ11" i="9" s="1"/>
  <c r="EZ12" i="9" a="1"/>
  <c r="EZ12" i="9" s="1"/>
  <c r="CH12" i="9"/>
  <c r="EC13" i="9" a="1"/>
  <c r="EC13" i="9" s="1"/>
  <c r="DL13" i="9" a="1"/>
  <c r="DL13" i="9" s="1"/>
  <c r="EE14" i="9" a="1"/>
  <c r="EE14" i="9" s="1"/>
  <c r="EI10" i="9" a="1"/>
  <c r="EI10" i="9" s="1"/>
  <c r="DG10" i="9" a="1"/>
  <c r="DG10" i="9" s="1"/>
  <c r="FE11" i="9" a="1"/>
  <c r="FE11" i="9" s="1"/>
  <c r="EP12" i="9" a="1"/>
  <c r="EP12" i="9" s="1"/>
  <c r="EX12" i="9" a="1"/>
  <c r="EX12" i="9" s="1"/>
  <c r="EV13" i="9" a="1"/>
  <c r="EV13" i="9" s="1"/>
  <c r="CL13" i="9" a="1"/>
  <c r="CL13" i="9" s="1"/>
  <c r="DY14" i="9" a="1"/>
  <c r="DY14" i="9" s="1"/>
  <c r="DH10" i="9" a="1"/>
  <c r="DH10" i="9" s="1"/>
  <c r="EM10" i="9" a="1"/>
  <c r="EM10" i="9" s="1"/>
  <c r="CQ16" i="9" a="1"/>
  <c r="CQ16" i="9" s="1"/>
  <c r="EP16" i="9" a="1"/>
  <c r="EP16" i="9" s="1"/>
  <c r="EA16" i="9" a="1"/>
  <c r="EA16" i="9" s="1"/>
  <c r="EV16" i="9" a="1"/>
  <c r="EV16" i="9" s="1"/>
  <c r="DG16" i="9" a="1"/>
  <c r="DG16" i="9" s="1"/>
  <c r="EB11" i="9" a="1"/>
  <c r="EB11" i="9" s="1"/>
  <c r="DB6" i="9" a="1"/>
  <c r="DB6" i="9" s="1"/>
  <c r="ET6" i="9" a="1"/>
  <c r="ET6" i="9" s="1"/>
  <c r="CY6" i="9" a="1"/>
  <c r="CY6" i="9" s="1"/>
  <c r="EI12" i="9" a="1"/>
  <c r="EI12" i="9" s="1"/>
  <c r="EL12" i="9" a="1"/>
  <c r="EL12" i="9" s="1"/>
  <c r="EH13" i="9" a="1"/>
  <c r="EH13" i="9" s="1"/>
  <c r="EY13" i="9" a="1"/>
  <c r="EY13" i="9" s="1"/>
  <c r="DU13" i="9" a="1"/>
  <c r="DU13" i="9" s="1"/>
  <c r="EJ13" i="9" a="1"/>
  <c r="EJ13" i="9" s="1"/>
  <c r="EL14" i="9" a="1"/>
  <c r="EL14" i="9" s="1"/>
  <c r="CL16" i="9" a="1"/>
  <c r="CL16" i="9" s="1"/>
  <c r="EM16" i="9" a="1"/>
  <c r="EM16" i="9" s="1"/>
  <c r="EQ16" i="9" a="1"/>
  <c r="EQ16" i="9" s="1"/>
  <c r="CI16" i="9" a="1"/>
  <c r="CI16" i="9" s="1"/>
  <c r="EI16" i="9" a="1"/>
  <c r="EI16" i="9" s="1"/>
  <c r="DM16" i="9" a="1"/>
  <c r="DM16" i="9" s="1"/>
  <c r="DB13" i="9" a="1"/>
  <c r="DB13" i="9" s="1"/>
  <c r="CO13" i="9" a="1"/>
  <c r="CO13" i="9" s="1"/>
  <c r="CH13" i="9"/>
  <c r="DA14" i="9" a="1"/>
  <c r="DA14" i="9" s="1"/>
  <c r="EC14" i="9" a="1"/>
  <c r="EC14" i="9" s="1"/>
  <c r="DZ16" i="9" a="1"/>
  <c r="DZ16" i="9" s="1"/>
  <c r="EC16" i="9" a="1"/>
  <c r="EC16" i="9" s="1"/>
  <c r="CR16" i="9" a="1"/>
  <c r="CR16" i="9" s="1"/>
  <c r="ET16" i="9" a="1"/>
  <c r="ET16" i="9" s="1"/>
  <c r="DN16" i="9" a="1"/>
  <c r="DN16" i="9" s="1"/>
  <c r="CP16" i="9" a="1"/>
  <c r="CP16" i="9" s="1"/>
  <c r="FC16" i="9" a="1"/>
  <c r="FC16" i="9" s="1"/>
  <c r="EH16" i="9" a="1"/>
  <c r="EH16" i="9" s="1"/>
  <c r="CL14" i="9" a="1"/>
  <c r="CL14" i="9" s="1"/>
  <c r="DI14" i="9" a="1"/>
  <c r="DI14" i="9" s="1"/>
  <c r="CK16" i="9" a="1"/>
  <c r="CK16" i="9" s="1"/>
  <c r="DS16" i="9" a="1"/>
  <c r="DS16" i="9" s="1"/>
  <c r="DR16" i="9" a="1"/>
  <c r="DR16" i="9" s="1"/>
  <c r="EL16" i="9" a="1"/>
  <c r="EL16" i="9" s="1"/>
  <c r="EN16" i="9" a="1"/>
  <c r="EN16" i="9" s="1"/>
  <c r="EU12" i="9" a="1"/>
  <c r="EU12" i="9" s="1"/>
  <c r="DO12" i="9" a="1"/>
  <c r="DO12" i="9" s="1"/>
  <c r="FF13" i="9" a="1"/>
  <c r="FF13" i="9" s="1"/>
  <c r="ED13" i="9" a="1"/>
  <c r="ED13" i="9" s="1"/>
  <c r="EU13" i="9" a="1"/>
  <c r="EU13" i="9" s="1"/>
  <c r="DM14" i="9" a="1"/>
  <c r="DM14" i="9" s="1"/>
  <c r="EP14" i="9" a="1"/>
  <c r="EP14" i="9" s="1"/>
  <c r="FE16" i="9" a="1"/>
  <c r="FE16" i="9" s="1"/>
  <c r="EB16" i="9" a="1"/>
  <c r="EB16" i="9" s="1"/>
  <c r="DC16" i="9" a="1"/>
  <c r="DC16" i="9" s="1"/>
  <c r="FB16" i="9" a="1"/>
  <c r="FB16" i="9" s="1"/>
  <c r="DH16" i="9" a="1"/>
  <c r="DH16" i="9" s="1"/>
  <c r="ES16" i="9" a="1"/>
  <c r="ES16" i="9" s="1"/>
  <c r="EH14" i="9" a="1"/>
  <c r="EH14" i="9" s="1"/>
  <c r="DV14" i="9" a="1"/>
  <c r="DV14" i="9" s="1"/>
  <c r="ER16" i="9" a="1"/>
  <c r="ER16" i="9" s="1"/>
  <c r="EZ16" i="9" a="1"/>
  <c r="EZ16" i="9" s="1"/>
  <c r="CT16" i="9" a="1"/>
  <c r="CT16" i="9" s="1"/>
  <c r="FD16" i="9" a="1"/>
  <c r="FD16" i="9" s="1"/>
  <c r="CJ16" i="9" a="1"/>
  <c r="CJ16" i="9" s="1"/>
  <c r="DX16" i="9" a="1"/>
  <c r="DX16" i="9" s="1"/>
  <c r="CN16" i="9" a="1"/>
  <c r="CN16" i="9" s="1"/>
  <c r="CW16" i="9" a="1"/>
  <c r="CW16" i="9" s="1"/>
  <c r="CM16" i="9" a="1"/>
  <c r="CM16" i="9" s="1"/>
  <c r="CU16" i="9" a="1"/>
  <c r="CU16" i="9" s="1"/>
  <c r="EW16" i="9" a="1"/>
  <c r="EW16" i="9" s="1"/>
  <c r="EO14" i="9" a="1"/>
  <c r="EO14" i="9" s="1"/>
  <c r="CU14" i="9" a="1"/>
  <c r="CU14" i="9" s="1"/>
  <c r="DA16" i="9" a="1"/>
  <c r="DA16" i="9" s="1"/>
  <c r="FF16" i="9" a="1"/>
  <c r="FF16" i="9" s="1"/>
  <c r="DO16" i="9" a="1"/>
  <c r="DO16" i="9" s="1"/>
  <c r="FA16" i="9" a="1"/>
  <c r="FA16" i="9" s="1"/>
  <c r="DQ16" i="9" a="1"/>
  <c r="DQ16" i="9" s="1"/>
  <c r="EF16" i="9" a="1"/>
  <c r="EF16" i="9" s="1"/>
  <c r="DF16" i="9" a="1"/>
  <c r="DF16" i="9" s="1"/>
  <c r="FG16" i="9" a="1"/>
  <c r="FG16" i="9" s="1"/>
  <c r="DJ16" i="9" a="1"/>
  <c r="DJ16" i="9" s="1"/>
  <c r="EK16" i="9" a="1"/>
  <c r="EK16" i="9" s="1"/>
  <c r="EE16" i="9" a="1"/>
  <c r="EE16" i="9" s="1"/>
  <c r="CZ16" i="9" a="1"/>
  <c r="CZ16" i="9" s="1"/>
  <c r="EU16" i="9" a="1"/>
  <c r="EU16" i="9" s="1"/>
  <c r="CS16" i="9" a="1"/>
  <c r="CS16" i="9" s="1"/>
  <c r="DD16" i="9" a="1"/>
  <c r="DD16" i="9" s="1"/>
  <c r="CX16" i="9" a="1"/>
  <c r="CX16" i="9" s="1"/>
  <c r="DI16" i="9" a="1"/>
  <c r="DI16" i="9" s="1"/>
  <c r="EJ16" i="9" a="1"/>
  <c r="EJ16" i="9" s="1"/>
  <c r="DB16" i="9" a="1"/>
  <c r="DB16" i="9" s="1"/>
  <c r="DL16" i="9" a="1"/>
  <c r="DL16" i="9" s="1"/>
  <c r="CO16" i="9" a="1"/>
  <c r="CO16" i="9" s="1"/>
  <c r="EO16" i="9" a="1"/>
  <c r="EO16" i="9" s="1"/>
  <c r="ED16" i="9" a="1"/>
  <c r="ED16" i="9" s="1"/>
  <c r="DK16" i="9" a="1"/>
  <c r="DK16" i="9" s="1"/>
  <c r="EG16" i="9" a="1"/>
  <c r="EG16" i="9" s="1"/>
  <c r="DP16" i="9" a="1"/>
  <c r="DP16" i="9" s="1"/>
  <c r="CH16" i="9"/>
  <c r="DV16" i="9" a="1"/>
  <c r="DV16" i="9" s="1"/>
  <c r="DY16" i="9" a="1"/>
  <c r="DY16" i="9" s="1"/>
  <c r="DE16" i="9" a="1"/>
  <c r="DE16" i="9" s="1"/>
  <c r="DU16" i="9" a="1"/>
  <c r="DU16" i="9" s="1"/>
  <c r="DW16" i="9" a="1"/>
  <c r="DW16" i="9" s="1"/>
  <c r="CW12" i="9" a="1"/>
  <c r="CW12" i="9" s="1"/>
  <c r="CJ12" i="9" a="1"/>
  <c r="CJ12" i="9" s="1"/>
  <c r="EM13" i="9" a="1"/>
  <c r="EM13" i="9" s="1"/>
  <c r="EX13" i="9" a="1"/>
  <c r="EX13" i="9" s="1"/>
  <c r="CM13" i="9" a="1"/>
  <c r="CM13" i="9" s="1"/>
  <c r="EK13" i="9" a="1"/>
  <c r="EK13" i="9" s="1"/>
  <c r="DL14" i="9" a="1"/>
  <c r="DL14" i="9" s="1"/>
  <c r="EY14" i="9" a="1"/>
  <c r="EY14" i="9" s="1"/>
  <c r="DP14" i="9" a="1"/>
  <c r="DP14" i="9" s="1"/>
  <c r="EF14" i="9" a="1"/>
  <c r="EF14" i="9" s="1"/>
  <c r="DN14" i="9" a="1"/>
  <c r="DN14" i="9" s="1"/>
  <c r="ES6" i="9" a="1"/>
  <c r="ES6" i="9" s="1"/>
  <c r="EG6" i="9" a="1"/>
  <c r="EG6" i="9" s="1"/>
  <c r="CK6" i="9" a="1"/>
  <c r="CK6" i="9" s="1"/>
  <c r="EX6" i="9" a="1"/>
  <c r="EX6" i="9" s="1"/>
  <c r="EV6" i="9" a="1"/>
  <c r="EV6" i="9" s="1"/>
  <c r="EA14" i="9" a="1"/>
  <c r="EA14" i="9" s="1"/>
  <c r="FD14" i="9" a="1"/>
  <c r="FD14" i="9" s="1"/>
  <c r="CJ14" i="9" a="1"/>
  <c r="CJ14" i="9" s="1"/>
  <c r="FC14" i="9" a="1"/>
  <c r="FC14" i="9" s="1"/>
  <c r="CP6" i="9" a="1"/>
  <c r="CP6" i="9" s="1"/>
  <c r="DJ6" i="9" a="1"/>
  <c r="DJ6" i="9" s="1"/>
  <c r="FG6" i="9" a="1"/>
  <c r="FG6" i="9" s="1"/>
  <c r="CM6" i="9" a="1"/>
  <c r="CM6" i="9" s="1"/>
  <c r="EA6" i="9" a="1"/>
  <c r="EA6" i="9" s="1"/>
  <c r="DJ14" i="9" a="1"/>
  <c r="DJ14" i="9" s="1"/>
  <c r="CN14" i="9" a="1"/>
  <c r="CN14" i="9" s="1"/>
  <c r="CI14" i="9" a="1"/>
  <c r="CI14" i="9" s="1"/>
  <c r="EU14" i="9" a="1"/>
  <c r="EU14" i="9" s="1"/>
  <c r="DX6" i="9" a="1"/>
  <c r="DX6" i="9" s="1"/>
  <c r="DU6" i="9" a="1"/>
  <c r="DU6" i="9" s="1"/>
  <c r="EY6" i="9" a="1"/>
  <c r="EY6" i="9" s="1"/>
  <c r="DC6" i="9" a="1"/>
  <c r="DC6" i="9" s="1"/>
  <c r="CQ14" i="9" a="1"/>
  <c r="CQ14" i="9" s="1"/>
  <c r="EB14" i="9" a="1"/>
  <c r="EB14" i="9" s="1"/>
  <c r="ER14" i="9" a="1"/>
  <c r="ER14" i="9" s="1"/>
  <c r="ES14" i="9" a="1"/>
  <c r="ES14" i="9" s="1"/>
  <c r="DT6" i="9" a="1"/>
  <c r="DT6" i="9" s="1"/>
  <c r="EI6" i="9" a="1"/>
  <c r="EI6" i="9" s="1"/>
  <c r="DY6" i="9" a="1"/>
  <c r="DY6" i="9" s="1"/>
  <c r="CU6" i="9" a="1"/>
  <c r="CU6" i="9" s="1"/>
  <c r="DU14" i="9" a="1"/>
  <c r="DU14" i="9" s="1"/>
  <c r="CT14" i="9" a="1"/>
  <c r="CT14" i="9" s="1"/>
  <c r="DH14" i="9" a="1"/>
  <c r="DH14" i="9" s="1"/>
  <c r="CH14" i="9"/>
  <c r="DG6" i="9" a="1"/>
  <c r="DG6" i="9" s="1"/>
  <c r="FB6" i="9" a="1"/>
  <c r="FB6" i="9" s="1"/>
  <c r="CI6" i="9" a="1"/>
  <c r="CI6" i="9" s="1"/>
  <c r="EF6" i="9" a="1"/>
  <c r="EF6" i="9" s="1"/>
  <c r="EO6" i="9" a="1"/>
  <c r="EO6" i="9" s="1"/>
  <c r="DE14" i="9" a="1"/>
  <c r="DE14" i="9" s="1"/>
  <c r="DZ14" i="9" a="1"/>
  <c r="DZ14" i="9" s="1"/>
  <c r="CP14" i="9" a="1"/>
  <c r="CP14" i="9" s="1"/>
  <c r="FF14" i="9" a="1"/>
  <c r="FF14" i="9" s="1"/>
  <c r="DI6" i="9" a="1"/>
  <c r="DI6" i="9" s="1"/>
  <c r="EJ14" i="9" a="1"/>
  <c r="EJ14" i="9" s="1"/>
  <c r="CO14" i="9" a="1"/>
  <c r="CO14" i="9" s="1"/>
  <c r="CV14" i="9" a="1"/>
  <c r="CV14" i="9" s="1"/>
  <c r="EB6" i="9" a="1"/>
  <c r="EB6" i="9" s="1"/>
  <c r="DD6" i="9" a="1"/>
  <c r="DD6" i="9" s="1"/>
  <c r="EM6" i="9" a="1"/>
  <c r="EM6" i="9" s="1"/>
  <c r="EP6" i="9" a="1"/>
  <c r="EP6" i="9" s="1"/>
  <c r="EQ14" i="9" a="1"/>
  <c r="EQ14" i="9" s="1"/>
  <c r="EK14" i="9" a="1"/>
  <c r="EK14" i="9" s="1"/>
  <c r="CY14" i="9" a="1"/>
  <c r="CY14" i="9" s="1"/>
  <c r="FG14" i="9" a="1"/>
  <c r="FG14" i="9" s="1"/>
  <c r="EV14" i="9" a="1"/>
  <c r="EV14" i="9" s="1"/>
  <c r="EG14" i="9" a="1"/>
  <c r="EG14" i="9" s="1"/>
  <c r="DB14" i="9" a="1"/>
  <c r="DB14" i="9" s="1"/>
  <c r="FE14" i="9" a="1"/>
  <c r="FE14" i="9" s="1"/>
  <c r="CR14" i="9" a="1"/>
  <c r="CR14" i="9" s="1"/>
  <c r="CW14" i="9" a="1"/>
  <c r="CW14" i="9" s="1"/>
  <c r="CS14" i="9" a="1"/>
  <c r="CS14" i="9" s="1"/>
  <c r="DY10" i="9" a="1"/>
  <c r="DY10" i="9" s="1"/>
  <c r="CZ10" i="9" a="1"/>
  <c r="CZ10" i="9" s="1"/>
  <c r="EX16" i="9" a="1"/>
  <c r="EX16" i="9" s="1"/>
  <c r="CY16" i="9" a="1"/>
  <c r="CY16" i="9" s="1"/>
  <c r="EY16" i="9" a="1"/>
  <c r="EY16" i="9" s="1"/>
  <c r="DT16" i="9" a="1"/>
  <c r="DT16" i="9" s="1"/>
  <c r="DW11" i="9" a="1"/>
  <c r="DW11" i="9" s="1"/>
  <c r="DI11" i="9" a="1"/>
  <c r="DI11" i="9" s="1"/>
  <c r="FE12" i="9" a="1"/>
  <c r="FE12" i="9" s="1"/>
  <c r="EJ12" i="9" a="1"/>
  <c r="EJ12" i="9" s="1"/>
  <c r="CY13" i="9" a="1"/>
  <c r="CY13" i="9" s="1"/>
  <c r="EN13" i="9" a="1"/>
  <c r="EN13" i="9" s="1"/>
  <c r="DX13" i="9" a="1"/>
  <c r="DX13" i="9" s="1"/>
  <c r="DD13" i="9" a="1"/>
  <c r="DD13" i="9" s="1"/>
  <c r="DQ13" i="9" a="1"/>
  <c r="DQ13" i="9" s="1"/>
  <c r="DC14" i="9" a="1"/>
  <c r="DC14" i="9" s="1"/>
  <c r="FB14" i="9" a="1"/>
  <c r="FB14" i="9" s="1"/>
  <c r="CM14" i="9" a="1"/>
  <c r="CM14" i="9" s="1"/>
  <c r="ET14" i="9" a="1"/>
  <c r="ET14" i="9" s="1"/>
  <c r="DL12" i="9" a="1"/>
  <c r="DL12" i="9" s="1"/>
  <c r="CS12" i="9" a="1"/>
  <c r="CS12" i="9" s="1"/>
  <c r="DZ13" i="9" a="1"/>
  <c r="DZ13" i="9" s="1"/>
  <c r="FA13" i="9" a="1"/>
  <c r="FA13" i="9" s="1"/>
  <c r="CN13" i="9" a="1"/>
  <c r="CN13" i="9" s="1"/>
  <c r="DS13" i="9" a="1"/>
  <c r="DS13" i="9" s="1"/>
  <c r="EG13" i="9" a="1"/>
  <c r="EG13" i="9" s="1"/>
  <c r="ED14" i="9" a="1"/>
  <c r="ED14" i="9" s="1"/>
  <c r="DG14" i="9" a="1"/>
  <c r="DG14" i="9" s="1"/>
  <c r="EN14" i="9" a="1"/>
  <c r="EN14" i="9" s="1"/>
  <c r="EZ14" i="9" a="1"/>
  <c r="EZ14" i="9" s="1"/>
  <c r="CK11" i="9" a="1"/>
  <c r="CK11" i="9" s="1"/>
  <c r="EM11" i="9" a="1"/>
  <c r="EM11" i="9" s="1"/>
  <c r="DC12" i="9" a="1"/>
  <c r="DC12" i="9" s="1"/>
  <c r="DD12" i="9" a="1"/>
  <c r="DD12" i="9" s="1"/>
  <c r="CO12" i="9" a="1"/>
  <c r="CO12" i="9" s="1"/>
  <c r="DR13" i="9" a="1"/>
  <c r="DR13" i="9" s="1"/>
  <c r="CJ13" i="9" a="1"/>
  <c r="CJ13" i="9" s="1"/>
  <c r="DE13" i="9" a="1"/>
  <c r="DE13" i="9" s="1"/>
  <c r="FD13" i="9" a="1"/>
  <c r="FD13" i="9" s="1"/>
  <c r="FE13" i="9" a="1"/>
  <c r="FE13" i="9" s="1"/>
  <c r="EI14" i="9" a="1"/>
  <c r="EI14" i="9" s="1"/>
  <c r="FA14" i="9" a="1"/>
  <c r="FA14" i="9" s="1"/>
  <c r="EX14" i="9" a="1"/>
  <c r="EX14" i="9" s="1"/>
  <c r="DD14" i="9" a="1"/>
  <c r="DD14" i="9" s="1"/>
  <c r="DR14" i="9" a="1"/>
  <c r="DR14" i="9" s="1"/>
  <c r="ER12" i="9" a="1"/>
  <c r="ER12" i="9" s="1"/>
  <c r="FF12" i="9" a="1"/>
  <c r="FF12" i="9" s="1"/>
  <c r="DM12" i="9" a="1"/>
  <c r="DM12" i="9" s="1"/>
  <c r="EZ13" i="9" a="1"/>
  <c r="EZ13" i="9" s="1"/>
  <c r="CV13" i="9" a="1"/>
  <c r="CV13" i="9" s="1"/>
  <c r="EL13" i="9" a="1"/>
  <c r="EL13" i="9" s="1"/>
  <c r="DJ13" i="9" a="1"/>
  <c r="DJ13" i="9" s="1"/>
  <c r="CX14" i="9" a="1"/>
  <c r="CX14" i="9" s="1"/>
  <c r="DX14" i="9" a="1"/>
  <c r="DX14" i="9" s="1"/>
  <c r="DT14" i="9" a="1"/>
  <c r="DT14" i="9" s="1"/>
  <c r="CK14" i="9" a="1"/>
  <c r="CK14" i="9" s="1"/>
  <c r="DT11" i="9" a="1"/>
  <c r="DT11" i="9" s="1"/>
  <c r="CY12" i="9" a="1"/>
  <c r="CY12" i="9" s="1"/>
  <c r="CZ12" i="9" a="1"/>
  <c r="CZ12" i="9" s="1"/>
  <c r="CV12" i="9" a="1"/>
  <c r="CV12" i="9" s="1"/>
  <c r="EV11" i="9" a="1"/>
  <c r="EV11" i="9" s="1"/>
  <c r="DZ11" i="9" a="1"/>
  <c r="DZ11" i="9" s="1"/>
  <c r="DF12" i="9" a="1"/>
  <c r="DF12" i="9" s="1"/>
  <c r="DU12" i="9" a="1"/>
  <c r="DU12" i="9" s="1"/>
  <c r="EO12" i="9" a="1"/>
  <c r="EO12" i="9" s="1"/>
  <c r="EY8" i="9" a="1"/>
  <c r="EY8" i="9" s="1"/>
  <c r="DH11" i="9" a="1"/>
  <c r="DH11" i="9" s="1"/>
  <c r="DK11" i="9" a="1"/>
  <c r="DK11" i="9" s="1"/>
  <c r="CP11" i="9" a="1"/>
  <c r="CP11" i="9" s="1"/>
  <c r="FC10" i="9" a="1"/>
  <c r="FC10" i="9" s="1"/>
  <c r="CL10" i="9" a="1"/>
  <c r="CL10" i="9" s="1"/>
  <c r="EP10" i="9" a="1"/>
  <c r="EP10" i="9" s="1"/>
  <c r="CT11" i="9" a="1"/>
  <c r="CT11" i="9" s="1"/>
  <c r="CQ11" i="9" a="1"/>
  <c r="CQ11" i="9" s="1"/>
  <c r="ED10" i="9" a="1"/>
  <c r="ED10" i="9" s="1"/>
  <c r="DA10" i="9" a="1"/>
  <c r="DA10" i="9" s="1"/>
  <c r="DD11" i="9" a="1"/>
  <c r="DD11" i="9" s="1"/>
  <c r="DQ11" i="9" a="1"/>
  <c r="DQ11" i="9" s="1"/>
  <c r="FD11" i="9" a="1"/>
  <c r="FD11" i="9" s="1"/>
  <c r="DN8" i="9" a="1"/>
  <c r="DN8" i="9" s="1"/>
  <c r="CU12" i="9" a="1"/>
  <c r="CU12" i="9" s="1"/>
  <c r="EC12" i="9" a="1"/>
  <c r="EC12" i="9" s="1"/>
  <c r="CT12" i="9" a="1"/>
  <c r="CT12" i="9" s="1"/>
  <c r="FE8" i="9" a="1"/>
  <c r="FE8" i="9" s="1"/>
  <c r="EK11" i="9" a="1"/>
  <c r="EK11" i="9" s="1"/>
  <c r="EL11" i="9" a="1"/>
  <c r="EL11" i="9" s="1"/>
  <c r="EH12" i="9" a="1"/>
  <c r="EH12" i="9" s="1"/>
  <c r="EB12" i="9" a="1"/>
  <c r="EB12" i="9" s="1"/>
  <c r="ES12" i="9" a="1"/>
  <c r="ES12" i="9" s="1"/>
  <c r="DV12" i="9" a="1"/>
  <c r="DV12" i="9" s="1"/>
  <c r="EM12" i="9" a="1"/>
  <c r="EM12" i="9" s="1"/>
  <c r="EO10" i="9" a="1"/>
  <c r="EO10" i="9" s="1"/>
  <c r="EE10" i="9" a="1"/>
  <c r="EE10" i="9" s="1"/>
  <c r="CR10" i="9" a="1"/>
  <c r="CR10" i="9" s="1"/>
  <c r="CX11" i="9" a="1"/>
  <c r="CX11" i="9" s="1"/>
  <c r="ED11" i="9" a="1"/>
  <c r="ED11" i="9" s="1"/>
  <c r="DR11" i="9" a="1"/>
  <c r="DR11" i="9" s="1"/>
  <c r="CR12" i="9" a="1"/>
  <c r="CR12" i="9" s="1"/>
  <c r="DG12" i="9" a="1"/>
  <c r="DG12" i="9" s="1"/>
  <c r="CN12" i="9" a="1"/>
  <c r="CN12" i="9" s="1"/>
  <c r="EV12" i="9" a="1"/>
  <c r="EV12" i="9" s="1"/>
  <c r="DB12" i="9" a="1"/>
  <c r="DB12" i="9" s="1"/>
  <c r="FB10" i="9" a="1"/>
  <c r="FB10" i="9" s="1"/>
  <c r="DV10" i="9" a="1"/>
  <c r="DV10" i="9" s="1"/>
  <c r="EX10" i="9" a="1"/>
  <c r="EX10" i="9" s="1"/>
  <c r="FC11" i="9" a="1"/>
  <c r="FC11" i="9" s="1"/>
  <c r="CR11" i="9" a="1"/>
  <c r="CR11" i="9" s="1"/>
  <c r="EY11" i="9" a="1"/>
  <c r="EY11" i="9" s="1"/>
  <c r="ED12" i="9" a="1"/>
  <c r="ED12" i="9" s="1"/>
  <c r="CK12" i="9" a="1"/>
  <c r="CK12" i="9" s="1"/>
  <c r="DQ12" i="9" a="1"/>
  <c r="DQ12" i="9" s="1"/>
  <c r="DE12" i="9" a="1"/>
  <c r="DE12" i="9" s="1"/>
  <c r="EA12" i="9" a="1"/>
  <c r="EA12" i="9" s="1"/>
  <c r="EZ11" i="9" a="1"/>
  <c r="EZ11" i="9" s="1"/>
  <c r="EU11" i="9" a="1"/>
  <c r="EU11" i="9" s="1"/>
  <c r="DV11" i="9" a="1"/>
  <c r="DV11" i="9" s="1"/>
  <c r="EF12" i="9" a="1"/>
  <c r="EF12" i="9" s="1"/>
  <c r="DW12" i="9" a="1"/>
  <c r="DW12" i="9" s="1"/>
  <c r="CI12" i="9" a="1"/>
  <c r="CI12" i="9" s="1"/>
  <c r="FD12" i="9" a="1"/>
  <c r="FD12" i="9" s="1"/>
  <c r="DN12" i="9" a="1"/>
  <c r="DN12" i="9" s="1"/>
  <c r="CM12" i="9" a="1"/>
  <c r="CM12" i="9" s="1"/>
  <c r="DK12" i="9" a="1"/>
  <c r="DK12" i="9" s="1"/>
  <c r="DH12" i="9" a="1"/>
  <c r="DH12" i="9" s="1"/>
  <c r="ET12" i="9" a="1"/>
  <c r="ET12" i="9" s="1"/>
  <c r="FF10" i="9" a="1"/>
  <c r="FF10" i="9" s="1"/>
  <c r="DI10" i="9" a="1"/>
  <c r="DI10" i="9" s="1"/>
  <c r="EW10" i="9" a="1"/>
  <c r="EW10" i="9" s="1"/>
  <c r="CN10" i="9" a="1"/>
  <c r="CN10" i="9" s="1"/>
  <c r="CZ11" i="9" a="1"/>
  <c r="CZ11" i="9" s="1"/>
  <c r="CW11" i="9" a="1"/>
  <c r="CW11" i="9" s="1"/>
  <c r="EC11" i="9" a="1"/>
  <c r="EC11" i="9" s="1"/>
  <c r="EF11" i="9" a="1"/>
  <c r="EF11" i="9" s="1"/>
  <c r="CS8" i="9" a="1"/>
  <c r="CS8" i="9" s="1"/>
  <c r="FD10" i="9" a="1"/>
  <c r="FD10" i="9" s="1"/>
  <c r="EB10" i="9" a="1"/>
  <c r="EB10" i="9" s="1"/>
  <c r="DQ10" i="9" a="1"/>
  <c r="DQ10" i="9" s="1"/>
  <c r="EK10" i="9" a="1"/>
  <c r="EK10" i="9" s="1"/>
  <c r="EP11" i="9" a="1"/>
  <c r="EP11" i="9" s="1"/>
  <c r="DJ11" i="9" a="1"/>
  <c r="DJ11" i="9" s="1"/>
  <c r="DN11" i="9" a="1"/>
  <c r="DN11" i="9" s="1"/>
  <c r="EX11" i="9" a="1"/>
  <c r="EX11" i="9" s="1"/>
  <c r="CM10" i="9" a="1"/>
  <c r="CM10" i="9" s="1"/>
  <c r="EL10" i="9" a="1"/>
  <c r="EL10" i="9" s="1"/>
  <c r="ER10" i="9" a="1"/>
  <c r="ER10" i="9" s="1"/>
  <c r="DS10" i="9" a="1"/>
  <c r="DS10" i="9" s="1"/>
  <c r="CN11" i="9" a="1"/>
  <c r="CN11" i="9" s="1"/>
  <c r="FA11" i="9" a="1"/>
  <c r="FA11" i="9" s="1"/>
  <c r="CJ11" i="9" a="1"/>
  <c r="CJ11" i="9" s="1"/>
  <c r="EN11" i="9" a="1"/>
  <c r="EN11" i="9" s="1"/>
  <c r="FF11" i="9" a="1"/>
  <c r="FF11" i="9" s="1"/>
  <c r="DM11" i="9" a="1"/>
  <c r="DM11" i="9" s="1"/>
  <c r="EH11" i="9" a="1"/>
  <c r="EH11" i="9" s="1"/>
  <c r="ER11" i="9" a="1"/>
  <c r="ER11" i="9" s="1"/>
  <c r="ES11" i="9" a="1"/>
  <c r="ES11" i="9" s="1"/>
  <c r="CQ8" i="9" a="1"/>
  <c r="CQ8" i="9" s="1"/>
  <c r="DG11" i="9" a="1"/>
  <c r="DG11" i="9" s="1"/>
  <c r="DC11" i="9" a="1"/>
  <c r="DC11" i="9" s="1"/>
  <c r="EW11" i="9" a="1"/>
  <c r="EW11" i="9" s="1"/>
  <c r="CV11" i="9" a="1"/>
  <c r="CV11" i="9" s="1"/>
  <c r="EI11" i="9" a="1"/>
  <c r="EI11" i="9" s="1"/>
  <c r="DU11" i="9" a="1"/>
  <c r="DU11" i="9" s="1"/>
  <c r="FB11" i="9" a="1"/>
  <c r="FB11" i="9" s="1"/>
  <c r="CU11" i="9" a="1"/>
  <c r="CU11" i="9" s="1"/>
  <c r="DX11" i="9" a="1"/>
  <c r="DX11" i="9" s="1"/>
  <c r="CM11" i="9" a="1"/>
  <c r="CM11" i="9" s="1"/>
  <c r="FG11" i="9" a="1"/>
  <c r="FG11" i="9" s="1"/>
  <c r="DB11" i="9" a="1"/>
  <c r="DB11" i="9" s="1"/>
  <c r="DE11" i="9" a="1"/>
  <c r="DE11" i="9" s="1"/>
  <c r="DA11" i="9" a="1"/>
  <c r="DA11" i="9" s="1"/>
  <c r="CR8" i="9" a="1"/>
  <c r="CR8" i="9" s="1"/>
  <c r="ES8" i="9" a="1"/>
  <c r="ES8" i="9" s="1"/>
  <c r="DT8" i="9" a="1"/>
  <c r="DT8" i="9" s="1"/>
  <c r="FE10" i="9" a="1"/>
  <c r="FE10" i="9" s="1"/>
  <c r="CQ10" i="9" a="1"/>
  <c r="CQ10" i="9" s="1"/>
  <c r="CP10" i="9" a="1"/>
  <c r="CP10" i="9" s="1"/>
  <c r="DU10" i="9" a="1"/>
  <c r="DU10" i="9" s="1"/>
  <c r="EG10" i="9" a="1"/>
  <c r="EG10" i="9" s="1"/>
  <c r="DE8" i="9" a="1"/>
  <c r="DE8" i="9" s="1"/>
  <c r="DB8" i="9" a="1"/>
  <c r="DB8" i="9" s="1"/>
  <c r="ED8" i="9" a="1"/>
  <c r="ED8" i="9" s="1"/>
  <c r="DV8" i="9" a="1"/>
  <c r="DV8" i="9" s="1"/>
  <c r="FF8" i="9" a="1"/>
  <c r="FF8" i="9" s="1"/>
  <c r="CM8" i="9" a="1"/>
  <c r="CM8" i="9" s="1"/>
  <c r="EV10" i="9" a="1"/>
  <c r="EV10" i="9" s="1"/>
  <c r="DL10" i="9" a="1"/>
  <c r="DL10" i="9" s="1"/>
  <c r="EJ10" i="9" a="1"/>
  <c r="EJ10" i="9" s="1"/>
  <c r="CS10" i="9" a="1"/>
  <c r="CS10" i="9" s="1"/>
  <c r="DC10" i="9" a="1"/>
  <c r="DC10" i="9" s="1"/>
  <c r="EH8" i="9" a="1"/>
  <c r="EH8" i="9" s="1"/>
  <c r="FB8" i="9" a="1"/>
  <c r="FB8" i="9" s="1"/>
  <c r="DQ8" i="9" a="1"/>
  <c r="DQ8" i="9" s="1"/>
  <c r="EF10" i="9" a="1"/>
  <c r="EF10" i="9" s="1"/>
  <c r="DP10" i="9" a="1"/>
  <c r="DP10" i="9" s="1"/>
  <c r="DB10" i="9" a="1"/>
  <c r="DB10" i="9" s="1"/>
  <c r="DK10" i="9" a="1"/>
  <c r="DK10" i="9" s="1"/>
  <c r="DW8" i="9" a="1"/>
  <c r="DW8" i="9" s="1"/>
  <c r="DS8" i="9" a="1"/>
  <c r="DS8" i="9" s="1"/>
  <c r="CW8" i="9" a="1"/>
  <c r="CW8" i="9" s="1"/>
  <c r="DP8" i="9" a="1"/>
  <c r="DP8" i="9" s="1"/>
  <c r="DM8" i="9" a="1"/>
  <c r="DM8" i="9" s="1"/>
  <c r="CP8" i="9" a="1"/>
  <c r="CP8" i="9" s="1"/>
  <c r="CY8" i="9" a="1"/>
  <c r="CY8" i="9" s="1"/>
  <c r="EX8" i="9" a="1"/>
  <c r="EX8" i="9" s="1"/>
  <c r="EF8" i="9" a="1"/>
  <c r="EF8" i="9" s="1"/>
  <c r="ET8" i="9" a="1"/>
  <c r="ET8" i="9" s="1"/>
  <c r="DX8" i="9" a="1"/>
  <c r="DX8" i="9" s="1"/>
  <c r="EE8" i="9" a="1"/>
  <c r="EE8" i="9" s="1"/>
  <c r="ER8" i="9" a="1"/>
  <c r="ER8" i="9" s="1"/>
  <c r="DA8" i="9" a="1"/>
  <c r="DA8" i="9" s="1"/>
  <c r="CX8" i="9" a="1"/>
  <c r="CX8" i="9" s="1"/>
  <c r="CN8" i="9" a="1"/>
  <c r="CN8" i="9" s="1"/>
  <c r="EJ8" i="9" a="1"/>
  <c r="EJ8" i="9" s="1"/>
  <c r="EZ8" i="9" a="1"/>
  <c r="EZ8" i="9" s="1"/>
  <c r="EA8" i="9" a="1"/>
  <c r="EA8" i="9" s="1"/>
  <c r="DF8" i="9" a="1"/>
  <c r="DF8" i="9" s="1"/>
  <c r="EC8" i="9" a="1"/>
  <c r="EC8" i="9" s="1"/>
  <c r="EG8" i="9" a="1"/>
  <c r="EG8" i="9" s="1"/>
  <c r="CL8" i="9" a="1"/>
  <c r="CL8" i="9" s="1"/>
  <c r="EK8" i="9" a="1"/>
  <c r="EK8" i="9" s="1"/>
  <c r="DZ8" i="9" a="1"/>
  <c r="DZ8" i="9" s="1"/>
  <c r="DC8" i="9" a="1"/>
  <c r="DC8" i="9" s="1"/>
  <c r="EW8" i="9" a="1"/>
  <c r="EW8" i="9" s="1"/>
  <c r="DO8" i="9" a="1"/>
  <c r="DO8" i="9" s="1"/>
  <c r="DG8" i="9" a="1"/>
  <c r="DG8" i="9" s="1"/>
  <c r="DY8" i="9" a="1"/>
  <c r="DY8" i="9" s="1"/>
  <c r="CI8" i="9" a="1"/>
  <c r="CI8" i="9" s="1"/>
  <c r="CO8" i="9" a="1"/>
  <c r="CO8" i="9" s="1"/>
  <c r="FG8" i="9" a="1"/>
  <c r="FG8" i="9" s="1"/>
  <c r="EL8" i="9" a="1"/>
  <c r="EL8" i="9" s="1"/>
  <c r="DR8" i="9" a="1"/>
  <c r="DR8" i="9" s="1"/>
  <c r="DK8" i="9" a="1"/>
  <c r="DK8" i="9" s="1"/>
  <c r="CK8" i="9" a="1"/>
  <c r="CK8" i="9" s="1"/>
  <c r="FD8" i="9" a="1"/>
  <c r="FD8" i="9" s="1"/>
  <c r="EN8" i="9" a="1"/>
  <c r="EN8" i="9" s="1"/>
  <c r="CZ8" i="9" a="1"/>
  <c r="CZ8" i="9" s="1"/>
  <c r="EO8" i="9" a="1"/>
  <c r="EO8" i="9" s="1"/>
  <c r="EP8" i="9" a="1"/>
  <c r="EP8" i="9" s="1"/>
  <c r="CU8" i="9" a="1"/>
  <c r="CU8" i="9" s="1"/>
  <c r="DL8" i="9" a="1"/>
  <c r="DL8" i="9" s="1"/>
  <c r="CH8" i="9"/>
  <c r="EQ8" i="9" a="1"/>
  <c r="EQ8" i="9" s="1"/>
  <c r="EU8" i="9" a="1"/>
  <c r="EU8" i="9" s="1"/>
  <c r="EV8" i="9" a="1"/>
  <c r="EV8" i="9" s="1"/>
  <c r="FC8" i="9" a="1"/>
  <c r="FC8" i="9" s="1"/>
  <c r="EM8" i="9" a="1"/>
  <c r="EM8" i="9" s="1"/>
  <c r="DU8" i="9" a="1"/>
  <c r="DU8" i="9" s="1"/>
  <c r="DH8" i="9" a="1"/>
  <c r="DH8" i="9" s="1"/>
  <c r="EI8" i="9" a="1"/>
  <c r="EI8" i="9" s="1"/>
  <c r="FA8" i="9" a="1"/>
  <c r="FA8" i="9" s="1"/>
  <c r="DJ8" i="9" a="1"/>
  <c r="DJ8" i="9" s="1"/>
  <c r="CV8" i="9" a="1"/>
  <c r="CV8" i="9" s="1"/>
  <c r="CJ8" i="9" a="1"/>
  <c r="CJ8" i="9" s="1"/>
  <c r="EB8" i="9" a="1"/>
  <c r="EB8" i="9" s="1"/>
  <c r="CT8" i="9" a="1"/>
  <c r="CT8" i="9" s="1"/>
  <c r="DD8" i="9" a="1"/>
  <c r="DD8" i="9" s="1"/>
  <c r="V22" i="26"/>
  <c r="AA22" i="26"/>
  <c r="Z22" i="26"/>
  <c r="Y22" i="26"/>
  <c r="X22" i="26"/>
  <c r="W22" i="26"/>
  <c r="AE7" i="13"/>
  <c r="AF22" i="26"/>
  <c r="AH22" i="26"/>
  <c r="AG22" i="26"/>
  <c r="AE22" i="26"/>
  <c r="AC22" i="26"/>
  <c r="AB22" i="26"/>
  <c r="AX7" i="13"/>
  <c r="AJ7" i="13"/>
  <c r="AH7" i="13"/>
  <c r="AW7" i="13"/>
  <c r="AG7" i="13"/>
  <c r="AF7" i="13"/>
  <c r="AV7" i="13"/>
  <c r="AU7" i="13"/>
  <c r="AH21" i="26"/>
  <c r="AI7" i="13"/>
  <c r="AP7" i="13"/>
  <c r="AA17" i="26"/>
  <c r="Z17" i="26"/>
  <c r="Y17" i="26"/>
  <c r="AQ7" i="13"/>
  <c r="AO7" i="13"/>
  <c r="AN7" i="13"/>
  <c r="AT7" i="13"/>
  <c r="AS7" i="13"/>
  <c r="AR7" i="13"/>
  <c r="AM7" i="13"/>
  <c r="AL7" i="13"/>
  <c r="X17" i="26"/>
  <c r="CR17" i="9" a="1"/>
  <c r="CR17" i="9" s="1"/>
  <c r="DU17" i="9" a="1"/>
  <c r="DU17" i="9" s="1"/>
  <c r="EN17" i="9" a="1"/>
  <c r="EN17" i="9" s="1"/>
  <c r="W17" i="26"/>
  <c r="AG21" i="26"/>
  <c r="AF21" i="26"/>
  <c r="AE21" i="26"/>
  <c r="EG17" i="9" a="1"/>
  <c r="EG17" i="9" s="1"/>
  <c r="X21" i="26"/>
  <c r="FE17" i="9" a="1"/>
  <c r="FE17" i="9" s="1"/>
  <c r="DY17" i="9" a="1"/>
  <c r="DY17" i="9" s="1"/>
  <c r="EJ17" i="9" a="1"/>
  <c r="EJ17" i="9" s="1"/>
  <c r="FA17" i="9" a="1"/>
  <c r="FA17" i="9" s="1"/>
  <c r="FG17" i="9" a="1"/>
  <c r="FG17" i="9" s="1"/>
  <c r="EK17" i="9" a="1"/>
  <c r="EK17" i="9" s="1"/>
  <c r="Y18" i="26"/>
  <c r="AD21" i="26"/>
  <c r="EZ17" i="9" a="1"/>
  <c r="EZ17" i="9" s="1"/>
  <c r="AC21" i="26"/>
  <c r="CQ17" i="9" a="1"/>
  <c r="CQ17" i="9" s="1"/>
  <c r="AB21" i="26"/>
  <c r="AA21" i="26"/>
  <c r="CY17" i="9" a="1"/>
  <c r="CY17" i="9" s="1"/>
  <c r="Z21" i="26"/>
  <c r="ET22" i="9" a="1"/>
  <c r="ET22" i="9" s="1"/>
  <c r="Y21" i="26"/>
  <c r="CU22" i="9" a="1"/>
  <c r="CU22" i="9" s="1"/>
  <c r="DD17" i="9" a="1"/>
  <c r="DD17" i="9" s="1"/>
  <c r="DJ22" i="9" a="1"/>
  <c r="DJ22" i="9" s="1"/>
  <c r="DJ17" i="9" a="1"/>
  <c r="DJ17" i="9" s="1"/>
  <c r="DP17" i="9" a="1"/>
  <c r="DP17" i="9" s="1"/>
  <c r="DA17" i="9" a="1"/>
  <c r="DA17" i="9" s="1"/>
  <c r="EF17" i="9" a="1"/>
  <c r="EF17" i="9" s="1"/>
  <c r="CL22" i="9" a="1"/>
  <c r="CL22" i="9" s="1"/>
  <c r="AH17" i="26"/>
  <c r="CX17" i="9" a="1"/>
  <c r="CX17" i="9" s="1"/>
  <c r="DW17" i="9" a="1"/>
  <c r="DW17" i="9" s="1"/>
  <c r="CK17" i="9" a="1"/>
  <c r="CK17" i="9" s="1"/>
  <c r="ES22" i="9" a="1"/>
  <c r="ES22" i="9" s="1"/>
  <c r="DX17" i="9" a="1"/>
  <c r="DX17" i="9" s="1"/>
  <c r="EV17" i="9" a="1"/>
  <c r="EV17" i="9" s="1"/>
  <c r="FC17" i="9" a="1"/>
  <c r="FC17" i="9" s="1"/>
  <c r="CM22" i="9" a="1"/>
  <c r="CM22" i="9" s="1"/>
  <c r="EQ17" i="9" a="1"/>
  <c r="EQ17" i="9" s="1"/>
  <c r="ER17" i="9" a="1"/>
  <c r="ER17" i="9" s="1"/>
  <c r="FB17" i="9" a="1"/>
  <c r="FB17" i="9" s="1"/>
  <c r="EX22" i="9" a="1"/>
  <c r="EX22" i="9" s="1"/>
  <c r="EL17" i="9" a="1"/>
  <c r="EL17" i="9" s="1"/>
  <c r="DO17" i="9" a="1"/>
  <c r="DO17" i="9" s="1"/>
  <c r="CP17" i="9" a="1"/>
  <c r="CP17" i="9" s="1"/>
  <c r="AG17" i="26"/>
  <c r="ET17" i="9" a="1"/>
  <c r="ET17" i="9" s="1"/>
  <c r="DQ17" i="9" a="1"/>
  <c r="DQ17" i="9" s="1"/>
  <c r="CT17" i="9" a="1"/>
  <c r="CT17" i="9" s="1"/>
  <c r="EH17" i="9" a="1"/>
  <c r="EH17" i="9" s="1"/>
  <c r="AF17" i="26"/>
  <c r="FD17" i="9" a="1"/>
  <c r="FD17" i="9" s="1"/>
  <c r="CS17" i="9" a="1"/>
  <c r="CS17" i="9" s="1"/>
  <c r="CN17" i="9" a="1"/>
  <c r="CN17" i="9" s="1"/>
  <c r="DN17" i="9" a="1"/>
  <c r="DN17" i="9" s="1"/>
  <c r="AE17" i="26"/>
  <c r="CW17" i="9" a="1"/>
  <c r="CW17" i="9" s="1"/>
  <c r="CM17" i="9" a="1"/>
  <c r="CM17" i="9" s="1"/>
  <c r="DG17" i="9" a="1"/>
  <c r="DG17" i="9" s="1"/>
  <c r="DL17" i="9" a="1"/>
  <c r="DL17" i="9" s="1"/>
  <c r="AD17" i="26"/>
  <c r="EI17" i="9" a="1"/>
  <c r="EI17" i="9" s="1"/>
  <c r="DF17" i="9" a="1"/>
  <c r="DF17" i="9" s="1"/>
  <c r="DH17" i="9" a="1"/>
  <c r="DH17" i="9" s="1"/>
  <c r="CU17" i="9" a="1"/>
  <c r="CU17" i="9" s="1"/>
  <c r="AC17" i="26"/>
  <c r="CL17" i="9" a="1"/>
  <c r="CL17" i="9" s="1"/>
  <c r="EY17" i="9" a="1"/>
  <c r="EY17" i="9" s="1"/>
  <c r="DV17" i="9" a="1"/>
  <c r="DV17" i="9" s="1"/>
  <c r="EX17" i="9" a="1"/>
  <c r="EX17" i="9" s="1"/>
  <c r="CZ17" i="9" a="1"/>
  <c r="CZ17" i="9" s="1"/>
  <c r="DE17" i="9" a="1"/>
  <c r="DE17" i="9" s="1"/>
  <c r="ED17" i="9" a="1"/>
  <c r="ED17" i="9" s="1"/>
  <c r="V18" i="26"/>
  <c r="AH18" i="26"/>
  <c r="AF18" i="26"/>
  <c r="AD18" i="26"/>
  <c r="AG18" i="26"/>
  <c r="AB18" i="26"/>
  <c r="AA18" i="26"/>
  <c r="DM18" i="9" a="1"/>
  <c r="DM18" i="9" s="1"/>
  <c r="DE18" i="9" a="1"/>
  <c r="DE18" i="9" s="1"/>
  <c r="EJ18" i="9" a="1"/>
  <c r="EJ18" i="9" s="1"/>
  <c r="DK18" i="9" a="1"/>
  <c r="DK18" i="9" s="1"/>
  <c r="EB18" i="9" a="1"/>
  <c r="EB18" i="9" s="1"/>
  <c r="EV19" i="9" a="1"/>
  <c r="EV19" i="9" s="1"/>
  <c r="EK18" i="9" a="1"/>
  <c r="EK18" i="9" s="1"/>
  <c r="DN18" i="9" a="1"/>
  <c r="DN18" i="9" s="1"/>
  <c r="EN18" i="9" a="1"/>
  <c r="EN18" i="9" s="1"/>
  <c r="DZ18" i="9" a="1"/>
  <c r="DZ18" i="9" s="1"/>
  <c r="EH18" i="9" a="1"/>
  <c r="EH18" i="9" s="1"/>
  <c r="DA19" i="9" a="1"/>
  <c r="DA19" i="9" s="1"/>
  <c r="DS22" i="9" a="1"/>
  <c r="DS22" i="9" s="1"/>
  <c r="FD22" i="9" a="1"/>
  <c r="FD22" i="9" s="1"/>
  <c r="DI17" i="9" a="1"/>
  <c r="DI17" i="9" s="1"/>
  <c r="CI17" i="9" a="1"/>
  <c r="CI17" i="9" s="1"/>
  <c r="FF17" i="9" a="1"/>
  <c r="FF17" i="9" s="1"/>
  <c r="EA17" i="9" a="1"/>
  <c r="EA17" i="9" s="1"/>
  <c r="CV17" i="9" a="1"/>
  <c r="CV17" i="9" s="1"/>
  <c r="CQ18" i="9" a="1"/>
  <c r="CQ18" i="9" s="1"/>
  <c r="CS18" i="9" a="1"/>
  <c r="CS18" i="9" s="1"/>
  <c r="CY18" i="9" a="1"/>
  <c r="CY18" i="9" s="1"/>
  <c r="DY18" i="9" a="1"/>
  <c r="DY18" i="9" s="1"/>
  <c r="CL18" i="9" a="1"/>
  <c r="CL18" i="9" s="1"/>
  <c r="DI19" i="9" a="1"/>
  <c r="DI19" i="9" s="1"/>
  <c r="DD22" i="9" a="1"/>
  <c r="DD22" i="9" s="1"/>
  <c r="EN22" i="9" a="1"/>
  <c r="EN22" i="9" s="1"/>
  <c r="CU18" i="9" a="1"/>
  <c r="CU18" i="9" s="1"/>
  <c r="CI18" i="9" a="1"/>
  <c r="CI18" i="9" s="1"/>
  <c r="FA18" i="9" a="1"/>
  <c r="FA18" i="9" s="1"/>
  <c r="DI18" i="9" a="1"/>
  <c r="DI18" i="9" s="1"/>
  <c r="DA18" i="9" a="1"/>
  <c r="DA18" i="9" s="1"/>
  <c r="FF19" i="9" a="1"/>
  <c r="FF19" i="9" s="1"/>
  <c r="DP22" i="9" a="1"/>
  <c r="DP22" i="9" s="1"/>
  <c r="DB22" i="9" a="1"/>
  <c r="DB22" i="9" s="1"/>
  <c r="DC18" i="9" a="1"/>
  <c r="DC18" i="9" s="1"/>
  <c r="CR18" i="9" a="1"/>
  <c r="CR18" i="9" s="1"/>
  <c r="DV18" i="9" a="1"/>
  <c r="DV18" i="9" s="1"/>
  <c r="DL18" i="9" a="1"/>
  <c r="DL18" i="9" s="1"/>
  <c r="CV18" i="9" a="1"/>
  <c r="CV18" i="9" s="1"/>
  <c r="FB19" i="9" a="1"/>
  <c r="FB19" i="9" s="1"/>
  <c r="DF22" i="9" a="1"/>
  <c r="DF22" i="9" s="1"/>
  <c r="DM22" i="9" a="1"/>
  <c r="DM22" i="9" s="1"/>
  <c r="EP18" i="9" a="1"/>
  <c r="EP18" i="9" s="1"/>
  <c r="EW18" i="9" a="1"/>
  <c r="EW18" i="9" s="1"/>
  <c r="CY19" i="9" a="1"/>
  <c r="CY19" i="9" s="1"/>
  <c r="ET18" i="9" a="1"/>
  <c r="ET18" i="9" s="1"/>
  <c r="EA18" i="9" a="1"/>
  <c r="EA18" i="9" s="1"/>
  <c r="DB18" i="9" a="1"/>
  <c r="DB18" i="9" s="1"/>
  <c r="CW18" i="9" a="1"/>
  <c r="CW18" i="9" s="1"/>
  <c r="CQ19" i="9" a="1"/>
  <c r="CQ19" i="9" s="1"/>
  <c r="EZ22" i="9" a="1"/>
  <c r="EZ22" i="9" s="1"/>
  <c r="DX22" i="9" a="1"/>
  <c r="DX22" i="9" s="1"/>
  <c r="DC17" i="9" a="1"/>
  <c r="DC17" i="9" s="1"/>
  <c r="DM17" i="9" a="1"/>
  <c r="DM17" i="9" s="1"/>
  <c r="DS17" i="9" a="1"/>
  <c r="DS17" i="9" s="1"/>
  <c r="DT17" i="9" a="1"/>
  <c r="DT17" i="9" s="1"/>
  <c r="ES17" i="9" a="1"/>
  <c r="ES17" i="9" s="1"/>
  <c r="FG18" i="9" a="1"/>
  <c r="FG18" i="9" s="1"/>
  <c r="DS18" i="9" a="1"/>
  <c r="DS18" i="9" s="1"/>
  <c r="DR18" i="9" a="1"/>
  <c r="DR18" i="9" s="1"/>
  <c r="CN18" i="9" a="1"/>
  <c r="CN18" i="9" s="1"/>
  <c r="EV18" i="9" a="1"/>
  <c r="EV18" i="9" s="1"/>
  <c r="CL19" i="9" a="1"/>
  <c r="CL19" i="9" s="1"/>
  <c r="EH19" i="9" a="1"/>
  <c r="EH19" i="9" s="1"/>
  <c r="CO22" i="9" a="1"/>
  <c r="CO22" i="9" s="1"/>
  <c r="EP22" i="9" a="1"/>
  <c r="EP22" i="9" s="1"/>
  <c r="EZ18" i="9" a="1"/>
  <c r="EZ18" i="9" s="1"/>
  <c r="DE19" i="9" a="1"/>
  <c r="DE19" i="9" s="1"/>
  <c r="DT18" i="9" a="1"/>
  <c r="DT18" i="9" s="1"/>
  <c r="EJ19" i="9" a="1"/>
  <c r="EJ19" i="9" s="1"/>
  <c r="CH17" i="9"/>
  <c r="EE17" i="9" a="1"/>
  <c r="EE17" i="9" s="1"/>
  <c r="CO17" i="9" a="1"/>
  <c r="CO17" i="9" s="1"/>
  <c r="EB17" i="9" a="1"/>
  <c r="EB17" i="9" s="1"/>
  <c r="EP17" i="9" a="1"/>
  <c r="EP17" i="9" s="1"/>
  <c r="CK18" i="9" a="1"/>
  <c r="CK18" i="9" s="1"/>
  <c r="CJ18" i="9" a="1"/>
  <c r="CJ18" i="9" s="1"/>
  <c r="FB18" i="9" a="1"/>
  <c r="FB18" i="9" s="1"/>
  <c r="DW18" i="9" a="1"/>
  <c r="DW18" i="9" s="1"/>
  <c r="EY18" i="9" a="1"/>
  <c r="EY18" i="9" s="1"/>
  <c r="EM19" i="9" a="1"/>
  <c r="EM19" i="9" s="1"/>
  <c r="CV19" i="9" a="1"/>
  <c r="CV19" i="9" s="1"/>
  <c r="DG22" i="9" a="1"/>
  <c r="DG22" i="9" s="1"/>
  <c r="DZ22" i="9" a="1"/>
  <c r="DZ22" i="9" s="1"/>
  <c r="EC18" i="9" a="1"/>
  <c r="EC18" i="9" s="1"/>
  <c r="EO18" i="9" a="1"/>
  <c r="EO18" i="9" s="1"/>
  <c r="EN19" i="9" a="1"/>
  <c r="EN19" i="9" s="1"/>
  <c r="CK22" i="9" a="1"/>
  <c r="CK22" i="9" s="1"/>
  <c r="DL22" i="9" a="1"/>
  <c r="DL22" i="9" s="1"/>
  <c r="EQ18" i="9" a="1"/>
  <c r="EQ18" i="9" s="1"/>
  <c r="DO18" i="9" a="1"/>
  <c r="DO18" i="9" s="1"/>
  <c r="CO18" i="9" a="1"/>
  <c r="CO18" i="9" s="1"/>
  <c r="CI19" i="9" a="1"/>
  <c r="CI19" i="9" s="1"/>
  <c r="EL22" i="9" a="1"/>
  <c r="EL22" i="9" s="1"/>
  <c r="EF22" i="9" a="1"/>
  <c r="EF22" i="9" s="1"/>
  <c r="CJ17" i="9" a="1"/>
  <c r="CJ17" i="9" s="1"/>
  <c r="DZ17" i="9" a="1"/>
  <c r="DZ17" i="9" s="1"/>
  <c r="EC17" i="9" a="1"/>
  <c r="EC17" i="9" s="1"/>
  <c r="DK17" i="9" a="1"/>
  <c r="DK17" i="9" s="1"/>
  <c r="EW17" i="9" a="1"/>
  <c r="EW17" i="9" s="1"/>
  <c r="CT18" i="9" a="1"/>
  <c r="CT18" i="9" s="1"/>
  <c r="ER18" i="9" a="1"/>
  <c r="ER18" i="9" s="1"/>
  <c r="EM18" i="9" a="1"/>
  <c r="EM18" i="9" s="1"/>
  <c r="EF18" i="9" a="1"/>
  <c r="EF18" i="9" s="1"/>
  <c r="DG18" i="9" a="1"/>
  <c r="DG18" i="9" s="1"/>
  <c r="CR19" i="9" a="1"/>
  <c r="CR19" i="9" s="1"/>
  <c r="DJ19" i="9" a="1"/>
  <c r="DJ19" i="9" s="1"/>
  <c r="EG22" i="9" a="1"/>
  <c r="EG22" i="9" s="1"/>
  <c r="EK22" i="9" a="1"/>
  <c r="EK22" i="9" s="1"/>
  <c r="DU18" i="9" a="1"/>
  <c r="DU18" i="9" s="1"/>
  <c r="EL18" i="9" a="1"/>
  <c r="EL18" i="9" s="1"/>
  <c r="FD18" i="9" a="1"/>
  <c r="FD18" i="9" s="1"/>
  <c r="EG18" i="9" a="1"/>
  <c r="EG18" i="9" s="1"/>
  <c r="EE18" i="9" a="1"/>
  <c r="EE18" i="9" s="1"/>
  <c r="EU17" i="9" a="1"/>
  <c r="EU17" i="9" s="1"/>
  <c r="DR17" i="9" a="1"/>
  <c r="DR17" i="9" s="1"/>
  <c r="EM17" i="9" a="1"/>
  <c r="EM17" i="9" s="1"/>
  <c r="EO17" i="9" a="1"/>
  <c r="EO17" i="9" s="1"/>
  <c r="CM18" i="9" a="1"/>
  <c r="CM18" i="9" s="1"/>
  <c r="DH18" i="9" a="1"/>
  <c r="DH18" i="9" s="1"/>
  <c r="DP18" i="9" a="1"/>
  <c r="DP18" i="9" s="1"/>
  <c r="FE18" i="9" a="1"/>
  <c r="FE18" i="9" s="1"/>
  <c r="DJ18" i="9" a="1"/>
  <c r="DJ18" i="9" s="1"/>
  <c r="DQ19" i="9" a="1"/>
  <c r="DQ19" i="9" s="1"/>
  <c r="DM19" i="9" a="1"/>
  <c r="DM19" i="9" s="1"/>
  <c r="DV22" i="9" a="1"/>
  <c r="DV22" i="9" s="1"/>
  <c r="ER22" i="9" a="1"/>
  <c r="ER22" i="9" s="1"/>
  <c r="ES18" i="9" a="1"/>
  <c r="ES18" i="9" s="1"/>
  <c r="FE22" i="9" a="1"/>
  <c r="FE22" i="9" s="1"/>
  <c r="DH22" i="9" a="1"/>
  <c r="DH22" i="9" s="1"/>
  <c r="EU22" i="9" a="1"/>
  <c r="EU22" i="9" s="1"/>
  <c r="CX18" i="9" a="1"/>
  <c r="CX18" i="9" s="1"/>
  <c r="EI18" i="9" a="1"/>
  <c r="EI18" i="9" s="1"/>
  <c r="CZ18" i="9" a="1"/>
  <c r="CZ18" i="9" s="1"/>
  <c r="EU18" i="9" a="1"/>
  <c r="EU18" i="9" s="1"/>
  <c r="DR19" i="9" a="1"/>
  <c r="DR19" i="9" s="1"/>
  <c r="EQ19" i="9" a="1"/>
  <c r="EQ19" i="9" s="1"/>
  <c r="DX18" i="9" a="1"/>
  <c r="DX18" i="9" s="1"/>
  <c r="EX18" i="9" a="1"/>
  <c r="EX18" i="9" s="1"/>
  <c r="ED18" i="9" a="1"/>
  <c r="ED18" i="9" s="1"/>
  <c r="DD18" i="9" a="1"/>
  <c r="DD18" i="9" s="1"/>
  <c r="CP18" i="9" a="1"/>
  <c r="CP18" i="9" s="1"/>
  <c r="CZ19" i="9" a="1"/>
  <c r="CZ19" i="9" s="1"/>
  <c r="EL19" i="9" a="1"/>
  <c r="EL19" i="9" s="1"/>
  <c r="FC18" i="9" a="1"/>
  <c r="FC18" i="9" s="1"/>
  <c r="FF18" i="9" a="1"/>
  <c r="FF18" i="9" s="1"/>
  <c r="DF18" i="9" a="1"/>
  <c r="DF18" i="9" s="1"/>
  <c r="CH18" i="9"/>
  <c r="FE19" i="9" a="1"/>
  <c r="FE19" i="9" s="1"/>
  <c r="DQ22" i="9" a="1"/>
  <c r="DQ22" i="9" s="1"/>
  <c r="CZ22" i="9" a="1"/>
  <c r="CZ22" i="9" s="1"/>
  <c r="EV22" i="9" a="1"/>
  <c r="EV22" i="9" s="1"/>
  <c r="AE20" i="26"/>
  <c r="Z18" i="26"/>
  <c r="V20" i="26"/>
  <c r="X18" i="26"/>
  <c r="W18" i="26"/>
  <c r="AF20" i="26"/>
  <c r="W20" i="26"/>
  <c r="EW19" i="9" a="1"/>
  <c r="EW19" i="9" s="1"/>
  <c r="CT19" i="9" a="1"/>
  <c r="CT19" i="9" s="1"/>
  <c r="DC19" i="9" a="1"/>
  <c r="DC19" i="9" s="1"/>
  <c r="EZ19" i="9" a="1"/>
  <c r="EZ19" i="9" s="1"/>
  <c r="FC19" i="9" a="1"/>
  <c r="FC19" i="9" s="1"/>
  <c r="EB22" i="9" a="1"/>
  <c r="EB22" i="9" s="1"/>
  <c r="EM22" i="9" a="1"/>
  <c r="EM22" i="9" s="1"/>
  <c r="EQ22" i="9" a="1"/>
  <c r="EQ22" i="9" s="1"/>
  <c r="CP22" i="9" a="1"/>
  <c r="CP22" i="9" s="1"/>
  <c r="DW22" i="9" a="1"/>
  <c r="DW22" i="9" s="1"/>
  <c r="AH20" i="26"/>
  <c r="FG19" i="9" a="1"/>
  <c r="FG19" i="9" s="1"/>
  <c r="FD19" i="9" a="1"/>
  <c r="FD19" i="9" s="1"/>
  <c r="CP19" i="9" a="1"/>
  <c r="CP19" i="9" s="1"/>
  <c r="DT19" i="9" a="1"/>
  <c r="DT19" i="9" s="1"/>
  <c r="EE22" i="9" a="1"/>
  <c r="EE22" i="9" s="1"/>
  <c r="ED22" i="9" a="1"/>
  <c r="ED22" i="9" s="1"/>
  <c r="DT22" i="9" a="1"/>
  <c r="DT22" i="9" s="1"/>
  <c r="EY22" i="9" a="1"/>
  <c r="EY22" i="9" s="1"/>
  <c r="EC22" i="9" a="1"/>
  <c r="EC22" i="9" s="1"/>
  <c r="AG20" i="26"/>
  <c r="FA19" i="9" a="1"/>
  <c r="FA19" i="9" s="1"/>
  <c r="CM19" i="9" a="1"/>
  <c r="CM19" i="9" s="1"/>
  <c r="DH19" i="9" a="1"/>
  <c r="DH19" i="9" s="1"/>
  <c r="CN19" i="9" a="1"/>
  <c r="CN19" i="9" s="1"/>
  <c r="CO19" i="9" a="1"/>
  <c r="CO19" i="9" s="1"/>
  <c r="CH22" i="9"/>
  <c r="CS22" i="9" a="1"/>
  <c r="CS22" i="9" s="1"/>
  <c r="CX22" i="9" a="1"/>
  <c r="CX22" i="9" s="1"/>
  <c r="EA22" i="9" a="1"/>
  <c r="EA22" i="9" s="1"/>
  <c r="DN22" i="9" a="1"/>
  <c r="DN22" i="9" s="1"/>
  <c r="AD20" i="26"/>
  <c r="DX19" i="9" a="1"/>
  <c r="DX19" i="9" s="1"/>
  <c r="EF19" i="9" a="1"/>
  <c r="EF19" i="9" s="1"/>
  <c r="DV19" i="9" a="1"/>
  <c r="DV19" i="9" s="1"/>
  <c r="DN19" i="9" a="1"/>
  <c r="DN19" i="9" s="1"/>
  <c r="CJ19" i="9" a="1"/>
  <c r="CJ19" i="9" s="1"/>
  <c r="DE22" i="9" a="1"/>
  <c r="DE22" i="9" s="1"/>
  <c r="DU22" i="9" a="1"/>
  <c r="DU22" i="9" s="1"/>
  <c r="EI22" i="9" a="1"/>
  <c r="EI22" i="9" s="1"/>
  <c r="DA22" i="9" a="1"/>
  <c r="DA22" i="9" s="1"/>
  <c r="EJ22" i="9" a="1"/>
  <c r="EJ22" i="9" s="1"/>
  <c r="CH19" i="9"/>
  <c r="EU19" i="9" a="1"/>
  <c r="EU19" i="9" s="1"/>
  <c r="ER19" i="9" a="1"/>
  <c r="ER19" i="9" s="1"/>
  <c r="EX19" i="9" a="1"/>
  <c r="EX19" i="9" s="1"/>
  <c r="DP19" i="9" a="1"/>
  <c r="DP19" i="9" s="1"/>
  <c r="EH22" i="9" a="1"/>
  <c r="EH22" i="9" s="1"/>
  <c r="EO22" i="9" a="1"/>
  <c r="EO22" i="9" s="1"/>
  <c r="DK22" i="9" a="1"/>
  <c r="DK22" i="9" s="1"/>
  <c r="CQ22" i="9" a="1"/>
  <c r="CQ22" i="9" s="1"/>
  <c r="CR22" i="9" a="1"/>
  <c r="CR22" i="9" s="1"/>
  <c r="V41" i="23"/>
  <c r="X41" i="23" s="1"/>
  <c r="AE18" i="26"/>
  <c r="DK19" i="9" a="1"/>
  <c r="DK19" i="9" s="1"/>
  <c r="CS19" i="9" a="1"/>
  <c r="CS19" i="9" s="1"/>
  <c r="EA19" i="9" a="1"/>
  <c r="EA19" i="9" s="1"/>
  <c r="EP19" i="9" a="1"/>
  <c r="EP19" i="9" s="1"/>
  <c r="DW19" i="9" a="1"/>
  <c r="DW19" i="9" s="1"/>
  <c r="AC20" i="26"/>
  <c r="EC19" i="9" a="1"/>
  <c r="EC19" i="9" s="1"/>
  <c r="DG19" i="9" a="1"/>
  <c r="DG19" i="9" s="1"/>
  <c r="DD19" i="9" a="1"/>
  <c r="DD19" i="9" s="1"/>
  <c r="DL19" i="9" a="1"/>
  <c r="DL19" i="9" s="1"/>
  <c r="DB19" i="9" a="1"/>
  <c r="DB19" i="9" s="1"/>
  <c r="CJ22" i="9" a="1"/>
  <c r="CJ22" i="9" s="1"/>
  <c r="FC22" i="9" a="1"/>
  <c r="FC22" i="9" s="1"/>
  <c r="DY22" i="9" a="1"/>
  <c r="DY22" i="9" s="1"/>
  <c r="DI22" i="9" a="1"/>
  <c r="DI22" i="9" s="1"/>
  <c r="FB22" i="9" a="1"/>
  <c r="FB22" i="9" s="1"/>
  <c r="AB20" i="26"/>
  <c r="AA20" i="26"/>
  <c r="CK19" i="9" a="1"/>
  <c r="CK19" i="9" s="1"/>
  <c r="DO19" i="9" a="1"/>
  <c r="DO19" i="9" s="1"/>
  <c r="DS19" i="9" a="1"/>
  <c r="DS19" i="9" s="1"/>
  <c r="EB19" i="9" a="1"/>
  <c r="EB19" i="9" s="1"/>
  <c r="CU19" i="9" a="1"/>
  <c r="CU19" i="9" s="1"/>
  <c r="DU19" i="9" a="1"/>
  <c r="DU19" i="9" s="1"/>
  <c r="CW22" i="9" a="1"/>
  <c r="CW22" i="9" s="1"/>
  <c r="DR22" i="9" a="1"/>
  <c r="DR22" i="9" s="1"/>
  <c r="EW22" i="9" a="1"/>
  <c r="EW22" i="9" s="1"/>
  <c r="DC22" i="9" a="1"/>
  <c r="DC22" i="9" s="1"/>
  <c r="CI22" i="9" a="1"/>
  <c r="CI22" i="9" s="1"/>
  <c r="Z20" i="26"/>
  <c r="DY19" i="9" a="1"/>
  <c r="DY19" i="9" s="1"/>
  <c r="ED19" i="9" a="1"/>
  <c r="ED19" i="9" s="1"/>
  <c r="DF19" i="9" a="1"/>
  <c r="DF19" i="9" s="1"/>
  <c r="EO19" i="9" a="1"/>
  <c r="EO19" i="9" s="1"/>
  <c r="EG19" i="9" a="1"/>
  <c r="EG19" i="9" s="1"/>
  <c r="EY19" i="9" a="1"/>
  <c r="EY19" i="9" s="1"/>
  <c r="CX19" i="9" a="1"/>
  <c r="CX19" i="9" s="1"/>
  <c r="CN22" i="9" a="1"/>
  <c r="CN22" i="9" s="1"/>
  <c r="FA22" i="9" a="1"/>
  <c r="FA22" i="9" s="1"/>
  <c r="FG22" i="9" a="1"/>
  <c r="FG22" i="9" s="1"/>
  <c r="DO22" i="9" a="1"/>
  <c r="DO22" i="9" s="1"/>
  <c r="Y20" i="26"/>
  <c r="EI19" i="9" a="1"/>
  <c r="EI19" i="9" s="1"/>
  <c r="EE19" i="9" a="1"/>
  <c r="EE19" i="9" s="1"/>
  <c r="ET19" i="9" a="1"/>
  <c r="ET19" i="9" s="1"/>
  <c r="DZ19" i="9" a="1"/>
  <c r="DZ19" i="9" s="1"/>
  <c r="EK19" i="9" a="1"/>
  <c r="EK19" i="9" s="1"/>
  <c r="CW19" i="9" a="1"/>
  <c r="CW19" i="9" s="1"/>
  <c r="FF22" i="9" a="1"/>
  <c r="FF22" i="9" s="1"/>
  <c r="CY22" i="9" a="1"/>
  <c r="CY22" i="9" s="1"/>
  <c r="CT22" i="9" a="1"/>
  <c r="CT22" i="9" s="1"/>
  <c r="AR15" i="12"/>
  <c r="AN15" i="12"/>
  <c r="AH16" i="12"/>
  <c r="AW16" i="12"/>
  <c r="AU16" i="12"/>
  <c r="AS16" i="12"/>
  <c r="AQ16" i="12"/>
  <c r="AI16" i="12"/>
  <c r="AO16" i="12"/>
  <c r="AI11" i="14"/>
  <c r="AY11" i="14"/>
  <c r="AJ11" i="14"/>
  <c r="AZ11" i="14"/>
  <c r="AK11" i="14"/>
  <c r="BA11" i="14"/>
  <c r="AL11" i="14"/>
  <c r="BB11" i="14"/>
  <c r="AM11" i="14"/>
  <c r="BC11" i="14"/>
  <c r="AN11" i="14"/>
  <c r="AO11" i="14"/>
  <c r="AP11" i="14"/>
  <c r="AQ11" i="14"/>
  <c r="AR11" i="14"/>
  <c r="AS11" i="14"/>
  <c r="AT11" i="14"/>
  <c r="AU11" i="14"/>
  <c r="AV11" i="14"/>
  <c r="AW11" i="14"/>
  <c r="AH11" i="14"/>
  <c r="AX11" i="14"/>
  <c r="AO10" i="14"/>
  <c r="AP10" i="14"/>
  <c r="AQ10" i="14"/>
  <c r="AR10" i="14"/>
  <c r="AS10" i="14"/>
  <c r="AT10" i="14"/>
  <c r="AU10" i="14"/>
  <c r="AV10" i="14"/>
  <c r="AW10" i="14"/>
  <c r="AH10" i="14"/>
  <c r="AX10" i="14"/>
  <c r="AI10" i="14"/>
  <c r="AY10" i="14"/>
  <c r="AJ10" i="14"/>
  <c r="AZ10" i="14"/>
  <c r="AK10" i="14"/>
  <c r="BA10" i="14"/>
  <c r="AL10" i="14"/>
  <c r="BB10" i="14"/>
  <c r="AM10" i="14"/>
  <c r="BC10" i="14"/>
  <c r="AN10" i="14"/>
  <c r="AU17" i="14"/>
  <c r="AV17" i="14"/>
  <c r="AW17" i="14"/>
  <c r="AH17" i="14"/>
  <c r="AX17" i="14"/>
  <c r="AI17" i="14"/>
  <c r="AY17" i="14"/>
  <c r="AJ17" i="14"/>
  <c r="AZ17" i="14"/>
  <c r="AK17" i="14"/>
  <c r="BA17" i="14"/>
  <c r="AL17" i="14"/>
  <c r="BB17" i="14"/>
  <c r="AM17" i="14"/>
  <c r="BC17" i="14"/>
  <c r="AN17" i="14"/>
  <c r="AO17" i="14"/>
  <c r="AP17" i="14"/>
  <c r="AQ17" i="14"/>
  <c r="AR17" i="14"/>
  <c r="AS17" i="14"/>
  <c r="AT17" i="14"/>
  <c r="AU9" i="14"/>
  <c r="AV9" i="14"/>
  <c r="AW9" i="14"/>
  <c r="AH9" i="14"/>
  <c r="AX9" i="14"/>
  <c r="AI9" i="14"/>
  <c r="AY9" i="14"/>
  <c r="AJ9" i="14"/>
  <c r="AZ9" i="14"/>
  <c r="AK9" i="14"/>
  <c r="BA9" i="14"/>
  <c r="AL9" i="14"/>
  <c r="BB9" i="14"/>
  <c r="AM9" i="14"/>
  <c r="BC9" i="14"/>
  <c r="AN9" i="14"/>
  <c r="AO9" i="14"/>
  <c r="AP9" i="14"/>
  <c r="AQ9" i="14"/>
  <c r="AR9" i="14"/>
  <c r="AS9" i="14"/>
  <c r="AT9" i="14"/>
  <c r="AS12" i="14"/>
  <c r="AT12" i="14"/>
  <c r="AU12" i="14"/>
  <c r="AV12" i="14"/>
  <c r="AW12" i="14"/>
  <c r="AH12" i="14"/>
  <c r="AX12" i="14"/>
  <c r="AI12" i="14"/>
  <c r="AY12" i="14"/>
  <c r="AJ12" i="14"/>
  <c r="AZ12" i="14"/>
  <c r="AK12" i="14"/>
  <c r="BA12" i="14"/>
  <c r="AL12" i="14"/>
  <c r="BB12" i="14"/>
  <c r="AM12" i="14"/>
  <c r="BC12" i="14"/>
  <c r="AN12" i="14"/>
  <c r="AO12" i="14"/>
  <c r="AP12" i="14"/>
  <c r="AQ12" i="14"/>
  <c r="AR12" i="14"/>
  <c r="AW6" i="14"/>
  <c r="AH6" i="14"/>
  <c r="AX6" i="14"/>
  <c r="AI6" i="14"/>
  <c r="AY6" i="14"/>
  <c r="AJ6" i="14"/>
  <c r="AZ6" i="14"/>
  <c r="AK6" i="14"/>
  <c r="BA6" i="14"/>
  <c r="AL6" i="14"/>
  <c r="BB6" i="14"/>
  <c r="AM6" i="14"/>
  <c r="BC6" i="14"/>
  <c r="AN6" i="14"/>
  <c r="AO6" i="14"/>
  <c r="AP6" i="14"/>
  <c r="AQ6" i="14"/>
  <c r="AR6" i="14"/>
  <c r="AS6" i="14"/>
  <c r="AT6" i="14"/>
  <c r="AU6" i="14"/>
  <c r="AV6" i="14"/>
  <c r="AM13" i="14"/>
  <c r="BC13" i="14"/>
  <c r="AN13" i="14"/>
  <c r="AO13" i="14"/>
  <c r="AP13" i="14"/>
  <c r="AQ13" i="14"/>
  <c r="AR13" i="14"/>
  <c r="AS13" i="14"/>
  <c r="AT13" i="14"/>
  <c r="AU13" i="14"/>
  <c r="AV13" i="14"/>
  <c r="AW13" i="14"/>
  <c r="AH13" i="14"/>
  <c r="AX13" i="14"/>
  <c r="AI13" i="14"/>
  <c r="AY13" i="14"/>
  <c r="AJ13" i="14"/>
  <c r="AZ13" i="14"/>
  <c r="AK13" i="14"/>
  <c r="BA13" i="14"/>
  <c r="AL13" i="14"/>
  <c r="BB13" i="14"/>
  <c r="AI19" i="14"/>
  <c r="AY19" i="14"/>
  <c r="AJ19" i="14"/>
  <c r="AZ19" i="14"/>
  <c r="AK19" i="14"/>
  <c r="BA19" i="14"/>
  <c r="AL19" i="14"/>
  <c r="BB19" i="14"/>
  <c r="AM19" i="14"/>
  <c r="BC19" i="14"/>
  <c r="AN19" i="14"/>
  <c r="AO19" i="14"/>
  <c r="AP19" i="14"/>
  <c r="AQ19" i="14"/>
  <c r="AR19" i="14"/>
  <c r="AS19" i="14"/>
  <c r="AT19" i="14"/>
  <c r="AU19" i="14"/>
  <c r="AV19" i="14"/>
  <c r="AW19" i="14"/>
  <c r="AH19" i="14"/>
  <c r="AX19" i="14"/>
  <c r="AQ15" i="14"/>
  <c r="AR15" i="14"/>
  <c r="AS15" i="14"/>
  <c r="AT15" i="14"/>
  <c r="AU15" i="14"/>
  <c r="AV15" i="14"/>
  <c r="AW15" i="14"/>
  <c r="AH15" i="14"/>
  <c r="AX15" i="14"/>
  <c r="AI15" i="14"/>
  <c r="AY15" i="14"/>
  <c r="AJ15" i="14"/>
  <c r="AZ15" i="14"/>
  <c r="AK15" i="14"/>
  <c r="BA15" i="14"/>
  <c r="AL15" i="14"/>
  <c r="BB15" i="14"/>
  <c r="AM15" i="14"/>
  <c r="BC15" i="14"/>
  <c r="AN15" i="14"/>
  <c r="AO15" i="14"/>
  <c r="AP15" i="14"/>
  <c r="AO18" i="14"/>
  <c r="AP18" i="14"/>
  <c r="AQ18" i="14"/>
  <c r="AR18" i="14"/>
  <c r="AS18" i="14"/>
  <c r="AT18" i="14"/>
  <c r="AU18" i="14"/>
  <c r="AV18" i="14"/>
  <c r="AW18" i="14"/>
  <c r="AH18" i="14"/>
  <c r="AX18" i="14"/>
  <c r="AI18" i="14"/>
  <c r="AY18" i="14"/>
  <c r="AJ18" i="14"/>
  <c r="AZ18" i="14"/>
  <c r="AK18" i="14"/>
  <c r="BA18" i="14"/>
  <c r="AL18" i="14"/>
  <c r="BB18" i="14"/>
  <c r="AM18" i="14"/>
  <c r="BC18" i="14"/>
  <c r="AN18" i="14"/>
  <c r="AW14" i="14"/>
  <c r="AH14" i="14"/>
  <c r="AX14" i="14"/>
  <c r="AI14" i="14"/>
  <c r="AY14" i="14"/>
  <c r="AJ14" i="14"/>
  <c r="AZ14" i="14"/>
  <c r="AK14" i="14"/>
  <c r="BA14" i="14"/>
  <c r="AL14" i="14"/>
  <c r="BB14" i="14"/>
  <c r="AM14" i="14"/>
  <c r="BC14" i="14"/>
  <c r="AN14" i="14"/>
  <c r="AO14" i="14"/>
  <c r="AP14" i="14"/>
  <c r="AQ14" i="14"/>
  <c r="AR14" i="14"/>
  <c r="AS14" i="14"/>
  <c r="AT14" i="14"/>
  <c r="AU14" i="14"/>
  <c r="AV14" i="14"/>
  <c r="AK16" i="14"/>
  <c r="BA16" i="14"/>
  <c r="AL16" i="14"/>
  <c r="BB16" i="14"/>
  <c r="AM16" i="14"/>
  <c r="BC16" i="14"/>
  <c r="AN16" i="14"/>
  <c r="AO16" i="14"/>
  <c r="AP16" i="14"/>
  <c r="AQ16" i="14"/>
  <c r="AR16" i="14"/>
  <c r="AS16" i="14"/>
  <c r="AT16" i="14"/>
  <c r="AU16" i="14"/>
  <c r="AV16" i="14"/>
  <c r="AW16" i="14"/>
  <c r="AH16" i="14"/>
  <c r="AX16" i="14"/>
  <c r="AI16" i="14"/>
  <c r="AY16" i="14"/>
  <c r="AJ16" i="14"/>
  <c r="AZ16" i="14"/>
  <c r="AK8" i="14"/>
  <c r="BA8" i="14"/>
  <c r="AL8" i="14"/>
  <c r="BB8" i="14"/>
  <c r="AM8" i="14"/>
  <c r="BC8" i="14"/>
  <c r="AN8" i="14"/>
  <c r="AO8" i="14"/>
  <c r="AP8" i="14"/>
  <c r="AQ8" i="14"/>
  <c r="AR8" i="14"/>
  <c r="AS8" i="14"/>
  <c r="AT8" i="14"/>
  <c r="AU8" i="14"/>
  <c r="AV8" i="14"/>
  <c r="AW8" i="14"/>
  <c r="AH8" i="14"/>
  <c r="AX8" i="14"/>
  <c r="AI8" i="14"/>
  <c r="AY8" i="14"/>
  <c r="AJ8" i="14"/>
  <c r="AZ8" i="14"/>
  <c r="AQ7" i="14"/>
  <c r="AR7" i="14"/>
  <c r="AS7" i="14"/>
  <c r="AT7" i="14"/>
  <c r="AU7" i="14"/>
  <c r="AV7" i="14"/>
  <c r="AW7" i="14"/>
  <c r="AH7" i="14"/>
  <c r="AX7" i="14"/>
  <c r="AI7" i="14"/>
  <c r="AY7" i="14"/>
  <c r="AJ7" i="14"/>
  <c r="AZ7" i="14"/>
  <c r="AK7" i="14"/>
  <c r="BA7" i="14"/>
  <c r="AL7" i="14"/>
  <c r="BB7" i="14"/>
  <c r="AM7" i="14"/>
  <c r="BC7" i="14"/>
  <c r="AN7" i="14"/>
  <c r="AO7" i="14"/>
  <c r="AP7" i="14"/>
  <c r="AQ19" i="13"/>
  <c r="AR19" i="13"/>
  <c r="AS19" i="13"/>
  <c r="AT19" i="13"/>
  <c r="AU19" i="13"/>
  <c r="AF19" i="13"/>
  <c r="AV19" i="13"/>
  <c r="AG19" i="13"/>
  <c r="AW19" i="13"/>
  <c r="AH19" i="13"/>
  <c r="AX19" i="13"/>
  <c r="AI19" i="13"/>
  <c r="AJ19" i="13"/>
  <c r="AN19" i="13"/>
  <c r="AO19" i="13"/>
  <c r="AK19" i="13"/>
  <c r="AL19" i="13"/>
  <c r="AM19" i="13"/>
  <c r="AP19" i="13"/>
  <c r="AR8" i="13"/>
  <c r="AS8" i="13"/>
  <c r="AH8" i="13"/>
  <c r="AT8" i="13"/>
  <c r="AX8" i="13"/>
  <c r="AU8" i="13"/>
  <c r="AF8" i="13"/>
  <c r="AV8" i="13"/>
  <c r="AG8" i="13"/>
  <c r="AW8" i="13"/>
  <c r="AI8" i="13"/>
  <c r="AJ8" i="13"/>
  <c r="AK8" i="13"/>
  <c r="AO8" i="13"/>
  <c r="AP8" i="13"/>
  <c r="AQ8" i="13"/>
  <c r="AL8" i="13"/>
  <c r="AM8" i="13"/>
  <c r="AN8" i="13"/>
  <c r="AS13" i="13"/>
  <c r="AT13" i="13"/>
  <c r="AU13" i="13"/>
  <c r="AF13" i="13"/>
  <c r="AV13" i="13"/>
  <c r="AG13" i="13"/>
  <c r="AW13" i="13"/>
  <c r="AH13" i="13"/>
  <c r="AX13" i="13"/>
  <c r="AI13" i="13"/>
  <c r="AJ13" i="13"/>
  <c r="AK13" i="13"/>
  <c r="AL13" i="13"/>
  <c r="AP13" i="13"/>
  <c r="AQ13" i="13"/>
  <c r="AM13" i="13"/>
  <c r="AN13" i="13"/>
  <c r="AO13" i="13"/>
  <c r="AR13" i="13"/>
  <c r="AM15" i="13"/>
  <c r="AN15" i="13"/>
  <c r="AO15" i="13"/>
  <c r="AP15" i="13"/>
  <c r="AQ15" i="13"/>
  <c r="AR15" i="13"/>
  <c r="AS15" i="13"/>
  <c r="AT15" i="13"/>
  <c r="AU15" i="13"/>
  <c r="AF15" i="13"/>
  <c r="AV15" i="13"/>
  <c r="AJ15" i="13"/>
  <c r="AK15" i="13"/>
  <c r="AL15" i="13"/>
  <c r="AG15" i="13"/>
  <c r="AW15" i="13"/>
  <c r="AH15" i="13"/>
  <c r="AX15" i="13"/>
  <c r="AI15" i="13"/>
  <c r="AL10" i="13"/>
  <c r="AM10" i="13"/>
  <c r="AN10" i="13"/>
  <c r="AO10" i="13"/>
  <c r="AP10" i="13"/>
  <c r="AQ10" i="13"/>
  <c r="AS10" i="13"/>
  <c r="AT10" i="13"/>
  <c r="AU10" i="13"/>
  <c r="AI10" i="13"/>
  <c r="AJ10" i="13"/>
  <c r="AK10" i="13"/>
  <c r="AF10" i="13"/>
  <c r="AV10" i="13"/>
  <c r="AG10" i="13"/>
  <c r="AW10" i="13"/>
  <c r="AH10" i="13"/>
  <c r="AX10" i="13"/>
  <c r="AR10" i="13"/>
  <c r="AN20" i="13"/>
  <c r="AO20" i="13"/>
  <c r="AP20" i="13"/>
  <c r="AQ20" i="13"/>
  <c r="AR20" i="13"/>
  <c r="AS20" i="13"/>
  <c r="AT20" i="13"/>
  <c r="AU20" i="13"/>
  <c r="AF20" i="13"/>
  <c r="AV20" i="13"/>
  <c r="AG20" i="13"/>
  <c r="AW20" i="13"/>
  <c r="AK20" i="13"/>
  <c r="AL20" i="13"/>
  <c r="AM20" i="13"/>
  <c r="AH20" i="13"/>
  <c r="AX20" i="13"/>
  <c r="AI20" i="13"/>
  <c r="AJ20" i="13"/>
  <c r="AO9" i="13"/>
  <c r="AP9" i="13"/>
  <c r="AQ9" i="13"/>
  <c r="AR9" i="13"/>
  <c r="AS9" i="13"/>
  <c r="AT9" i="13"/>
  <c r="AF9" i="13"/>
  <c r="AV9" i="13"/>
  <c r="AG9" i="13"/>
  <c r="AW9" i="13"/>
  <c r="AH9" i="13"/>
  <c r="AX9" i="13"/>
  <c r="AL9" i="13"/>
  <c r="AM9" i="13"/>
  <c r="AN9" i="13"/>
  <c r="AU9" i="13"/>
  <c r="AI9" i="13"/>
  <c r="AJ9" i="13"/>
  <c r="AK9" i="13"/>
  <c r="AK21" i="13"/>
  <c r="AL21" i="13"/>
  <c r="AM21" i="13"/>
  <c r="AN21" i="13"/>
  <c r="AO21" i="13"/>
  <c r="AP21" i="13"/>
  <c r="AQ21" i="13"/>
  <c r="AR21" i="13"/>
  <c r="AS21" i="13"/>
  <c r="AT21" i="13"/>
  <c r="AH21" i="13"/>
  <c r="AX21" i="13"/>
  <c r="AI21" i="13"/>
  <c r="AU21" i="13"/>
  <c r="AF21" i="13"/>
  <c r="AV21" i="13"/>
  <c r="AG21" i="13"/>
  <c r="AW21" i="13"/>
  <c r="AJ21" i="13"/>
  <c r="AP14" i="13"/>
  <c r="AQ14" i="13"/>
  <c r="AR14" i="13"/>
  <c r="AS14" i="13"/>
  <c r="AT14" i="13"/>
  <c r="AU14" i="13"/>
  <c r="AF14" i="13"/>
  <c r="AV14" i="13"/>
  <c r="AG14" i="13"/>
  <c r="AW14" i="13"/>
  <c r="AH14" i="13"/>
  <c r="AX14" i="13"/>
  <c r="AI14" i="13"/>
  <c r="AM14" i="13"/>
  <c r="AN14" i="13"/>
  <c r="AO14" i="13"/>
  <c r="AJ14" i="13"/>
  <c r="AK14" i="13"/>
  <c r="AL14" i="13"/>
  <c r="AU6" i="13"/>
  <c r="AF6" i="13"/>
  <c r="AG6" i="13"/>
  <c r="AH6" i="13"/>
  <c r="AX6" i="13"/>
  <c r="AI6" i="13"/>
  <c r="AJ6" i="13"/>
  <c r="AK6" i="13"/>
  <c r="AL6" i="13"/>
  <c r="AM6" i="13"/>
  <c r="AN6" i="13"/>
  <c r="AO6" i="13"/>
  <c r="AP6" i="13"/>
  <c r="AQ6" i="13"/>
  <c r="AV6" i="13"/>
  <c r="AR6" i="13"/>
  <c r="AS6" i="13"/>
  <c r="AT6" i="13"/>
  <c r="AW6" i="13"/>
  <c r="AT18" i="13"/>
  <c r="AU18" i="13"/>
  <c r="AF18" i="13"/>
  <c r="AV18" i="13"/>
  <c r="AG18" i="13"/>
  <c r="AW18" i="13"/>
  <c r="AH18" i="13"/>
  <c r="AX18" i="13"/>
  <c r="AI18" i="13"/>
  <c r="AJ18" i="13"/>
  <c r="AK18" i="13"/>
  <c r="AL18" i="13"/>
  <c r="AM18" i="13"/>
  <c r="AQ18" i="13"/>
  <c r="AR18" i="13"/>
  <c r="AS18" i="13"/>
  <c r="AN18" i="13"/>
  <c r="AO18" i="13"/>
  <c r="AP18" i="13"/>
  <c r="AG17" i="13"/>
  <c r="AW17" i="13"/>
  <c r="AH17" i="13"/>
  <c r="AX17" i="13"/>
  <c r="AI17" i="13"/>
  <c r="AJ17" i="13"/>
  <c r="AK17" i="13"/>
  <c r="AL17" i="13"/>
  <c r="AM17" i="13"/>
  <c r="AN17" i="13"/>
  <c r="AO17" i="13"/>
  <c r="AP17" i="13"/>
  <c r="AT17" i="13"/>
  <c r="AU17" i="13"/>
  <c r="AF17" i="13"/>
  <c r="AQ17" i="13"/>
  <c r="AR17" i="13"/>
  <c r="AS17" i="13"/>
  <c r="AV17" i="13"/>
  <c r="AF12" i="13"/>
  <c r="AV12" i="13"/>
  <c r="AG12" i="13"/>
  <c r="AW12" i="13"/>
  <c r="AH12" i="13"/>
  <c r="AX12" i="13"/>
  <c r="AI12" i="13"/>
  <c r="AJ12" i="13"/>
  <c r="AK12" i="13"/>
  <c r="AL12" i="13"/>
  <c r="AM12" i="13"/>
  <c r="AN12" i="13"/>
  <c r="AO12" i="13"/>
  <c r="AS12" i="13"/>
  <c r="AT12" i="13"/>
  <c r="AU12" i="13"/>
  <c r="AP12" i="13"/>
  <c r="AQ12" i="13"/>
  <c r="AR12" i="13"/>
  <c r="AI11" i="13"/>
  <c r="AJ11" i="13"/>
  <c r="AK11" i="13"/>
  <c r="AL11" i="13"/>
  <c r="AM11" i="13"/>
  <c r="AN11" i="13"/>
  <c r="AO11" i="13"/>
  <c r="AP11" i="13"/>
  <c r="AQ11" i="13"/>
  <c r="AR11" i="13"/>
  <c r="AF11" i="13"/>
  <c r="AV11" i="13"/>
  <c r="AG11" i="13"/>
  <c r="AW11" i="13"/>
  <c r="AH11" i="13"/>
  <c r="AX11" i="13"/>
  <c r="AS11" i="13"/>
  <c r="AT11" i="13"/>
  <c r="AU11" i="13"/>
  <c r="AJ16" i="13"/>
  <c r="AK16" i="13"/>
  <c r="AL16" i="13"/>
  <c r="AM16" i="13"/>
  <c r="AN16" i="13"/>
  <c r="AO16" i="13"/>
  <c r="AP16" i="13"/>
  <c r="AQ16" i="13"/>
  <c r="AR16" i="13"/>
  <c r="AS16" i="13"/>
  <c r="AG16" i="13"/>
  <c r="AW16" i="13"/>
  <c r="AH16" i="13"/>
  <c r="AX16" i="13"/>
  <c r="AT16" i="13"/>
  <c r="AU16" i="13"/>
  <c r="AF16" i="13"/>
  <c r="AV16" i="13"/>
  <c r="AI16" i="13"/>
  <c r="AH13" i="26"/>
  <c r="W13" i="26"/>
  <c r="X13" i="26"/>
  <c r="Y13" i="26"/>
  <c r="Z13" i="26"/>
  <c r="AA13" i="26"/>
  <c r="AB13" i="26"/>
  <c r="AC13" i="26"/>
  <c r="AD13" i="26"/>
  <c r="AE13" i="26"/>
  <c r="AF13" i="26"/>
  <c r="AG13" i="26"/>
  <c r="AD8" i="26"/>
  <c r="AE8" i="26"/>
  <c r="AF8" i="26"/>
  <c r="AG8" i="26"/>
  <c r="AH8" i="26"/>
  <c r="W8" i="26"/>
  <c r="X8" i="26"/>
  <c r="Y8" i="26"/>
  <c r="Z8" i="26"/>
  <c r="AA8" i="26"/>
  <c r="AB8" i="26"/>
  <c r="AC8" i="26"/>
  <c r="W6" i="26"/>
  <c r="X6" i="26"/>
  <c r="Y6" i="26"/>
  <c r="Z6" i="26"/>
  <c r="AA6" i="26"/>
  <c r="AB6" i="26"/>
  <c r="AC6" i="26"/>
  <c r="AD6" i="26"/>
  <c r="AE6" i="26"/>
  <c r="AF6" i="26"/>
  <c r="AG6" i="26"/>
  <c r="AH6" i="26"/>
  <c r="AD12" i="26"/>
  <c r="AE12" i="26"/>
  <c r="AF12" i="26"/>
  <c r="AG12" i="26"/>
  <c r="AH12" i="26"/>
  <c r="W12" i="26"/>
  <c r="X12" i="26"/>
  <c r="Y12" i="26"/>
  <c r="Z12" i="26"/>
  <c r="AA12" i="26"/>
  <c r="AB12" i="26"/>
  <c r="AC12" i="26"/>
  <c r="W10" i="26"/>
  <c r="X10" i="26"/>
  <c r="Y10" i="26"/>
  <c r="Z10" i="26"/>
  <c r="AA10" i="26"/>
  <c r="AB10" i="26"/>
  <c r="AC10" i="26"/>
  <c r="AD10" i="26"/>
  <c r="AE10" i="26"/>
  <c r="AF10" i="26"/>
  <c r="AG10" i="26"/>
  <c r="AH10" i="26"/>
  <c r="Z11" i="26"/>
  <c r="AA11" i="26"/>
  <c r="AB11" i="26"/>
  <c r="AC11" i="26"/>
  <c r="AD11" i="26"/>
  <c r="AE11" i="26"/>
  <c r="AF11" i="26"/>
  <c r="AG11" i="26"/>
  <c r="AH11" i="26"/>
  <c r="W11" i="26"/>
  <c r="X11" i="26"/>
  <c r="Y11" i="26"/>
  <c r="W14" i="26"/>
  <c r="X14" i="26"/>
  <c r="Y14" i="26"/>
  <c r="Z14" i="26"/>
  <c r="AA14" i="26"/>
  <c r="AB14" i="26"/>
  <c r="AC14" i="26"/>
  <c r="AD14" i="26"/>
  <c r="AE14" i="26"/>
  <c r="AF14" i="26"/>
  <c r="AG14" i="26"/>
  <c r="AH14" i="26"/>
  <c r="AH9" i="26"/>
  <c r="W9" i="26"/>
  <c r="X9" i="26"/>
  <c r="Y9" i="26"/>
  <c r="Z9" i="26"/>
  <c r="AA9" i="26"/>
  <c r="AB9" i="26"/>
  <c r="AC9" i="26"/>
  <c r="AD9" i="26"/>
  <c r="AE9" i="26"/>
  <c r="AF9" i="26"/>
  <c r="AG9" i="26"/>
  <c r="Z7" i="26"/>
  <c r="AA7" i="26"/>
  <c r="AB7" i="26"/>
  <c r="AC7" i="26"/>
  <c r="AD7" i="26"/>
  <c r="AE7" i="26"/>
  <c r="AF7" i="26"/>
  <c r="AG7" i="26"/>
  <c r="AH7" i="26"/>
  <c r="W7" i="26"/>
  <c r="X7" i="26"/>
  <c r="Y7" i="26"/>
  <c r="V15" i="26"/>
  <c r="Z15" i="26"/>
  <c r="AA15" i="26"/>
  <c r="AB15" i="26"/>
  <c r="AC15" i="26"/>
  <c r="AD15" i="26"/>
  <c r="AE15" i="26"/>
  <c r="AF15" i="26"/>
  <c r="AG15" i="26"/>
  <c r="AH15" i="26"/>
  <c r="W15" i="26"/>
  <c r="X15" i="26"/>
  <c r="Y15" i="26"/>
  <c r="AJ9" i="10"/>
  <c r="Y9" i="10"/>
  <c r="Z9" i="10"/>
  <c r="AA9" i="10"/>
  <c r="AB9" i="10"/>
  <c r="AC9" i="10"/>
  <c r="AD9" i="10"/>
  <c r="AE9" i="10"/>
  <c r="AF9" i="10"/>
  <c r="AG9" i="10"/>
  <c r="AH9" i="10"/>
  <c r="AI9" i="10"/>
  <c r="AB15" i="10"/>
  <c r="AC15" i="10"/>
  <c r="AD15" i="10"/>
  <c r="AE15" i="10"/>
  <c r="AF15" i="10"/>
  <c r="AG15" i="10"/>
  <c r="AH15" i="10"/>
  <c r="AI15" i="10"/>
  <c r="AJ15" i="10"/>
  <c r="Y15" i="10"/>
  <c r="Z15" i="10"/>
  <c r="AA15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Y6" i="10"/>
  <c r="Z6" i="10"/>
  <c r="AA6" i="10"/>
  <c r="AB6" i="10"/>
  <c r="AC6" i="10"/>
  <c r="AD6" i="10"/>
  <c r="AE6" i="10"/>
  <c r="AF6" i="10"/>
  <c r="AG6" i="10"/>
  <c r="AH6" i="10"/>
  <c r="AI6" i="10"/>
  <c r="AJ6" i="10"/>
  <c r="AF12" i="10"/>
  <c r="AG12" i="10"/>
  <c r="AH12" i="10"/>
  <c r="AI12" i="10"/>
  <c r="AJ12" i="10"/>
  <c r="Y12" i="10"/>
  <c r="Z12" i="10"/>
  <c r="AA12" i="10"/>
  <c r="AB12" i="10"/>
  <c r="AC12" i="10"/>
  <c r="AD12" i="10"/>
  <c r="AE12" i="10"/>
  <c r="AB19" i="10"/>
  <c r="AC19" i="10"/>
  <c r="AD19" i="10"/>
  <c r="AE19" i="10"/>
  <c r="AF19" i="10"/>
  <c r="AG19" i="10"/>
  <c r="AH19" i="10"/>
  <c r="AI19" i="10"/>
  <c r="AJ19" i="10"/>
  <c r="Y19" i="10"/>
  <c r="Z19" i="10"/>
  <c r="AA19" i="10"/>
  <c r="AB7" i="10"/>
  <c r="AC7" i="10"/>
  <c r="AD7" i="10"/>
  <c r="AE7" i="10"/>
  <c r="AF7" i="10"/>
  <c r="AG7" i="10"/>
  <c r="AH7" i="10"/>
  <c r="AI7" i="10"/>
  <c r="AJ7" i="10"/>
  <c r="Y7" i="10"/>
  <c r="Z7" i="10"/>
  <c r="AA7" i="10"/>
  <c r="AJ13" i="10"/>
  <c r="Y13" i="10"/>
  <c r="Z13" i="10"/>
  <c r="AA13" i="10"/>
  <c r="AB13" i="10"/>
  <c r="AC13" i="10"/>
  <c r="AD13" i="10"/>
  <c r="AE13" i="10"/>
  <c r="AF13" i="10"/>
  <c r="AG13" i="10"/>
  <c r="AH13" i="10"/>
  <c r="AI13" i="10"/>
  <c r="AF8" i="10"/>
  <c r="AG8" i="10"/>
  <c r="AH8" i="10"/>
  <c r="AI8" i="10"/>
  <c r="AJ8" i="10"/>
  <c r="Y8" i="10"/>
  <c r="Z8" i="10"/>
  <c r="AA8" i="10"/>
  <c r="AB8" i="10"/>
  <c r="AC8" i="10"/>
  <c r="AD8" i="10"/>
  <c r="AE8" i="10"/>
  <c r="AF20" i="10"/>
  <c r="AG20" i="10"/>
  <c r="AH20" i="10"/>
  <c r="AI20" i="10"/>
  <c r="AJ20" i="10"/>
  <c r="Y20" i="10"/>
  <c r="Z20" i="10"/>
  <c r="AA20" i="10"/>
  <c r="AB20" i="10"/>
  <c r="AC20" i="10"/>
  <c r="AD20" i="10"/>
  <c r="AE20" i="10"/>
  <c r="AB11" i="10"/>
  <c r="AC11" i="10"/>
  <c r="AD11" i="10"/>
  <c r="AE11" i="10"/>
  <c r="AF11" i="10"/>
  <c r="AG11" i="10"/>
  <c r="AH11" i="10"/>
  <c r="AI11" i="10"/>
  <c r="AJ11" i="10"/>
  <c r="Y11" i="10"/>
  <c r="Z11" i="10"/>
  <c r="AA11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G15" i="14"/>
  <c r="AG9" i="14"/>
  <c r="AE20" i="13"/>
  <c r="AL18" i="12"/>
  <c r="AI17" i="12"/>
  <c r="AF17" i="12"/>
  <c r="AL17" i="12"/>
  <c r="AE18" i="12"/>
  <c r="AO17" i="12"/>
  <c r="AV17" i="12"/>
  <c r="AR18" i="12"/>
  <c r="AT18" i="12"/>
  <c r="AS18" i="12"/>
  <c r="AE17" i="12"/>
  <c r="AG17" i="12"/>
  <c r="AV18" i="12"/>
  <c r="AS17" i="12"/>
  <c r="AF18" i="12"/>
  <c r="AU17" i="12"/>
  <c r="AP17" i="12"/>
  <c r="AD17" i="12"/>
  <c r="AU18" i="12"/>
  <c r="AJ17" i="12"/>
  <c r="AR17" i="12"/>
  <c r="AG18" i="12"/>
  <c r="AH17" i="12"/>
  <c r="AW18" i="12"/>
  <c r="AQ17" i="12"/>
  <c r="AJ18" i="12"/>
  <c r="AM17" i="12"/>
  <c r="AI18" i="12"/>
  <c r="AT17" i="12"/>
  <c r="AK17" i="12"/>
  <c r="AH18" i="12"/>
  <c r="AW17" i="12"/>
  <c r="AX17" i="12"/>
  <c r="AP18" i="12"/>
  <c r="AO18" i="12"/>
  <c r="AM18" i="12"/>
  <c r="AE21" i="13"/>
  <c r="AP16" i="12"/>
  <c r="AM16" i="12"/>
  <c r="AV16" i="12"/>
  <c r="AF16" i="12"/>
  <c r="AJ16" i="12"/>
  <c r="AD15" i="12"/>
  <c r="AX16" i="12"/>
  <c r="BN11" i="14"/>
  <c r="BL11" i="14"/>
  <c r="BM8" i="14"/>
  <c r="BN8" i="14"/>
  <c r="AK16" i="12"/>
  <c r="AW15" i="12"/>
  <c r="AD16" i="12"/>
  <c r="AG16" i="12"/>
  <c r="AE15" i="12"/>
  <c r="AR16" i="12"/>
  <c r="AN16" i="12"/>
  <c r="AE16" i="12"/>
  <c r="AL16" i="12"/>
  <c r="AO8" i="12"/>
  <c r="AU15" i="12"/>
  <c r="AJ15" i="12"/>
  <c r="AK18" i="12"/>
  <c r="AI8" i="12"/>
  <c r="AT8" i="12"/>
  <c r="AP8" i="12"/>
  <c r="AD8" i="12"/>
  <c r="AM8" i="12"/>
  <c r="AN18" i="12"/>
  <c r="AR8" i="12"/>
  <c r="AD18" i="12"/>
  <c r="AH8" i="12"/>
  <c r="AX8" i="12"/>
  <c r="AV8" i="12"/>
  <c r="AU8" i="12"/>
  <c r="AQ18" i="12"/>
  <c r="AV13" i="12"/>
  <c r="AL8" i="12"/>
  <c r="AQ8" i="12"/>
  <c r="AV15" i="12"/>
  <c r="AE8" i="12"/>
  <c r="AW8" i="12"/>
  <c r="AR11" i="12"/>
  <c r="AV11" i="12"/>
  <c r="AM11" i="12"/>
  <c r="AT10" i="12"/>
  <c r="AH11" i="12"/>
  <c r="AM10" i="12"/>
  <c r="AN10" i="12"/>
  <c r="AI10" i="12"/>
  <c r="AJ10" i="12"/>
  <c r="AK10" i="12"/>
  <c r="AE10" i="12"/>
  <c r="AH10" i="12"/>
  <c r="AF10" i="12"/>
  <c r="AG10" i="12"/>
  <c r="AX10" i="12"/>
  <c r="AQ10" i="12"/>
  <c r="AS10" i="12"/>
  <c r="AD10" i="12"/>
  <c r="AR10" i="12"/>
  <c r="AV10" i="12"/>
  <c r="AW10" i="12"/>
  <c r="AL10" i="12"/>
  <c r="AU11" i="12"/>
  <c r="AP10" i="12"/>
  <c r="AU10" i="12"/>
  <c r="AL11" i="12"/>
  <c r="AP11" i="12"/>
  <c r="AS8" i="12"/>
  <c r="AS15" i="12"/>
  <c r="AK11" i="12"/>
  <c r="AL15" i="12"/>
  <c r="AS11" i="12"/>
  <c r="AH15" i="12"/>
  <c r="AD11" i="12"/>
  <c r="AG8" i="12"/>
  <c r="AF8" i="12"/>
  <c r="AQ15" i="12"/>
  <c r="AW11" i="12"/>
  <c r="EE24" i="9" a="1"/>
  <c r="EE24" i="9" s="1"/>
  <c r="DD24" i="9" a="1"/>
  <c r="DD24" i="9" s="1"/>
  <c r="CP24" i="9" a="1"/>
  <c r="CP24" i="9" s="1"/>
  <c r="DL24" i="9" a="1"/>
  <c r="DL24" i="9" s="1"/>
  <c r="EL24" i="9" a="1"/>
  <c r="EL24" i="9" s="1"/>
  <c r="EX24" i="9" a="1"/>
  <c r="EX24" i="9" s="1"/>
  <c r="CR24" i="9" a="1"/>
  <c r="CR24" i="9" s="1"/>
  <c r="FD24" i="9" a="1"/>
  <c r="FD24" i="9" s="1"/>
  <c r="ED24" i="9" a="1"/>
  <c r="ED24" i="9" s="1"/>
  <c r="DH24" i="9" a="1"/>
  <c r="DH24" i="9" s="1"/>
  <c r="EM24" i="9" a="1"/>
  <c r="EM24" i="9" s="1"/>
  <c r="FF24" i="9" a="1"/>
  <c r="FF24" i="9" s="1"/>
  <c r="EO24" i="9" a="1"/>
  <c r="EO24" i="9" s="1"/>
  <c r="DI24" i="9" a="1"/>
  <c r="DI24" i="9" s="1"/>
  <c r="EJ24" i="9" a="1"/>
  <c r="EJ24" i="9" s="1"/>
  <c r="EB24" i="9" a="1"/>
  <c r="EB24" i="9" s="1"/>
  <c r="EU24" i="9" a="1"/>
  <c r="EU24" i="9" s="1"/>
  <c r="DE24" i="9" a="1"/>
  <c r="DE24" i="9" s="1"/>
  <c r="CQ24" i="9" a="1"/>
  <c r="CQ24" i="9" s="1"/>
  <c r="DA24" i="9" a="1"/>
  <c r="DA24" i="9" s="1"/>
  <c r="CY24" i="9" a="1"/>
  <c r="CY24" i="9" s="1"/>
  <c r="DP24" i="9" a="1"/>
  <c r="DP24" i="9" s="1"/>
  <c r="DM24" i="9" a="1"/>
  <c r="DM24" i="9" s="1"/>
  <c r="DY24" i="9" a="1"/>
  <c r="DY24" i="9" s="1"/>
  <c r="EZ24" i="9" a="1"/>
  <c r="EZ24" i="9" s="1"/>
  <c r="EF24" i="9" a="1"/>
  <c r="EF24" i="9" s="1"/>
  <c r="DF24" i="9" a="1"/>
  <c r="DF24" i="9" s="1"/>
  <c r="DC24" i="9" a="1"/>
  <c r="DC24" i="9" s="1"/>
  <c r="CM24" i="9" a="1"/>
  <c r="CM24" i="9" s="1"/>
  <c r="DS24" i="9" a="1"/>
  <c r="DS24" i="9" s="1"/>
  <c r="CX24" i="9" a="1"/>
  <c r="CX24" i="9" s="1"/>
  <c r="CH24" i="9"/>
  <c r="CU24" i="9" a="1"/>
  <c r="CU24" i="9" s="1"/>
  <c r="FE24" i="9" a="1"/>
  <c r="FE24" i="9" s="1"/>
  <c r="ER24" i="9" a="1"/>
  <c r="ER24" i="9" s="1"/>
  <c r="CO24" i="9" a="1"/>
  <c r="CO24" i="9" s="1"/>
  <c r="FC24" i="9" a="1"/>
  <c r="FC24" i="9" s="1"/>
  <c r="CI24" i="9" a="1"/>
  <c r="CI24" i="9" s="1"/>
  <c r="EI24" i="9" a="1"/>
  <c r="EI24" i="9" s="1"/>
  <c r="DU24" i="9" a="1"/>
  <c r="DU24" i="9" s="1"/>
  <c r="EY24" i="9" a="1"/>
  <c r="EY24" i="9" s="1"/>
  <c r="CV24" i="9" a="1"/>
  <c r="CV24" i="9" s="1"/>
  <c r="EW24" i="9" a="1"/>
  <c r="EW24" i="9" s="1"/>
  <c r="DX24" i="9" a="1"/>
  <c r="DX24" i="9" s="1"/>
  <c r="DB24" i="9" a="1"/>
  <c r="DB24" i="9" s="1"/>
  <c r="CN24" i="9" a="1"/>
  <c r="CN24" i="9" s="1"/>
  <c r="FB24" i="9" a="1"/>
  <c r="FB24" i="9" s="1"/>
  <c r="EC24" i="9" a="1"/>
  <c r="EC24" i="9" s="1"/>
  <c r="EK24" i="9" a="1"/>
  <c r="EK24" i="9" s="1"/>
  <c r="ES24" i="9" a="1"/>
  <c r="ES24" i="9" s="1"/>
  <c r="EN24" i="9" a="1"/>
  <c r="EN24" i="9" s="1"/>
  <c r="DQ24" i="9" a="1"/>
  <c r="DQ24" i="9" s="1"/>
  <c r="DT24" i="9" a="1"/>
  <c r="DT24" i="9" s="1"/>
  <c r="EA24" i="9" a="1"/>
  <c r="EA24" i="9" s="1"/>
  <c r="EH24" i="9" a="1"/>
  <c r="EH24" i="9" s="1"/>
  <c r="DR24" i="9" a="1"/>
  <c r="DR24" i="9" s="1"/>
  <c r="CL24" i="9" a="1"/>
  <c r="CL24" i="9" s="1"/>
  <c r="CT24" i="9" a="1"/>
  <c r="CT24" i="9" s="1"/>
  <c r="FG24" i="9" a="1"/>
  <c r="FG24" i="9" s="1"/>
  <c r="EQ24" i="9" a="1"/>
  <c r="EQ24" i="9" s="1"/>
  <c r="EG24" i="9" a="1"/>
  <c r="EG24" i="9" s="1"/>
  <c r="CK24" i="9" a="1"/>
  <c r="CK24" i="9" s="1"/>
  <c r="EV24" i="9" a="1"/>
  <c r="EV24" i="9" s="1"/>
  <c r="DW24" i="9" a="1"/>
  <c r="DW24" i="9" s="1"/>
  <c r="DN24" i="9" a="1"/>
  <c r="DN24" i="9" s="1"/>
  <c r="CJ24" i="9" a="1"/>
  <c r="CJ24" i="9" s="1"/>
  <c r="DZ24" i="9" a="1"/>
  <c r="DZ24" i="9" s="1"/>
  <c r="DG24" i="9" a="1"/>
  <c r="DG24" i="9" s="1"/>
  <c r="CW24" i="9" a="1"/>
  <c r="CW24" i="9" s="1"/>
  <c r="EP24" i="9" a="1"/>
  <c r="EP24" i="9" s="1"/>
  <c r="CS24" i="9" a="1"/>
  <c r="CS24" i="9" s="1"/>
  <c r="DO24" i="9" a="1"/>
  <c r="DO24" i="9" s="1"/>
  <c r="DV24" i="9" a="1"/>
  <c r="DV24" i="9" s="1"/>
  <c r="DK24" i="9" a="1"/>
  <c r="DK24" i="9" s="1"/>
  <c r="CZ24" i="9" a="1"/>
  <c r="CZ24" i="9" s="1"/>
  <c r="FA24" i="9" a="1"/>
  <c r="FA24" i="9" s="1"/>
  <c r="ET24" i="9" a="1"/>
  <c r="ET24" i="9" s="1"/>
  <c r="DJ24" i="9" a="1"/>
  <c r="DJ24" i="9" s="1"/>
  <c r="AG15" i="12"/>
  <c r="AO11" i="12"/>
  <c r="EY25" i="9" a="1"/>
  <c r="EY25" i="9" s="1"/>
  <c r="ET25" i="9" a="1"/>
  <c r="ET25" i="9" s="1"/>
  <c r="CI25" i="9" a="1"/>
  <c r="CI25" i="9" s="1"/>
  <c r="FE25" i="9" a="1"/>
  <c r="FE25" i="9" s="1"/>
  <c r="DZ25" i="9" a="1"/>
  <c r="DZ25" i="9" s="1"/>
  <c r="FF25" i="9" a="1"/>
  <c r="FF25" i="9" s="1"/>
  <c r="EF25" i="9" a="1"/>
  <c r="EF25" i="9" s="1"/>
  <c r="CU25" i="9" a="1"/>
  <c r="CU25" i="9" s="1"/>
  <c r="DX25" i="9" a="1"/>
  <c r="DX25" i="9" s="1"/>
  <c r="ES25" i="9" a="1"/>
  <c r="ES25" i="9" s="1"/>
  <c r="DP25" i="9" a="1"/>
  <c r="DP25" i="9" s="1"/>
  <c r="DJ25" i="9" a="1"/>
  <c r="DJ25" i="9" s="1"/>
  <c r="CO25" i="9" a="1"/>
  <c r="CO25" i="9" s="1"/>
  <c r="EI25" i="9" a="1"/>
  <c r="EI25" i="9" s="1"/>
  <c r="EU25" i="9" a="1"/>
  <c r="EU25" i="9" s="1"/>
  <c r="CQ25" i="9" a="1"/>
  <c r="CQ25" i="9" s="1"/>
  <c r="FC25" i="9" a="1"/>
  <c r="FC25" i="9" s="1"/>
  <c r="EX25" i="9" a="1"/>
  <c r="EX25" i="9" s="1"/>
  <c r="DM25" i="9" a="1"/>
  <c r="DM25" i="9" s="1"/>
  <c r="DG25" i="9" a="1"/>
  <c r="DG25" i="9" s="1"/>
  <c r="DE25" i="9" a="1"/>
  <c r="DE25" i="9" s="1"/>
  <c r="CN25" i="9" a="1"/>
  <c r="CN25" i="9" s="1"/>
  <c r="EW25" i="9" a="1"/>
  <c r="EW25" i="9" s="1"/>
  <c r="CH25" i="9"/>
  <c r="CK25" i="9" a="1"/>
  <c r="CK25" i="9" s="1"/>
  <c r="CR25" i="9" a="1"/>
  <c r="CR25" i="9" s="1"/>
  <c r="FB25" i="9" a="1"/>
  <c r="FB25" i="9" s="1"/>
  <c r="FG25" i="9" a="1"/>
  <c r="FG25" i="9" s="1"/>
  <c r="ED25" i="9" a="1"/>
  <c r="ED25" i="9" s="1"/>
  <c r="DI25" i="9" a="1"/>
  <c r="DI25" i="9" s="1"/>
  <c r="EL25" i="9" a="1"/>
  <c r="EL25" i="9" s="1"/>
  <c r="EG25" i="9" a="1"/>
  <c r="EG25" i="9" s="1"/>
  <c r="EB25" i="9" a="1"/>
  <c r="EB25" i="9" s="1"/>
  <c r="CX25" i="9" a="1"/>
  <c r="CX25" i="9" s="1"/>
  <c r="CZ25" i="9" a="1"/>
  <c r="CZ25" i="9" s="1"/>
  <c r="DK25" i="9" a="1"/>
  <c r="DK25" i="9" s="1"/>
  <c r="DQ25" i="9" a="1"/>
  <c r="DQ25" i="9" s="1"/>
  <c r="EZ25" i="9" a="1"/>
  <c r="EZ25" i="9" s="1"/>
  <c r="EE25" i="9" a="1"/>
  <c r="EE25" i="9" s="1"/>
  <c r="EV25" i="9" a="1"/>
  <c r="EV25" i="9" s="1"/>
  <c r="EC25" i="9" a="1"/>
  <c r="EC25" i="9" s="1"/>
  <c r="CY25" i="9" a="1"/>
  <c r="CY25" i="9" s="1"/>
  <c r="EK25" i="9" a="1"/>
  <c r="EK25" i="9" s="1"/>
  <c r="DF25" i="9" a="1"/>
  <c r="DF25" i="9" s="1"/>
  <c r="CW25" i="9" a="1"/>
  <c r="CW25" i="9" s="1"/>
  <c r="EA25" i="9" a="1"/>
  <c r="EA25" i="9" s="1"/>
  <c r="CL25" i="9" a="1"/>
  <c r="CL25" i="9" s="1"/>
  <c r="CT25" i="9" a="1"/>
  <c r="CT25" i="9" s="1"/>
  <c r="DO25" i="9" a="1"/>
  <c r="DO25" i="9" s="1"/>
  <c r="EO25" i="9" a="1"/>
  <c r="EO25" i="9" s="1"/>
  <c r="DC25" i="9" a="1"/>
  <c r="DC25" i="9" s="1"/>
  <c r="DW25" i="9" a="1"/>
  <c r="DW25" i="9" s="1"/>
  <c r="DV25" i="9" a="1"/>
  <c r="DV25" i="9" s="1"/>
  <c r="DN25" i="9" a="1"/>
  <c r="DN25" i="9" s="1"/>
  <c r="DB25" i="9" a="1"/>
  <c r="DB25" i="9" s="1"/>
  <c r="FA25" i="9" a="1"/>
  <c r="FA25" i="9" s="1"/>
  <c r="DH25" i="9" a="1"/>
  <c r="DH25" i="9" s="1"/>
  <c r="DY25" i="9" a="1"/>
  <c r="DY25" i="9" s="1"/>
  <c r="CJ25" i="9" a="1"/>
  <c r="CJ25" i="9" s="1"/>
  <c r="DU25" i="9" a="1"/>
  <c r="DU25" i="9" s="1"/>
  <c r="EN25" i="9" a="1"/>
  <c r="EN25" i="9" s="1"/>
  <c r="DA25" i="9" a="1"/>
  <c r="DA25" i="9" s="1"/>
  <c r="DT25" i="9" a="1"/>
  <c r="DT25" i="9" s="1"/>
  <c r="CM25" i="9" a="1"/>
  <c r="CM25" i="9" s="1"/>
  <c r="CP25" i="9" a="1"/>
  <c r="CP25" i="9" s="1"/>
  <c r="CV25" i="9" a="1"/>
  <c r="CV25" i="9" s="1"/>
  <c r="EQ25" i="9" a="1"/>
  <c r="EQ25" i="9" s="1"/>
  <c r="EH25" i="9" a="1"/>
  <c r="EH25" i="9" s="1"/>
  <c r="DD25" i="9" a="1"/>
  <c r="DD25" i="9" s="1"/>
  <c r="FD25" i="9" a="1"/>
  <c r="FD25" i="9" s="1"/>
  <c r="DR25" i="9" a="1"/>
  <c r="DR25" i="9" s="1"/>
  <c r="DL25" i="9" a="1"/>
  <c r="DL25" i="9" s="1"/>
  <c r="ER25" i="9" a="1"/>
  <c r="ER25" i="9" s="1"/>
  <c r="EM25" i="9" a="1"/>
  <c r="EM25" i="9" s="1"/>
  <c r="EP25" i="9" a="1"/>
  <c r="EP25" i="9" s="1"/>
  <c r="EJ25" i="9" a="1"/>
  <c r="EJ25" i="9" s="1"/>
  <c r="AP13" i="12"/>
  <c r="AO15" i="12"/>
  <c r="AF11" i="12"/>
  <c r="AX11" i="12"/>
  <c r="AJ8" i="12"/>
  <c r="AT13" i="12"/>
  <c r="AK15" i="12"/>
  <c r="AQ11" i="12"/>
  <c r="AT11" i="12"/>
  <c r="AT15" i="12"/>
  <c r="AF15" i="12"/>
  <c r="AG11" i="12"/>
  <c r="AN11" i="12"/>
  <c r="AN8" i="12"/>
  <c r="AX15" i="12"/>
  <c r="AM15" i="12"/>
  <c r="AI11" i="12"/>
  <c r="AE11" i="12"/>
  <c r="AI15" i="12"/>
  <c r="AM13" i="12"/>
  <c r="AX13" i="12"/>
  <c r="AH13" i="12"/>
  <c r="AF13" i="12"/>
  <c r="AK13" i="12"/>
  <c r="AI13" i="12"/>
  <c r="AS13" i="12"/>
  <c r="AR13" i="12"/>
  <c r="AD13" i="12"/>
  <c r="AL13" i="12"/>
  <c r="AU13" i="12"/>
  <c r="AN13" i="12"/>
  <c r="AG13" i="12"/>
  <c r="AJ13" i="12"/>
  <c r="AO13" i="12"/>
  <c r="AE13" i="12"/>
  <c r="AW13" i="12"/>
  <c r="S122" i="23"/>
  <c r="AM9" i="12"/>
  <c r="AF14" i="12"/>
  <c r="AO9" i="12"/>
  <c r="AE9" i="12"/>
  <c r="AT9" i="12"/>
  <c r="AS14" i="12"/>
  <c r="AH14" i="12"/>
  <c r="AW14" i="12"/>
  <c r="AR14" i="12"/>
  <c r="AH25" i="12"/>
  <c r="AH9" i="12"/>
  <c r="AE14" i="12"/>
  <c r="AG22" i="12"/>
  <c r="AO22" i="12"/>
  <c r="AP9" i="12"/>
  <c r="AU22" i="12"/>
  <c r="AX22" i="12"/>
  <c r="AR9" i="12"/>
  <c r="AR22" i="12"/>
  <c r="AV9" i="12"/>
  <c r="AD25" i="12"/>
  <c r="AI25" i="12"/>
  <c r="AW22" i="12"/>
  <c r="AJ9" i="12"/>
  <c r="AH22" i="12"/>
  <c r="AX9" i="12"/>
  <c r="AL14" i="12"/>
  <c r="AP14" i="12"/>
  <c r="AG14" i="12"/>
  <c r="AQ14" i="12"/>
  <c r="AS22" i="12"/>
  <c r="AK9" i="12"/>
  <c r="AM14" i="12"/>
  <c r="AD9" i="12"/>
  <c r="AO14" i="12"/>
  <c r="AT19" i="12"/>
  <c r="AQ9" i="12"/>
  <c r="AX14" i="12"/>
  <c r="AV19" i="12"/>
  <c r="AQ22" i="12"/>
  <c r="AN9" i="12"/>
  <c r="AI9" i="12"/>
  <c r="AF9" i="12"/>
  <c r="AL9" i="12"/>
  <c r="AM22" i="12"/>
  <c r="AT22" i="12"/>
  <c r="AF19" i="12"/>
  <c r="AO19" i="12"/>
  <c r="AS19" i="12"/>
  <c r="AQ19" i="12"/>
  <c r="AW9" i="12"/>
  <c r="AT14" i="12"/>
  <c r="AP22" i="12"/>
  <c r="AO25" i="12"/>
  <c r="AU9" i="12"/>
  <c r="AJ22" i="12"/>
  <c r="AK25" i="12"/>
  <c r="AN25" i="10"/>
  <c r="AN27" i="10"/>
  <c r="AN24" i="10"/>
  <c r="AK24" i="10"/>
  <c r="AM24" i="10" s="1"/>
  <c r="AO24" i="10" s="1"/>
  <c r="AK27" i="10"/>
  <c r="AL27" i="10" s="1"/>
  <c r="AK26" i="10"/>
  <c r="AL26" i="10" s="1"/>
  <c r="AM27" i="10"/>
  <c r="AO27" i="10" s="1"/>
  <c r="AK25" i="10"/>
  <c r="AN26" i="10"/>
  <c r="AN23" i="10"/>
  <c r="AG19" i="14"/>
  <c r="AE22" i="12"/>
  <c r="AN19" i="12"/>
  <c r="AR25" i="12"/>
  <c r="AD14" i="12"/>
  <c r="AJ14" i="12"/>
  <c r="AI22" i="12"/>
  <c r="AJ19" i="12"/>
  <c r="AD12" i="12"/>
  <c r="AV14" i="12"/>
  <c r="AN22" i="12"/>
  <c r="AK22" i="12"/>
  <c r="AI19" i="12"/>
  <c r="AW12" i="12"/>
  <c r="AN14" i="12"/>
  <c r="AV22" i="12"/>
  <c r="AG25" i="12"/>
  <c r="AI14" i="12"/>
  <c r="AL22" i="12"/>
  <c r="AS25" i="12"/>
  <c r="AK14" i="12"/>
  <c r="AF22" i="12"/>
  <c r="AK19" i="12"/>
  <c r="AJ25" i="12"/>
  <c r="AM19" i="12"/>
  <c r="AU25" i="12"/>
  <c r="AU20" i="12"/>
  <c r="AQ12" i="12"/>
  <c r="AX25" i="12"/>
  <c r="AD20" i="12"/>
  <c r="AG12" i="12"/>
  <c r="AT20" i="12"/>
  <c r="AI20" i="12"/>
  <c r="AU12" i="12"/>
  <c r="AN20" i="12"/>
  <c r="AR20" i="12"/>
  <c r="AJ20" i="12"/>
  <c r="AS20" i="12"/>
  <c r="AN12" i="12"/>
  <c r="AN25" i="12"/>
  <c r="AX20" i="12"/>
  <c r="AP12" i="12"/>
  <c r="AJ12" i="12"/>
  <c r="AX19" i="12"/>
  <c r="AE25" i="12"/>
  <c r="AL20" i="12"/>
  <c r="AW20" i="12"/>
  <c r="AT12" i="12"/>
  <c r="AI12" i="12"/>
  <c r="AT25" i="12"/>
  <c r="T111" i="23"/>
  <c r="AH20" i="12"/>
  <c r="AE12" i="12"/>
  <c r="AE20" i="12"/>
  <c r="AM12" i="12"/>
  <c r="AH12" i="12"/>
  <c r="AP20" i="12"/>
  <c r="AG20" i="12"/>
  <c r="AM20" i="12"/>
  <c r="AS12" i="12"/>
  <c r="AF12" i="12"/>
  <c r="AL25" i="12"/>
  <c r="AF20" i="12"/>
  <c r="AV12" i="12"/>
  <c r="AX12" i="12"/>
  <c r="AK20" i="12"/>
  <c r="AL12" i="12"/>
  <c r="AE19" i="12"/>
  <c r="AM25" i="12"/>
  <c r="AV20" i="12"/>
  <c r="AK12" i="12"/>
  <c r="AG19" i="12"/>
  <c r="AW25" i="12"/>
  <c r="AO20" i="12"/>
  <c r="AR12" i="12"/>
  <c r="AP25" i="12"/>
  <c r="AV25" i="12"/>
  <c r="AQ25" i="12"/>
  <c r="AL19" i="12"/>
  <c r="AE19" i="13"/>
  <c r="AD19" i="12"/>
  <c r="AP19" i="12"/>
  <c r="AU19" i="12"/>
  <c r="AW19" i="12"/>
  <c r="AJ26" i="12"/>
  <c r="AG26" i="12"/>
  <c r="AT26" i="12"/>
  <c r="AV26" i="12"/>
  <c r="AN26" i="12"/>
  <c r="AE26" i="12"/>
  <c r="AW26" i="12"/>
  <c r="AQ26" i="12"/>
  <c r="AR26" i="12"/>
  <c r="AP26" i="12"/>
  <c r="AK26" i="12"/>
  <c r="AL26" i="12"/>
  <c r="AI26" i="12"/>
  <c r="AD26" i="12"/>
  <c r="AF26" i="12"/>
  <c r="AU26" i="12"/>
  <c r="AH26" i="12"/>
  <c r="AM26" i="12"/>
  <c r="AO26" i="12"/>
  <c r="AS26" i="12"/>
  <c r="AX26" i="12"/>
  <c r="AS9" i="12"/>
  <c r="AR19" i="12"/>
  <c r="AG11" i="14"/>
  <c r="AG10" i="14"/>
  <c r="BB23" i="12"/>
  <c r="BB21" i="12"/>
  <c r="AY23" i="12"/>
  <c r="AZ23" i="12" s="1"/>
  <c r="BB7" i="12"/>
  <c r="AY21" i="12"/>
  <c r="BA21" i="12" s="1"/>
  <c r="BC21" i="12" s="1"/>
  <c r="AY7" i="12"/>
  <c r="AZ7" i="12" s="1"/>
  <c r="BB24" i="12"/>
  <c r="AY24" i="12"/>
  <c r="BB6" i="12"/>
  <c r="AY6" i="12"/>
  <c r="V6" i="26"/>
  <c r="BG12" i="13"/>
  <c r="BH13" i="13"/>
  <c r="BG13" i="13"/>
  <c r="BI12" i="13"/>
  <c r="AK22" i="10"/>
  <c r="AL22" i="10" s="1"/>
  <c r="AK23" i="10"/>
  <c r="AN22" i="10"/>
  <c r="AG14" i="14"/>
  <c r="AG7" i="14"/>
  <c r="AG8" i="14"/>
  <c r="AG13" i="14"/>
  <c r="V11" i="26"/>
  <c r="AG18" i="14"/>
  <c r="X13" i="10"/>
  <c r="AG6" i="14"/>
  <c r="BN7" i="14"/>
  <c r="BM7" i="14"/>
  <c r="BN6" i="14"/>
  <c r="BM6" i="14"/>
  <c r="BN10" i="14"/>
  <c r="BL9" i="14"/>
  <c r="AE13" i="13"/>
  <c r="AE16" i="13"/>
  <c r="AE8" i="13"/>
  <c r="V8" i="26"/>
  <c r="X15" i="10"/>
  <c r="X20" i="10"/>
  <c r="V10" i="26"/>
  <c r="V9" i="26"/>
  <c r="V7" i="26"/>
  <c r="AE12" i="13"/>
  <c r="AG12" i="14"/>
  <c r="AG16" i="14"/>
  <c r="AG17" i="14"/>
  <c r="BM9" i="14"/>
  <c r="BL10" i="14"/>
  <c r="BL14" i="14"/>
  <c r="BM14" i="14"/>
  <c r="BE15" i="30"/>
  <c r="BD15" i="30"/>
  <c r="BE14" i="30"/>
  <c r="BD14" i="30"/>
  <c r="BM12" i="14"/>
  <c r="BN12" i="14"/>
  <c r="BM28" i="14"/>
  <c r="X19" i="10"/>
  <c r="AK21" i="10"/>
  <c r="AL21" i="10" s="1"/>
  <c r="AE10" i="13"/>
  <c r="V12" i="26"/>
  <c r="V14" i="26"/>
  <c r="AN21" i="10"/>
  <c r="X12" i="10"/>
  <c r="AE17" i="13"/>
  <c r="AE11" i="13"/>
  <c r="AE18" i="13"/>
  <c r="AE14" i="13"/>
  <c r="AE6" i="13"/>
  <c r="BI7" i="13"/>
  <c r="V13" i="26"/>
  <c r="BH7" i="13"/>
  <c r="BF8" i="30"/>
  <c r="BE8" i="30"/>
  <c r="BD12" i="30"/>
  <c r="X8" i="10"/>
  <c r="X11" i="10"/>
  <c r="BE11" i="30"/>
  <c r="BD11" i="30"/>
  <c r="BD13" i="30"/>
  <c r="BF12" i="30"/>
  <c r="BF10" i="30"/>
  <c r="BE7" i="30"/>
  <c r="BI9" i="13"/>
  <c r="BI6" i="13"/>
  <c r="BG6" i="13"/>
  <c r="BH9" i="13"/>
  <c r="AE9" i="13"/>
  <c r="BI11" i="13"/>
  <c r="BH11" i="13"/>
  <c r="BF7" i="30"/>
  <c r="BE28" i="30"/>
  <c r="BE10" i="30"/>
  <c r="BE6" i="30"/>
  <c r="BF6" i="30"/>
  <c r="BD6" i="30"/>
  <c r="BE13" i="30"/>
  <c r="AE15" i="13"/>
  <c r="BH10" i="13"/>
  <c r="BI8" i="13"/>
  <c r="BH8" i="13"/>
  <c r="BH28" i="13"/>
  <c r="BG10" i="13"/>
  <c r="L49" i="7"/>
  <c r="M49" i="7" s="1"/>
  <c r="J69" i="1"/>
  <c r="F69" i="1"/>
  <c r="I69" i="1"/>
  <c r="I65" i="1"/>
  <c r="J65" i="1"/>
  <c r="F65" i="1"/>
  <c r="P45" i="7"/>
  <c r="Q47" i="50"/>
  <c r="L43" i="7"/>
  <c r="Q49" i="50"/>
  <c r="E45" i="7"/>
  <c r="L45" i="7" s="1"/>
  <c r="D46" i="17"/>
  <c r="E46" i="17" s="1"/>
  <c r="F63" i="1"/>
  <c r="I63" i="1"/>
  <c r="J63" i="1"/>
  <c r="X10" i="10"/>
  <c r="X9" i="10"/>
  <c r="BB26" i="13"/>
  <c r="BB27" i="13"/>
  <c r="AY27" i="13"/>
  <c r="AZ26" i="13"/>
  <c r="BA26" i="13"/>
  <c r="BC26" i="13" s="1"/>
  <c r="X6" i="10"/>
  <c r="X7" i="10"/>
  <c r="U55" i="50"/>
  <c r="X55" i="50"/>
  <c r="Y55" i="50" s="1"/>
  <c r="T55" i="50"/>
  <c r="V55" i="50"/>
  <c r="W55" i="50" s="1"/>
  <c r="BG27" i="14"/>
  <c r="BD27" i="14"/>
  <c r="BD26" i="14"/>
  <c r="BG26" i="14"/>
  <c r="BD25" i="14"/>
  <c r="BG25" i="14"/>
  <c r="BD24" i="14"/>
  <c r="BG24" i="14"/>
  <c r="BD23" i="14"/>
  <c r="BG23" i="14"/>
  <c r="BG22" i="14"/>
  <c r="BD22" i="14"/>
  <c r="BG21" i="14"/>
  <c r="BD21" i="14"/>
  <c r="BD20" i="14"/>
  <c r="BG20" i="14"/>
  <c r="AL25" i="26"/>
  <c r="AI25" i="26"/>
  <c r="AL24" i="26"/>
  <c r="AI24" i="26"/>
  <c r="AI23" i="26"/>
  <c r="AL23" i="26"/>
  <c r="AI19" i="26"/>
  <c r="AL19" i="26"/>
  <c r="AL16" i="26"/>
  <c r="AI16" i="26"/>
  <c r="AN18" i="10"/>
  <c r="AK18" i="10"/>
  <c r="AK17" i="10"/>
  <c r="AN17" i="10"/>
  <c r="AK16" i="10"/>
  <c r="AN16" i="10"/>
  <c r="BB25" i="13"/>
  <c r="AY25" i="13"/>
  <c r="BB24" i="13"/>
  <c r="AY24" i="13"/>
  <c r="AY23" i="13"/>
  <c r="BB23" i="13"/>
  <c r="AY22" i="13"/>
  <c r="BB22" i="13"/>
  <c r="S47" i="50"/>
  <c r="S49" i="50"/>
  <c r="BH7" i="29" l="1"/>
  <c r="BH10" i="29"/>
  <c r="BH13" i="29"/>
  <c r="BH12" i="29"/>
  <c r="BH11" i="29"/>
  <c r="DJ54" i="28"/>
  <c r="FH23" i="9"/>
  <c r="FJ23" i="9" s="1"/>
  <c r="FI20" i="9"/>
  <c r="FI26" i="9"/>
  <c r="FH22" i="9"/>
  <c r="FJ22" i="9" s="1"/>
  <c r="FH21" i="9"/>
  <c r="FJ21" i="9" s="1"/>
  <c r="FH10" i="9"/>
  <c r="FJ10" i="9" s="1"/>
  <c r="FH9" i="9"/>
  <c r="FJ9" i="9" s="1"/>
  <c r="FH11" i="9"/>
  <c r="FJ11" i="9" s="1"/>
  <c r="FH13" i="9"/>
  <c r="FI13" i="9" s="1"/>
  <c r="FH12" i="9"/>
  <c r="FJ12" i="9" s="1"/>
  <c r="FH6" i="9"/>
  <c r="FJ6" i="9" s="1"/>
  <c r="FH16" i="9"/>
  <c r="FI16" i="9" s="1"/>
  <c r="FH15" i="9"/>
  <c r="FJ15" i="9" s="1"/>
  <c r="FH17" i="9"/>
  <c r="FJ17" i="9" s="1"/>
  <c r="FH8" i="9"/>
  <c r="FI8" i="9" s="1"/>
  <c r="FH14" i="9"/>
  <c r="FJ14" i="9" s="1"/>
  <c r="FH7" i="9"/>
  <c r="FI7" i="9" s="1"/>
  <c r="FH19" i="9"/>
  <c r="FJ19" i="9" s="1"/>
  <c r="FH18" i="9"/>
  <c r="FJ18" i="9" s="1"/>
  <c r="FH24" i="9"/>
  <c r="FJ24" i="9" s="1"/>
  <c r="FH25" i="9"/>
  <c r="AL22" i="26"/>
  <c r="AI22" i="26"/>
  <c r="AJ22" i="26" s="1"/>
  <c r="AY7" i="13"/>
  <c r="BA7" i="13" s="1"/>
  <c r="BC7" i="13" s="1"/>
  <c r="BB7" i="13"/>
  <c r="AL21" i="26"/>
  <c r="AI21" i="26"/>
  <c r="AJ21" i="26" s="1"/>
  <c r="AL17" i="26"/>
  <c r="AI17" i="26"/>
  <c r="AJ17" i="26" s="1"/>
  <c r="AL18" i="26"/>
  <c r="AI18" i="26"/>
  <c r="AK18" i="26" s="1"/>
  <c r="AM18" i="26" s="1"/>
  <c r="AL20" i="26"/>
  <c r="AI20" i="26"/>
  <c r="AJ20" i="26" s="1"/>
  <c r="AL24" i="10"/>
  <c r="AY17" i="12"/>
  <c r="AZ17" i="12" s="1"/>
  <c r="AY25" i="12"/>
  <c r="BB26" i="12"/>
  <c r="AY20" i="13"/>
  <c r="BA20" i="13" s="1"/>
  <c r="BC20" i="13" s="1"/>
  <c r="BB20" i="13"/>
  <c r="AY26" i="12"/>
  <c r="AZ26" i="12" s="1"/>
  <c r="BB22" i="12"/>
  <c r="BB25" i="12"/>
  <c r="AY22" i="12"/>
  <c r="BA22" i="12" s="1"/>
  <c r="BC22" i="12" s="1"/>
  <c r="BB17" i="12"/>
  <c r="AY16" i="12"/>
  <c r="AZ16" i="12" s="1"/>
  <c r="BD9" i="14"/>
  <c r="BE9" i="14" s="1"/>
  <c r="BD15" i="14"/>
  <c r="BF15" i="14" s="1"/>
  <c r="BH15" i="14" s="1"/>
  <c r="BG15" i="14"/>
  <c r="BG9" i="14"/>
  <c r="BB16" i="12"/>
  <c r="AY21" i="13"/>
  <c r="AZ21" i="13" s="1"/>
  <c r="BB18" i="12"/>
  <c r="BB10" i="12"/>
  <c r="BB21" i="13"/>
  <c r="AY18" i="12"/>
  <c r="AZ18" i="12" s="1"/>
  <c r="BB11" i="12"/>
  <c r="AY11" i="12"/>
  <c r="BA11" i="12" s="1"/>
  <c r="BC11" i="12" s="1"/>
  <c r="AY10" i="12"/>
  <c r="AZ10" i="12" s="1"/>
  <c r="AY13" i="12"/>
  <c r="BA13" i="12" s="1"/>
  <c r="BC13" i="12" s="1"/>
  <c r="AY8" i="12"/>
  <c r="BA8" i="12" s="1"/>
  <c r="BC8" i="12" s="1"/>
  <c r="BB15" i="12"/>
  <c r="BB8" i="12"/>
  <c r="AY15" i="12"/>
  <c r="AZ15" i="12" s="1"/>
  <c r="BB13" i="12"/>
  <c r="DI54" i="28"/>
  <c r="CD54" i="28"/>
  <c r="DH54" i="28"/>
  <c r="CI54" i="28"/>
  <c r="BZ54" i="28"/>
  <c r="DE54" i="28"/>
  <c r="BY54" i="28"/>
  <c r="BR54" i="28"/>
  <c r="BM54" i="28"/>
  <c r="DC54" i="28"/>
  <c r="BQ54" i="28"/>
  <c r="CL54" i="28"/>
  <c r="BO54" i="28"/>
  <c r="BW54" i="28"/>
  <c r="DD54" i="28"/>
  <c r="BS54" i="28"/>
  <c r="BN54" i="28"/>
  <c r="DF54" i="28"/>
  <c r="DG54" i="28"/>
  <c r="CB54" i="28"/>
  <c r="CK54" i="28"/>
  <c r="CC54" i="28"/>
  <c r="CH54" i="28"/>
  <c r="CE54" i="28"/>
  <c r="CF54" i="28"/>
  <c r="BV54" i="28"/>
  <c r="CG54" i="28"/>
  <c r="BT54" i="28"/>
  <c r="BX54" i="28"/>
  <c r="CA54" i="28"/>
  <c r="CJ54" i="28"/>
  <c r="BP54" i="28"/>
  <c r="BU54" i="28"/>
  <c r="AY19" i="13"/>
  <c r="BA19" i="13" s="1"/>
  <c r="BC19" i="13" s="1"/>
  <c r="BB19" i="13"/>
  <c r="BB14" i="12"/>
  <c r="AY20" i="12"/>
  <c r="BA20" i="12" s="1"/>
  <c r="BC20" i="12" s="1"/>
  <c r="BB20" i="12"/>
  <c r="AY19" i="12"/>
  <c r="AZ19" i="12" s="1"/>
  <c r="BB19" i="12"/>
  <c r="AY14" i="12"/>
  <c r="BA14" i="12" s="1"/>
  <c r="BC14" i="12" s="1"/>
  <c r="T122" i="23"/>
  <c r="U122" i="23"/>
  <c r="AY12" i="12"/>
  <c r="AZ12" i="12" s="1"/>
  <c r="BB12" i="12"/>
  <c r="BB9" i="12"/>
  <c r="AY9" i="12"/>
  <c r="AZ9" i="12" s="1"/>
  <c r="AV32" i="12"/>
  <c r="AT32" i="12"/>
  <c r="AH32" i="12"/>
  <c r="AI32" i="12"/>
  <c r="AF32" i="12"/>
  <c r="AM22" i="10"/>
  <c r="AO22" i="10" s="1"/>
  <c r="AM26" i="10"/>
  <c r="AO26" i="10" s="1"/>
  <c r="AM25" i="10"/>
  <c r="AO25" i="10" s="1"/>
  <c r="AL25" i="10"/>
  <c r="AM21" i="10"/>
  <c r="AO21" i="10" s="1"/>
  <c r="BG19" i="14"/>
  <c r="BD19" i="14"/>
  <c r="BF19" i="14" s="1"/>
  <c r="BH19" i="14" s="1"/>
  <c r="AI6" i="26"/>
  <c r="AJ6" i="26" s="1"/>
  <c r="AU32" i="12"/>
  <c r="AO32" i="12"/>
  <c r="AG32" i="12"/>
  <c r="AP32" i="12"/>
  <c r="AX32" i="12"/>
  <c r="AK32" i="12"/>
  <c r="AM32" i="12"/>
  <c r="AN32" i="12"/>
  <c r="AE32" i="12"/>
  <c r="AJ32" i="12"/>
  <c r="AW32" i="12"/>
  <c r="AR32" i="12"/>
  <c r="AQ32" i="12"/>
  <c r="AL32" i="12"/>
  <c r="AS32" i="12"/>
  <c r="AL6" i="26"/>
  <c r="BA23" i="12"/>
  <c r="BC23" i="12" s="1"/>
  <c r="BA7" i="12"/>
  <c r="BC7" i="12" s="1"/>
  <c r="BG11" i="14"/>
  <c r="BD11" i="14"/>
  <c r="BE11" i="14" s="1"/>
  <c r="BG10" i="14"/>
  <c r="BD10" i="14"/>
  <c r="BF10" i="14" s="1"/>
  <c r="BH10" i="14" s="1"/>
  <c r="AZ21" i="12"/>
  <c r="BA6" i="12"/>
  <c r="BC6" i="12" s="1"/>
  <c r="AZ6" i="12"/>
  <c r="BA25" i="12"/>
  <c r="BC25" i="12" s="1"/>
  <c r="AZ25" i="12"/>
  <c r="AZ24" i="12"/>
  <c r="BA24" i="12"/>
  <c r="BC24" i="12" s="1"/>
  <c r="AL15" i="26"/>
  <c r="AN19" i="10"/>
  <c r="AL23" i="10"/>
  <c r="AM23" i="10"/>
  <c r="AO23" i="10" s="1"/>
  <c r="AK19" i="10"/>
  <c r="AM19" i="10" s="1"/>
  <c r="AO19" i="10" s="1"/>
  <c r="AN20" i="10"/>
  <c r="AK20" i="10"/>
  <c r="AL20" i="10" s="1"/>
  <c r="AK15" i="10"/>
  <c r="AM15" i="10" s="1"/>
  <c r="AO15" i="10" s="1"/>
  <c r="AN15" i="10"/>
  <c r="AN13" i="10"/>
  <c r="AK13" i="10"/>
  <c r="AM13" i="10" s="1"/>
  <c r="AO13" i="10" s="1"/>
  <c r="BD14" i="14"/>
  <c r="BF14" i="14" s="1"/>
  <c r="BH14" i="14" s="1"/>
  <c r="BG14" i="14"/>
  <c r="BG7" i="14"/>
  <c r="BD7" i="14"/>
  <c r="BE7" i="14" s="1"/>
  <c r="BD18" i="14"/>
  <c r="BF18" i="14" s="1"/>
  <c r="BH18" i="14" s="1"/>
  <c r="BG18" i="14"/>
  <c r="AY18" i="13"/>
  <c r="BA18" i="13" s="1"/>
  <c r="BC18" i="13" s="1"/>
  <c r="BB18" i="13"/>
  <c r="BB17" i="13"/>
  <c r="AY17" i="13"/>
  <c r="BA17" i="13" s="1"/>
  <c r="BC17" i="13" s="1"/>
  <c r="BB16" i="13"/>
  <c r="AY16" i="13"/>
  <c r="BA16" i="13" s="1"/>
  <c r="BC16" i="13" s="1"/>
  <c r="BB13" i="13"/>
  <c r="AY13" i="13"/>
  <c r="AZ13" i="13" s="1"/>
  <c r="AL11" i="26"/>
  <c r="AI11" i="26"/>
  <c r="AK11" i="26" s="1"/>
  <c r="AM11" i="26" s="1"/>
  <c r="BG8" i="14"/>
  <c r="BD13" i="14"/>
  <c r="BE13" i="14" s="1"/>
  <c r="BD6" i="14"/>
  <c r="BE6" i="14" s="1"/>
  <c r="BG13" i="14"/>
  <c r="BD8" i="14"/>
  <c r="BE8" i="14" s="1"/>
  <c r="BG6" i="14"/>
  <c r="BG17" i="14"/>
  <c r="BD16" i="14"/>
  <c r="BE16" i="14" s="1"/>
  <c r="BD12" i="14"/>
  <c r="BF12" i="14" s="1"/>
  <c r="BH12" i="14" s="1"/>
  <c r="BG12" i="14"/>
  <c r="BB12" i="13"/>
  <c r="AI15" i="26"/>
  <c r="AK15" i="26" s="1"/>
  <c r="AM15" i="26" s="1"/>
  <c r="AL10" i="26"/>
  <c r="AI10" i="26"/>
  <c r="AK10" i="26" s="1"/>
  <c r="AM10" i="26" s="1"/>
  <c r="AN14" i="10"/>
  <c r="AK14" i="10"/>
  <c r="AL14" i="10" s="1"/>
  <c r="AI7" i="26"/>
  <c r="AK7" i="26" s="1"/>
  <c r="AM7" i="26" s="1"/>
  <c r="AL8" i="26"/>
  <c r="AL9" i="26"/>
  <c r="AL7" i="26"/>
  <c r="AI9" i="26"/>
  <c r="AK9" i="26" s="1"/>
  <c r="AM9" i="26" s="1"/>
  <c r="AI8" i="26"/>
  <c r="AJ8" i="26" s="1"/>
  <c r="AY12" i="13"/>
  <c r="AZ12" i="13" s="1"/>
  <c r="BG16" i="14"/>
  <c r="BD17" i="14"/>
  <c r="BE17" i="14" s="1"/>
  <c r="AN12" i="10"/>
  <c r="AY14" i="13"/>
  <c r="AZ14" i="13" s="1"/>
  <c r="BB14" i="13"/>
  <c r="AY11" i="13"/>
  <c r="BA11" i="13" s="1"/>
  <c r="BC11" i="13" s="1"/>
  <c r="BB11" i="13"/>
  <c r="BB10" i="13"/>
  <c r="AY10" i="13"/>
  <c r="AZ10" i="13" s="1"/>
  <c r="AY8" i="13"/>
  <c r="AZ8" i="13" s="1"/>
  <c r="BB8" i="13"/>
  <c r="AY6" i="13"/>
  <c r="AZ6" i="13" s="1"/>
  <c r="AL12" i="26"/>
  <c r="AL14" i="26"/>
  <c r="AI14" i="26"/>
  <c r="AJ14" i="26" s="1"/>
  <c r="AL13" i="26"/>
  <c r="AI13" i="26"/>
  <c r="AJ13" i="26" s="1"/>
  <c r="AI12" i="26"/>
  <c r="AK12" i="26" s="1"/>
  <c r="AM12" i="26" s="1"/>
  <c r="AK12" i="10"/>
  <c r="AL12" i="10" s="1"/>
  <c r="BB6" i="13"/>
  <c r="AK11" i="10"/>
  <c r="AL11" i="10" s="1"/>
  <c r="AN8" i="10"/>
  <c r="AN11" i="10"/>
  <c r="AK8" i="10"/>
  <c r="AM8" i="10" s="1"/>
  <c r="AO8" i="10" s="1"/>
  <c r="N49" i="7"/>
  <c r="BB15" i="13"/>
  <c r="AY15" i="13"/>
  <c r="BA15" i="13" s="1"/>
  <c r="BC15" i="13" s="1"/>
  <c r="BB9" i="13"/>
  <c r="AY9" i="13"/>
  <c r="BA9" i="13" s="1"/>
  <c r="BC9" i="13" s="1"/>
  <c r="M43" i="7"/>
  <c r="N43" i="7"/>
  <c r="N45" i="7"/>
  <c r="M45" i="7"/>
  <c r="AK10" i="10"/>
  <c r="AN10" i="10"/>
  <c r="AN9" i="10"/>
  <c r="AK9" i="10"/>
  <c r="BA27" i="13"/>
  <c r="BC27" i="13" s="1"/>
  <c r="AZ27" i="13"/>
  <c r="AN6" i="10"/>
  <c r="AK6" i="10"/>
  <c r="AK7" i="10"/>
  <c r="AN7" i="10"/>
  <c r="AJ19" i="26"/>
  <c r="AK19" i="26"/>
  <c r="AM19" i="26" s="1"/>
  <c r="BF27" i="14"/>
  <c r="BH27" i="14" s="1"/>
  <c r="BE27" i="14"/>
  <c r="BF26" i="14"/>
  <c r="BH26" i="14" s="1"/>
  <c r="BE26" i="14"/>
  <c r="BE25" i="14"/>
  <c r="BF25" i="14"/>
  <c r="BH25" i="14" s="1"/>
  <c r="BE24" i="14"/>
  <c r="BF24" i="14"/>
  <c r="BH24" i="14" s="1"/>
  <c r="BE23" i="14"/>
  <c r="BF23" i="14"/>
  <c r="BH23" i="14" s="1"/>
  <c r="BE22" i="14"/>
  <c r="BF22" i="14"/>
  <c r="BH22" i="14" s="1"/>
  <c r="BF21" i="14"/>
  <c r="BH21" i="14" s="1"/>
  <c r="BE21" i="14"/>
  <c r="BE20" i="14"/>
  <c r="BF20" i="14"/>
  <c r="BH20" i="14" s="1"/>
  <c r="AK25" i="26"/>
  <c r="AM25" i="26" s="1"/>
  <c r="AJ25" i="26"/>
  <c r="AK24" i="26"/>
  <c r="AM24" i="26" s="1"/>
  <c r="AJ24" i="26"/>
  <c r="AK23" i="26"/>
  <c r="AM23" i="26" s="1"/>
  <c r="AJ23" i="26"/>
  <c r="AK16" i="26"/>
  <c r="AM16" i="26" s="1"/>
  <c r="AJ16" i="26"/>
  <c r="AL18" i="10"/>
  <c r="AM18" i="10"/>
  <c r="AO18" i="10" s="1"/>
  <c r="AM17" i="10"/>
  <c r="AO17" i="10" s="1"/>
  <c r="AL17" i="10"/>
  <c r="AL16" i="10"/>
  <c r="AM16" i="10"/>
  <c r="AO16" i="10" s="1"/>
  <c r="BA25" i="13"/>
  <c r="BC25" i="13" s="1"/>
  <c r="AZ25" i="13"/>
  <c r="BA24" i="13"/>
  <c r="BC24" i="13" s="1"/>
  <c r="AZ24" i="13"/>
  <c r="AZ23" i="13"/>
  <c r="BA23" i="13"/>
  <c r="BC23" i="13" s="1"/>
  <c r="BA22" i="13"/>
  <c r="BC22" i="13" s="1"/>
  <c r="AZ22" i="13"/>
  <c r="FI23" i="9" l="1"/>
  <c r="FI21" i="9"/>
  <c r="FI10" i="9"/>
  <c r="FI22" i="9"/>
  <c r="FJ7" i="9"/>
  <c r="FJ8" i="9"/>
  <c r="FI17" i="9"/>
  <c r="FI15" i="9"/>
  <c r="FI14" i="9"/>
  <c r="FI11" i="9"/>
  <c r="FJ16" i="9"/>
  <c r="FJ13" i="9"/>
  <c r="FI9" i="9"/>
  <c r="FI24" i="9"/>
  <c r="FI18" i="9"/>
  <c r="FI6" i="9"/>
  <c r="FI19" i="9"/>
  <c r="FI12" i="9"/>
  <c r="FJ25" i="9"/>
  <c r="FI25" i="9"/>
  <c r="AK21" i="26"/>
  <c r="AM21" i="26" s="1"/>
  <c r="AK22" i="26"/>
  <c r="AM22" i="26" s="1"/>
  <c r="AJ18" i="26"/>
  <c r="AK17" i="26"/>
  <c r="AM17" i="26" s="1"/>
  <c r="AZ7" i="13"/>
  <c r="AK20" i="26"/>
  <c r="AM20" i="26" s="1"/>
  <c r="AZ20" i="13"/>
  <c r="BA21" i="13"/>
  <c r="BC21" i="13" s="1"/>
  <c r="AZ22" i="12"/>
  <c r="BA17" i="12"/>
  <c r="BC17" i="12" s="1"/>
  <c r="BA26" i="12"/>
  <c r="BC26" i="12" s="1"/>
  <c r="BA16" i="12"/>
  <c r="BC16" i="12" s="1"/>
  <c r="BA18" i="12"/>
  <c r="BC18" i="12" s="1"/>
  <c r="AZ8" i="12"/>
  <c r="BF9" i="14"/>
  <c r="BH9" i="14" s="1"/>
  <c r="BE15" i="14"/>
  <c r="BA10" i="12"/>
  <c r="BC10" i="12" s="1"/>
  <c r="AZ13" i="12"/>
  <c r="AZ11" i="12"/>
  <c r="BA15" i="12"/>
  <c r="BC15" i="12" s="1"/>
  <c r="BB32" i="12"/>
  <c r="DK54" i="28"/>
  <c r="AZ14" i="12"/>
  <c r="AZ19" i="13"/>
  <c r="AZ20" i="12"/>
  <c r="AY32" i="12"/>
  <c r="BA32" i="12" s="1"/>
  <c r="BA19" i="12"/>
  <c r="BC19" i="12" s="1"/>
  <c r="BA12" i="12"/>
  <c r="BC12" i="12" s="1"/>
  <c r="BA9" i="12"/>
  <c r="BC9" i="12" s="1"/>
  <c r="AK6" i="26"/>
  <c r="AM6" i="26" s="1"/>
  <c r="AL19" i="10"/>
  <c r="BE19" i="14"/>
  <c r="BF11" i="14"/>
  <c r="BH11" i="14" s="1"/>
  <c r="BE10" i="14"/>
  <c r="BF7" i="14"/>
  <c r="BH7" i="14" s="1"/>
  <c r="AM20" i="10"/>
  <c r="AO20" i="10" s="1"/>
  <c r="AL15" i="10"/>
  <c r="AL13" i="10"/>
  <c r="AJ11" i="26"/>
  <c r="BE18" i="14"/>
  <c r="BE14" i="14"/>
  <c r="AZ18" i="13"/>
  <c r="BF13" i="14"/>
  <c r="BH13" i="14" s="1"/>
  <c r="BF8" i="14"/>
  <c r="BH8" i="14" s="1"/>
  <c r="AZ17" i="13"/>
  <c r="AZ16" i="13"/>
  <c r="BA13" i="13"/>
  <c r="BC13" i="13" s="1"/>
  <c r="BF6" i="14"/>
  <c r="BH6" i="14" s="1"/>
  <c r="BG28" i="14"/>
  <c r="AJ9" i="26"/>
  <c r="BF16" i="14"/>
  <c r="BH16" i="14" s="1"/>
  <c r="BF17" i="14"/>
  <c r="BH17" i="14" s="1"/>
  <c r="BD28" i="14"/>
  <c r="BE12" i="14"/>
  <c r="AJ15" i="26"/>
  <c r="BA12" i="13"/>
  <c r="BC12" i="13" s="1"/>
  <c r="AJ7" i="26"/>
  <c r="AJ10" i="26"/>
  <c r="AM14" i="10"/>
  <c r="AO14" i="10" s="1"/>
  <c r="AK8" i="26"/>
  <c r="AM8" i="26" s="1"/>
  <c r="AL28" i="26"/>
  <c r="BA8" i="13"/>
  <c r="BC8" i="13" s="1"/>
  <c r="BA10" i="13"/>
  <c r="BC10" i="13" s="1"/>
  <c r="BA14" i="13"/>
  <c r="BC14" i="13" s="1"/>
  <c r="AK14" i="26"/>
  <c r="AM14" i="26" s="1"/>
  <c r="AZ11" i="13"/>
  <c r="AM12" i="10"/>
  <c r="AO12" i="10" s="1"/>
  <c r="BA6" i="13"/>
  <c r="AJ12" i="26"/>
  <c r="AK13" i="26"/>
  <c r="AM13" i="26" s="1"/>
  <c r="AI28" i="26"/>
  <c r="AL8" i="10"/>
  <c r="AM11" i="10"/>
  <c r="AO11" i="10" s="1"/>
  <c r="AZ15" i="13"/>
  <c r="BB28" i="13"/>
  <c r="AZ9" i="13"/>
  <c r="AY28" i="13"/>
  <c r="AN28" i="10"/>
  <c r="AM10" i="10"/>
  <c r="AO10" i="10" s="1"/>
  <c r="AL10" i="10"/>
  <c r="AL9" i="10"/>
  <c r="AM9" i="10"/>
  <c r="AO9" i="10" s="1"/>
  <c r="AM6" i="10"/>
  <c r="AO6" i="10" s="1"/>
  <c r="AL6" i="10"/>
  <c r="AK28" i="10"/>
  <c r="AL7" i="10"/>
  <c r="AM7" i="10"/>
  <c r="AO7" i="10" s="1"/>
  <c r="F9" i="7"/>
  <c r="BF26" i="12" l="1"/>
  <c r="BI26" i="12" s="1"/>
  <c r="AZ32" i="12"/>
  <c r="BF25" i="12"/>
  <c r="BH25" i="12" s="1"/>
  <c r="BF7" i="12"/>
  <c r="BI7" i="12" s="1"/>
  <c r="BF17" i="12"/>
  <c r="BG17" i="12" s="1"/>
  <c r="BF18" i="12"/>
  <c r="BI18" i="12" s="1"/>
  <c r="BF24" i="12"/>
  <c r="BH24" i="12" s="1"/>
  <c r="BF15" i="12"/>
  <c r="BG15" i="12" s="1"/>
  <c r="BF12" i="12"/>
  <c r="BG12" i="12" s="1"/>
  <c r="BF8" i="12"/>
  <c r="BI8" i="12" s="1"/>
  <c r="BF22" i="12"/>
  <c r="BG22" i="12" s="1"/>
  <c r="BF10" i="12"/>
  <c r="BI10" i="12" s="1"/>
  <c r="BF11" i="12"/>
  <c r="BG11" i="12" s="1"/>
  <c r="BC32" i="12"/>
  <c r="BF20" i="12"/>
  <c r="BI20" i="12" s="1"/>
  <c r="BF9" i="12"/>
  <c r="BH9" i="12" s="1"/>
  <c r="BF19" i="12"/>
  <c r="BG19" i="12" s="1"/>
  <c r="BF21" i="12"/>
  <c r="BI21" i="12" s="1"/>
  <c r="BF13" i="12"/>
  <c r="BH13" i="12" s="1"/>
  <c r="BF16" i="12"/>
  <c r="BH16" i="12" s="1"/>
  <c r="BF14" i="12"/>
  <c r="BH14" i="12" s="1"/>
  <c r="BF6" i="12"/>
  <c r="BH6" i="12" s="1"/>
  <c r="BF23" i="12"/>
  <c r="BG23" i="12" s="1"/>
  <c r="BF27" i="12"/>
  <c r="BI27" i="12" s="1"/>
  <c r="BE28" i="14"/>
  <c r="BF28" i="14"/>
  <c r="AJ28" i="26"/>
  <c r="BA28" i="13"/>
  <c r="BC6" i="13"/>
  <c r="BC28" i="13" s="1"/>
  <c r="AK28" i="26"/>
  <c r="AZ28" i="13"/>
  <c r="AO28" i="10"/>
  <c r="AL28" i="10"/>
  <c r="AM28" i="10"/>
  <c r="BH28" i="14"/>
  <c r="AM28" i="26"/>
  <c r="BH26" i="12" l="1"/>
  <c r="BG26" i="12"/>
  <c r="BH7" i="12"/>
  <c r="BG7" i="12"/>
  <c r="BI25" i="12"/>
  <c r="BG25" i="12"/>
  <c r="BH15" i="12"/>
  <c r="BH17" i="12"/>
  <c r="BG24" i="12"/>
  <c r="BI24" i="12"/>
  <c r="BI17" i="12"/>
  <c r="BG18" i="12"/>
  <c r="BH18" i="12"/>
  <c r="BI15" i="12"/>
  <c r="BG8" i="12"/>
  <c r="BH8" i="12"/>
  <c r="BH12" i="12"/>
  <c r="BI12" i="12"/>
  <c r="BG10" i="12"/>
  <c r="BH10" i="12"/>
  <c r="BH11" i="12"/>
  <c r="BI22" i="12"/>
  <c r="BI11" i="12"/>
  <c r="BH22" i="12"/>
  <c r="BI9" i="12"/>
  <c r="BG9" i="12"/>
  <c r="BH19" i="12"/>
  <c r="BG20" i="12"/>
  <c r="BH20" i="12"/>
  <c r="BI19" i="12"/>
  <c r="BG21" i="12"/>
  <c r="BH21" i="12"/>
  <c r="BI16" i="12"/>
  <c r="BI13" i="12"/>
  <c r="BG13" i="12"/>
  <c r="BI14" i="12"/>
  <c r="BG14" i="12"/>
  <c r="BG16" i="12"/>
  <c r="BH23" i="12"/>
  <c r="BI23" i="12"/>
  <c r="BG27" i="12"/>
  <c r="BH28" i="12"/>
  <c r="BH27" i="12"/>
  <c r="BI6" i="12"/>
  <c r="BG6" i="12"/>
  <c r="AC6" i="29"/>
  <c r="AW54" i="28"/>
  <c r="AY54" i="28"/>
  <c r="BA54" i="28"/>
  <c r="AA56" i="28" s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H61" i="1" s="1"/>
  <c r="G62" i="1"/>
  <c r="H62" i="1" s="1"/>
  <c r="P7" i="50" l="1"/>
  <c r="G64" i="1"/>
  <c r="H64" i="1" s="1"/>
  <c r="G44" i="7"/>
  <c r="G66" i="1"/>
  <c r="H66" i="1" s="1"/>
  <c r="G46" i="7"/>
  <c r="G67" i="1"/>
  <c r="H67" i="1" s="1"/>
  <c r="G47" i="7"/>
  <c r="G68" i="1"/>
  <c r="H68" i="1" s="1"/>
  <c r="G48" i="7"/>
  <c r="G70" i="1"/>
  <c r="H70" i="1" s="1"/>
  <c r="G50" i="7"/>
  <c r="G71" i="1"/>
  <c r="H71" i="1" s="1"/>
  <c r="G51" i="7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C8" i="18"/>
  <c r="Q1" i="33"/>
  <c r="C84" i="32"/>
  <c r="Q52" i="26"/>
  <c r="G52" i="16" s="1"/>
  <c r="L29" i="18"/>
  <c r="L42" i="18" s="1"/>
  <c r="L49" i="18" s="1"/>
  <c r="E18" i="18"/>
  <c r="G15" i="18"/>
  <c r="G16" i="18"/>
  <c r="G17" i="18"/>
  <c r="M7" i="18"/>
  <c r="G29" i="18" s="1"/>
  <c r="G42" i="18" s="1"/>
  <c r="G49" i="18" s="1"/>
  <c r="L7" i="18"/>
  <c r="B29" i="18" s="1"/>
  <c r="B42" i="18" s="1"/>
  <c r="B49" i="18" s="1"/>
  <c r="N18" i="18"/>
  <c r="C9" i="18"/>
  <c r="C10" i="18"/>
  <c r="C11" i="18"/>
  <c r="C12" i="18"/>
  <c r="L82" i="18" l="1"/>
  <c r="S9" i="69" s="1"/>
  <c r="BC18" i="50"/>
  <c r="B24" i="18"/>
  <c r="H24" i="18" s="1"/>
  <c r="BD18" i="50"/>
  <c r="L86" i="32"/>
  <c r="B86" i="32"/>
  <c r="M152" i="23" l="1"/>
  <c r="H152" i="23"/>
  <c r="U44" i="23" s="1"/>
  <c r="C152" i="23"/>
  <c r="O151" i="23"/>
  <c r="J151" i="23"/>
  <c r="E151" i="23"/>
  <c r="O150" i="23"/>
  <c r="J150" i="23"/>
  <c r="E150" i="23"/>
  <c r="O149" i="23"/>
  <c r="J149" i="23"/>
  <c r="E149" i="23"/>
  <c r="U42" i="23"/>
  <c r="R84" i="32"/>
  <c r="Q84" i="32"/>
  <c r="P84" i="32"/>
  <c r="M14" i="18" s="1"/>
  <c r="O84" i="32"/>
  <c r="L14" i="18" s="1"/>
  <c r="N84" i="32"/>
  <c r="M13" i="18" s="1"/>
  <c r="L13" i="18"/>
  <c r="M12" i="18"/>
  <c r="L12" i="18"/>
  <c r="J84" i="32"/>
  <c r="M11" i="18" s="1"/>
  <c r="I84" i="32"/>
  <c r="L11" i="18" s="1"/>
  <c r="H84" i="32"/>
  <c r="M10" i="18" s="1"/>
  <c r="G84" i="32"/>
  <c r="L10" i="18" s="1"/>
  <c r="F84" i="32"/>
  <c r="M9" i="18" s="1"/>
  <c r="E84" i="32"/>
  <c r="L9" i="18" s="1"/>
  <c r="D84" i="32"/>
  <c r="M8" i="18" s="1"/>
  <c r="L63" i="18" s="1"/>
  <c r="L8" i="18"/>
  <c r="T84" i="32"/>
  <c r="S84" i="32"/>
  <c r="U84" i="32"/>
  <c r="N51" i="18"/>
  <c r="M52" i="18"/>
  <c r="I51" i="18"/>
  <c r="N44" i="18"/>
  <c r="I44" i="18"/>
  <c r="I105" i="18"/>
  <c r="S54" i="28"/>
  <c r="T54" i="28"/>
  <c r="U54" i="28"/>
  <c r="V54" i="28"/>
  <c r="X54" i="28"/>
  <c r="U55" i="23" l="1"/>
  <c r="S28" i="23"/>
  <c r="M63" i="18"/>
  <c r="O63" i="18" s="1"/>
  <c r="O64" i="18" s="1"/>
  <c r="U45" i="23"/>
  <c r="V44" i="23"/>
  <c r="X44" i="23" s="1"/>
  <c r="U43" i="23"/>
  <c r="S85" i="32"/>
  <c r="Q85" i="32"/>
  <c r="O85" i="32"/>
  <c r="M85" i="32"/>
  <c r="K85" i="32"/>
  <c r="H86" i="32"/>
  <c r="J152" i="23"/>
  <c r="O152" i="23"/>
  <c r="E152" i="23"/>
  <c r="O51" i="18"/>
  <c r="O52" i="18" s="1"/>
  <c r="AC7" i="29"/>
  <c r="K13" i="18"/>
  <c r="K12" i="18"/>
  <c r="K11" i="18"/>
  <c r="K10" i="18"/>
  <c r="Y7" i="13"/>
  <c r="E9" i="1"/>
  <c r="BD9" i="50" s="1"/>
  <c r="E8" i="1"/>
  <c r="B5" i="7"/>
  <c r="C5" i="7"/>
  <c r="K5" i="7" s="1"/>
  <c r="Q7" i="26"/>
  <c r="G7" i="16" s="1"/>
  <c r="Q8" i="26"/>
  <c r="G8" i="16" s="1"/>
  <c r="AB7" i="14"/>
  <c r="M7" i="16" s="1"/>
  <c r="W7" i="30"/>
  <c r="W8" i="30"/>
  <c r="N21" i="27"/>
  <c r="R21" i="27" s="1"/>
  <c r="Q86" i="33"/>
  <c r="P86" i="33"/>
  <c r="O86" i="33"/>
  <c r="I86" i="33"/>
  <c r="H86" i="33"/>
  <c r="G86" i="33"/>
  <c r="F86" i="33"/>
  <c r="E86" i="33"/>
  <c r="D86" i="33"/>
  <c r="C86" i="33"/>
  <c r="V84" i="32"/>
  <c r="S86" i="32" s="1"/>
  <c r="G85" i="32"/>
  <c r="F19" i="1" s="1"/>
  <c r="E54" i="26"/>
  <c r="F54" i="26"/>
  <c r="G54" i="26"/>
  <c r="H54" i="26"/>
  <c r="I54" i="26"/>
  <c r="J54" i="26"/>
  <c r="K54" i="26"/>
  <c r="L54" i="26"/>
  <c r="M54" i="26"/>
  <c r="N54" i="26"/>
  <c r="O54" i="26"/>
  <c r="P54" i="26"/>
  <c r="R54" i="28"/>
  <c r="G12" i="31"/>
  <c r="F12" i="31"/>
  <c r="Z40" i="31"/>
  <c r="AA16" i="31"/>
  <c r="AF21" i="31"/>
  <c r="AE21" i="31"/>
  <c r="AD21" i="31"/>
  <c r="AC20" i="31"/>
  <c r="AB19" i="31"/>
  <c r="Z19" i="31"/>
  <c r="AA18" i="31"/>
  <c r="Z18" i="31"/>
  <c r="Z17" i="31"/>
  <c r="AA17" i="31" s="1"/>
  <c r="AC17" i="31" s="1"/>
  <c r="Z16" i="31"/>
  <c r="AA15" i="31"/>
  <c r="AA14" i="31"/>
  <c r="Z14" i="31"/>
  <c r="K7" i="16" l="1"/>
  <c r="AA7" i="13"/>
  <c r="E44" i="16"/>
  <c r="E10" i="16"/>
  <c r="E11" i="16"/>
  <c r="E12" i="16"/>
  <c r="E14" i="16"/>
  <c r="E15" i="16"/>
  <c r="E52" i="16"/>
  <c r="E9" i="16"/>
  <c r="E13" i="16"/>
  <c r="E16" i="16"/>
  <c r="E50" i="16"/>
  <c r="E8" i="16"/>
  <c r="E49" i="16"/>
  <c r="E7" i="16"/>
  <c r="E18" i="16"/>
  <c r="E6" i="16"/>
  <c r="P8" i="50"/>
  <c r="H63" i="18"/>
  <c r="BH19" i="50"/>
  <c r="BE19" i="50"/>
  <c r="BG19" i="50"/>
  <c r="M64" i="18"/>
  <c r="V45" i="23"/>
  <c r="X45" i="23" s="1"/>
  <c r="V43" i="23"/>
  <c r="X43" i="23" s="1"/>
  <c r="D14" i="18"/>
  <c r="BI19" i="50"/>
  <c r="X8" i="30"/>
  <c r="Z7" i="13"/>
  <c r="S7" i="26"/>
  <c r="AD7" i="14"/>
  <c r="F6" i="7"/>
  <c r="E25" i="1"/>
  <c r="F5" i="7"/>
  <c r="B88" i="32"/>
  <c r="O14" i="18"/>
  <c r="D13" i="18"/>
  <c r="U85" i="32"/>
  <c r="O11" i="18"/>
  <c r="I85" i="32"/>
  <c r="O13" i="18"/>
  <c r="C31" i="18"/>
  <c r="C85" i="32"/>
  <c r="D19" i="1" s="1"/>
  <c r="O12" i="18"/>
  <c r="AE7" i="29"/>
  <c r="R8" i="50" s="1"/>
  <c r="AD7" i="29"/>
  <c r="Q8" i="50" s="1"/>
  <c r="G25" i="1"/>
  <c r="D12" i="18"/>
  <c r="AC7" i="14"/>
  <c r="D10" i="18"/>
  <c r="Y7" i="30"/>
  <c r="X7" i="30"/>
  <c r="C87" i="33"/>
  <c r="R86" i="33"/>
  <c r="H82" i="18" s="1"/>
  <c r="R43" i="33"/>
  <c r="C82" i="18" s="1"/>
  <c r="AC19" i="31"/>
  <c r="AG21" i="31"/>
  <c r="AC16" i="31"/>
  <c r="Z41" i="31"/>
  <c r="AB18" i="31"/>
  <c r="AA21" i="31"/>
  <c r="AC14" i="31"/>
  <c r="Z15" i="31"/>
  <c r="AC15" i="31" s="1"/>
  <c r="V34" i="33" l="1"/>
  <c r="V33" i="33"/>
  <c r="BF19" i="50"/>
  <c r="F25" i="1"/>
  <c r="D8" i="17"/>
  <c r="E8" i="17" s="1"/>
  <c r="F8" i="17" s="1"/>
  <c r="S8" i="50"/>
  <c r="E5" i="7"/>
  <c r="L5" i="7" s="1"/>
  <c r="J25" i="1"/>
  <c r="G14" i="18"/>
  <c r="G13" i="18"/>
  <c r="G12" i="18"/>
  <c r="G10" i="18"/>
  <c r="M18" i="18"/>
  <c r="O10" i="18"/>
  <c r="L18" i="18"/>
  <c r="D11" i="18"/>
  <c r="D8" i="18"/>
  <c r="O8" i="18"/>
  <c r="O9" i="18"/>
  <c r="E85" i="32"/>
  <c r="E19" i="1" s="1"/>
  <c r="P5" i="7"/>
  <c r="H25" i="1"/>
  <c r="I25" i="1"/>
  <c r="Z21" i="31"/>
  <c r="AC18" i="31"/>
  <c r="AB21" i="31"/>
  <c r="V35" i="33" l="1"/>
  <c r="K19" i="1"/>
  <c r="BC19" i="50"/>
  <c r="N5" i="7"/>
  <c r="M5" i="7"/>
  <c r="G11" i="18"/>
  <c r="G8" i="18"/>
  <c r="D9" i="18"/>
  <c r="C24" i="18" s="1"/>
  <c r="O18" i="18"/>
  <c r="AC21" i="31"/>
  <c r="K20" i="1" l="1"/>
  <c r="BL19" i="50"/>
  <c r="BD19" i="50"/>
  <c r="L24" i="18"/>
  <c r="I25" i="18"/>
  <c r="K25" i="18" s="1"/>
  <c r="L25" i="18" s="1"/>
  <c r="G9" i="18"/>
  <c r="Z22" i="31"/>
  <c r="AA22" i="31"/>
  <c r="AB22" i="31"/>
  <c r="C25" i="18" l="1"/>
  <c r="F24" i="18"/>
  <c r="G18" i="18"/>
  <c r="AI54" i="9"/>
  <c r="AJ54" i="9"/>
  <c r="AK54" i="9"/>
  <c r="AL54" i="9"/>
  <c r="AM54" i="9"/>
  <c r="AN54" i="9"/>
  <c r="AO54" i="9"/>
  <c r="AP54" i="9"/>
  <c r="AQ54" i="9"/>
  <c r="AR54" i="9"/>
  <c r="AS54" i="9"/>
  <c r="AT54" i="9"/>
  <c r="BF54" i="9"/>
  <c r="BG54" i="9"/>
  <c r="BH54" i="9"/>
  <c r="BI54" i="9"/>
  <c r="BJ54" i="9"/>
  <c r="BO54" i="9"/>
  <c r="BQ54" i="9"/>
  <c r="E26" i="1"/>
  <c r="D9" i="17" s="1"/>
  <c r="E9" i="17" s="1"/>
  <c r="F9" i="17" s="1"/>
  <c r="E48" i="1"/>
  <c r="D31" i="17" s="1"/>
  <c r="E31" i="17" s="1"/>
  <c r="AB41" i="14"/>
  <c r="M41" i="16" s="1"/>
  <c r="C6" i="7"/>
  <c r="K6" i="7" s="1"/>
  <c r="C7" i="7"/>
  <c r="K7" i="7" s="1"/>
  <c r="C8" i="7"/>
  <c r="K8" i="7" s="1"/>
  <c r="C9" i="7"/>
  <c r="K9" i="7" s="1"/>
  <c r="C10" i="7"/>
  <c r="K10" i="7" s="1"/>
  <c r="C11" i="7"/>
  <c r="K11" i="7" s="1"/>
  <c r="C12" i="7"/>
  <c r="K12" i="7" s="1"/>
  <c r="C13" i="7"/>
  <c r="K13" i="7" s="1"/>
  <c r="C14" i="7"/>
  <c r="K14" i="7" s="1"/>
  <c r="C15" i="7"/>
  <c r="K15" i="7" s="1"/>
  <c r="C16" i="7"/>
  <c r="K16" i="7" s="1"/>
  <c r="C17" i="7"/>
  <c r="K17" i="7" s="1"/>
  <c r="C18" i="7"/>
  <c r="K18" i="7" s="1"/>
  <c r="C19" i="7"/>
  <c r="K19" i="7" s="1"/>
  <c r="C20" i="7"/>
  <c r="K20" i="7" s="1"/>
  <c r="C21" i="7"/>
  <c r="K21" i="7" s="1"/>
  <c r="C22" i="7"/>
  <c r="K22" i="7" s="1"/>
  <c r="C23" i="7"/>
  <c r="K23" i="7" s="1"/>
  <c r="C24" i="7"/>
  <c r="K24" i="7" s="1"/>
  <c r="C25" i="7"/>
  <c r="K25" i="7" s="1"/>
  <c r="C26" i="7"/>
  <c r="K26" i="7" s="1"/>
  <c r="C27" i="7"/>
  <c r="K27" i="7" s="1"/>
  <c r="C28" i="7"/>
  <c r="K28" i="7" s="1"/>
  <c r="C29" i="7"/>
  <c r="K29" i="7" s="1"/>
  <c r="C30" i="7"/>
  <c r="K30" i="7" s="1"/>
  <c r="C31" i="7"/>
  <c r="K31" i="7" s="1"/>
  <c r="C32" i="7"/>
  <c r="K32" i="7" s="1"/>
  <c r="C33" i="7"/>
  <c r="K33" i="7" s="1"/>
  <c r="C34" i="7"/>
  <c r="K34" i="7" s="1"/>
  <c r="C35" i="7"/>
  <c r="K35" i="7" s="1"/>
  <c r="C36" i="7"/>
  <c r="K36" i="7" s="1"/>
  <c r="C37" i="7"/>
  <c r="K37" i="7" s="1"/>
  <c r="C38" i="7"/>
  <c r="K38" i="7" s="1"/>
  <c r="C39" i="7"/>
  <c r="K39" i="7" s="1"/>
  <c r="C40" i="7"/>
  <c r="K40" i="7" s="1"/>
  <c r="C41" i="7"/>
  <c r="K41" i="7" s="1"/>
  <c r="C42" i="7"/>
  <c r="K42" i="7" s="1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P42" i="50"/>
  <c r="W41" i="30"/>
  <c r="Y41" i="13"/>
  <c r="K41" i="16" s="1"/>
  <c r="Y42" i="13"/>
  <c r="K42" i="16" s="1"/>
  <c r="Y43" i="13"/>
  <c r="K43" i="16" s="1"/>
  <c r="Y44" i="13"/>
  <c r="K44" i="16" s="1"/>
  <c r="Y48" i="13"/>
  <c r="K48" i="16" s="1"/>
  <c r="Y49" i="13"/>
  <c r="K49" i="16" s="1"/>
  <c r="Y50" i="13"/>
  <c r="K50" i="16" s="1"/>
  <c r="Q40" i="26"/>
  <c r="G40" i="16" s="1"/>
  <c r="E59" i="1"/>
  <c r="D42" i="17" s="1"/>
  <c r="E42" i="17" s="1"/>
  <c r="E60" i="1"/>
  <c r="D43" i="17" s="1"/>
  <c r="E43" i="17" s="1"/>
  <c r="E61" i="1"/>
  <c r="D44" i="17" s="1"/>
  <c r="E44" i="17" s="1"/>
  <c r="E62" i="1"/>
  <c r="D45" i="17" s="1"/>
  <c r="E45" i="17" s="1"/>
  <c r="F44" i="7"/>
  <c r="P44" i="7" s="1"/>
  <c r="F46" i="7"/>
  <c r="F47" i="7"/>
  <c r="P47" i="7" s="1"/>
  <c r="P45" i="50"/>
  <c r="P46" i="50"/>
  <c r="P48" i="50"/>
  <c r="P50" i="50"/>
  <c r="P51" i="50"/>
  <c r="P52" i="50"/>
  <c r="P53" i="50"/>
  <c r="P54" i="50"/>
  <c r="W44" i="30"/>
  <c r="W46" i="30"/>
  <c r="W48" i="30"/>
  <c r="W49" i="30"/>
  <c r="W50" i="30"/>
  <c r="W52" i="30"/>
  <c r="W53" i="30"/>
  <c r="AB43" i="14"/>
  <c r="M43" i="16" s="1"/>
  <c r="AB44" i="14"/>
  <c r="M44" i="16" s="1"/>
  <c r="AB46" i="14"/>
  <c r="M46" i="16" s="1"/>
  <c r="AB48" i="14"/>
  <c r="M48" i="16" s="1"/>
  <c r="AB49" i="14"/>
  <c r="M49" i="16" s="1"/>
  <c r="AB50" i="14"/>
  <c r="M50" i="16" s="1"/>
  <c r="AB52" i="14"/>
  <c r="M52" i="16" s="1"/>
  <c r="AB53" i="14"/>
  <c r="M53" i="16" s="1"/>
  <c r="Y52" i="13"/>
  <c r="K52" i="16" s="1"/>
  <c r="Y53" i="13"/>
  <c r="K53" i="16" s="1"/>
  <c r="Q44" i="26"/>
  <c r="G44" i="16" s="1"/>
  <c r="Q46" i="26"/>
  <c r="G46" i="16" s="1"/>
  <c r="Q48" i="26"/>
  <c r="G48" i="16" s="1"/>
  <c r="E54" i="10"/>
  <c r="F54" i="10"/>
  <c r="G54" i="10"/>
  <c r="H54" i="10"/>
  <c r="I54" i="10"/>
  <c r="J54" i="10"/>
  <c r="K54" i="10"/>
  <c r="L54" i="10"/>
  <c r="M54" i="10"/>
  <c r="N54" i="10"/>
  <c r="O54" i="10"/>
  <c r="P54" i="10"/>
  <c r="E48" i="16" l="1"/>
  <c r="E43" i="16"/>
  <c r="P46" i="7"/>
  <c r="E25" i="18"/>
  <c r="F25" i="18" s="1"/>
  <c r="Q22" i="18" s="1"/>
  <c r="R22" i="18" s="1"/>
  <c r="E68" i="1"/>
  <c r="D51" i="17" s="1"/>
  <c r="E51" i="17" s="1"/>
  <c r="F48" i="7"/>
  <c r="P48" i="7" s="1"/>
  <c r="E70" i="1"/>
  <c r="D53" i="17" s="1"/>
  <c r="E53" i="17" s="1"/>
  <c r="F50" i="7"/>
  <c r="P50" i="7" s="1"/>
  <c r="E71" i="1"/>
  <c r="D54" i="17" s="1"/>
  <c r="E54" i="17" s="1"/>
  <c r="F51" i="7"/>
  <c r="E53" i="1"/>
  <c r="N47" i="27"/>
  <c r="R47" i="27" s="1"/>
  <c r="E54" i="1"/>
  <c r="N48" i="27"/>
  <c r="R48" i="27" s="1"/>
  <c r="E55" i="1"/>
  <c r="N49" i="27"/>
  <c r="R49" i="27" s="1"/>
  <c r="E56" i="1"/>
  <c r="N50" i="27"/>
  <c r="R50" i="27" s="1"/>
  <c r="E57" i="1"/>
  <c r="J57" i="1" s="1"/>
  <c r="N51" i="27"/>
  <c r="R51" i="27" s="1"/>
  <c r="E58" i="1"/>
  <c r="N52" i="27"/>
  <c r="R52" i="27" s="1"/>
  <c r="E66" i="1"/>
  <c r="N57" i="27"/>
  <c r="R57" i="27" s="1"/>
  <c r="E67" i="1"/>
  <c r="N58" i="27"/>
  <c r="R58" i="27" s="1"/>
  <c r="E64" i="1"/>
  <c r="N56" i="27"/>
  <c r="R56" i="27" s="1"/>
  <c r="E49" i="1"/>
  <c r="N43" i="27"/>
  <c r="R43" i="27" s="1"/>
  <c r="E50" i="1"/>
  <c r="N44" i="27"/>
  <c r="R44" i="27" s="1"/>
  <c r="E51" i="1"/>
  <c r="N45" i="27"/>
  <c r="R45" i="27" s="1"/>
  <c r="E52" i="1"/>
  <c r="N46" i="27"/>
  <c r="R46" i="27" s="1"/>
  <c r="J61" i="1"/>
  <c r="I61" i="1"/>
  <c r="F61" i="1"/>
  <c r="F62" i="1"/>
  <c r="J62" i="1"/>
  <c r="I62" i="1"/>
  <c r="J48" i="1"/>
  <c r="I48" i="1"/>
  <c r="F48" i="1"/>
  <c r="J59" i="1"/>
  <c r="I59" i="1"/>
  <c r="F59" i="1"/>
  <c r="I60" i="1"/>
  <c r="J60" i="1"/>
  <c r="F60" i="1"/>
  <c r="F8" i="7"/>
  <c r="F10" i="7"/>
  <c r="F12" i="7"/>
  <c r="F13" i="7"/>
  <c r="F16" i="7"/>
  <c r="F18" i="7"/>
  <c r="F19" i="7"/>
  <c r="F20" i="7"/>
  <c r="F21" i="7"/>
  <c r="F22" i="7"/>
  <c r="F23" i="7"/>
  <c r="F24" i="7"/>
  <c r="F25" i="7"/>
  <c r="F26" i="7"/>
  <c r="F27" i="7"/>
  <c r="F29" i="7"/>
  <c r="F30" i="7"/>
  <c r="F31" i="7"/>
  <c r="F32" i="7"/>
  <c r="F36" i="7"/>
  <c r="F37" i="7"/>
  <c r="F38" i="7"/>
  <c r="F39" i="7"/>
  <c r="F42" i="7"/>
  <c r="F40" i="7"/>
  <c r="F14" i="7"/>
  <c r="F28" i="7"/>
  <c r="E31" i="1"/>
  <c r="D14" i="17" s="1"/>
  <c r="E14" i="17" s="1"/>
  <c r="F11" i="7"/>
  <c r="F7" i="7"/>
  <c r="N60" i="27"/>
  <c r="R60" i="27" s="1"/>
  <c r="F35" i="7"/>
  <c r="F34" i="7"/>
  <c r="N55" i="27"/>
  <c r="R55" i="27" s="1"/>
  <c r="F41" i="7"/>
  <c r="F33" i="7"/>
  <c r="E37" i="1"/>
  <c r="D20" i="17" s="1"/>
  <c r="E20" i="17" s="1"/>
  <c r="F17" i="7"/>
  <c r="E35" i="1"/>
  <c r="D18" i="17" s="1"/>
  <c r="E18" i="17" s="1"/>
  <c r="F18" i="17" s="1"/>
  <c r="F15" i="7"/>
  <c r="E27" i="1"/>
  <c r="D10" i="17" s="1"/>
  <c r="E10" i="17" s="1"/>
  <c r="E47" i="1"/>
  <c r="D30" i="17" s="1"/>
  <c r="E30" i="17" s="1"/>
  <c r="E30" i="1"/>
  <c r="D13" i="17" s="1"/>
  <c r="E13" i="17" s="1"/>
  <c r="E28" i="1"/>
  <c r="D11" i="17" s="1"/>
  <c r="E11" i="17" s="1"/>
  <c r="E29" i="1"/>
  <c r="D12" i="17" s="1"/>
  <c r="E12" i="17" s="1"/>
  <c r="E32" i="1"/>
  <c r="D15" i="17" s="1"/>
  <c r="E15" i="17" s="1"/>
  <c r="E33" i="1"/>
  <c r="D16" i="17" s="1"/>
  <c r="E16" i="17" s="1"/>
  <c r="E34" i="1"/>
  <c r="D17" i="17" s="1"/>
  <c r="E17" i="17" s="1"/>
  <c r="F17" i="17" s="1"/>
  <c r="E36" i="1"/>
  <c r="D19" i="17" s="1"/>
  <c r="E19" i="17" s="1"/>
  <c r="E38" i="1"/>
  <c r="D21" i="17" s="1"/>
  <c r="E21" i="17" s="1"/>
  <c r="E39" i="1"/>
  <c r="D22" i="17" s="1"/>
  <c r="E22" i="17" s="1"/>
  <c r="E40" i="1"/>
  <c r="D23" i="17" s="1"/>
  <c r="E23" i="17" s="1"/>
  <c r="E41" i="1"/>
  <c r="D24" i="17" s="1"/>
  <c r="E24" i="17" s="1"/>
  <c r="E42" i="1"/>
  <c r="D25" i="17" s="1"/>
  <c r="E25" i="17" s="1"/>
  <c r="E43" i="1"/>
  <c r="D26" i="17" s="1"/>
  <c r="E26" i="17" s="1"/>
  <c r="E44" i="1"/>
  <c r="D27" i="17" s="1"/>
  <c r="E27" i="17" s="1"/>
  <c r="E45" i="1"/>
  <c r="D28" i="17" s="1"/>
  <c r="E28" i="17" s="1"/>
  <c r="E46" i="1"/>
  <c r="D29" i="17" s="1"/>
  <c r="E29" i="17" s="1"/>
  <c r="AD41" i="14"/>
  <c r="AC41" i="14"/>
  <c r="AA41" i="13"/>
  <c r="Z41" i="13"/>
  <c r="Y41" i="30"/>
  <c r="X41" i="30"/>
  <c r="AE40" i="29"/>
  <c r="R42" i="50" s="1"/>
  <c r="AD40" i="29"/>
  <c r="Q42" i="50" s="1"/>
  <c r="S40" i="26"/>
  <c r="R40" i="26"/>
  <c r="AD44" i="29"/>
  <c r="Q46" i="50" s="1"/>
  <c r="AE44" i="29"/>
  <c r="R46" i="50" s="1"/>
  <c r="AD46" i="29"/>
  <c r="AE46" i="29"/>
  <c r="R48" i="50" s="1"/>
  <c r="AD48" i="29"/>
  <c r="R50" i="50"/>
  <c r="AD49" i="29"/>
  <c r="AE49" i="29"/>
  <c r="R51" i="50" s="1"/>
  <c r="AD50" i="29"/>
  <c r="AE50" i="29"/>
  <c r="R52" i="50" s="1"/>
  <c r="AD52" i="29"/>
  <c r="AE52" i="29"/>
  <c r="R53" i="50" s="1"/>
  <c r="AD53" i="29"/>
  <c r="AE53" i="29"/>
  <c r="R54" i="50" s="1"/>
  <c r="X44" i="30"/>
  <c r="Y44" i="30"/>
  <c r="X46" i="30"/>
  <c r="Y46" i="30"/>
  <c r="X48" i="30"/>
  <c r="Y48" i="30"/>
  <c r="X49" i="30"/>
  <c r="Y49" i="30"/>
  <c r="X50" i="30"/>
  <c r="Y50" i="30"/>
  <c r="X52" i="30"/>
  <c r="Y52" i="30"/>
  <c r="X53" i="30"/>
  <c r="Y53" i="30"/>
  <c r="AC43" i="14"/>
  <c r="AD43" i="14"/>
  <c r="AC44" i="14"/>
  <c r="AD44" i="14"/>
  <c r="AC46" i="14"/>
  <c r="AD46" i="14"/>
  <c r="AC48" i="14"/>
  <c r="AD48" i="14"/>
  <c r="AC49" i="14"/>
  <c r="AD49" i="14"/>
  <c r="AC50" i="14"/>
  <c r="AD50" i="14"/>
  <c r="AC52" i="14"/>
  <c r="AD52" i="14"/>
  <c r="AC53" i="14"/>
  <c r="AD53" i="14"/>
  <c r="Z44" i="13"/>
  <c r="AA44" i="13"/>
  <c r="Z46" i="13"/>
  <c r="AA46" i="13"/>
  <c r="Z48" i="13"/>
  <c r="AA48" i="13"/>
  <c r="Z49" i="13"/>
  <c r="AA49" i="13"/>
  <c r="Z50" i="13"/>
  <c r="AA50" i="13"/>
  <c r="Z52" i="13"/>
  <c r="AA52" i="13"/>
  <c r="Z53" i="13"/>
  <c r="AA53" i="13"/>
  <c r="R44" i="26"/>
  <c r="S44" i="26"/>
  <c r="R46" i="26"/>
  <c r="S46" i="26"/>
  <c r="R48" i="26"/>
  <c r="S48" i="26"/>
  <c r="E13" i="1"/>
  <c r="BD13" i="50" l="1"/>
  <c r="E2" i="12"/>
  <c r="D2" i="30"/>
  <c r="E2" i="10"/>
  <c r="E2" i="65"/>
  <c r="I71" i="1"/>
  <c r="I70" i="1"/>
  <c r="J71" i="1"/>
  <c r="F71" i="1"/>
  <c r="J68" i="1"/>
  <c r="I68" i="1"/>
  <c r="F68" i="1"/>
  <c r="F70" i="1"/>
  <c r="J70" i="1"/>
  <c r="P51" i="7"/>
  <c r="Q48" i="50"/>
  <c r="E44" i="7"/>
  <c r="L44" i="7" s="1"/>
  <c r="Q50" i="50"/>
  <c r="E46" i="7"/>
  <c r="L46" i="7" s="1"/>
  <c r="Q51" i="50"/>
  <c r="E47" i="7"/>
  <c r="L47" i="7" s="1"/>
  <c r="Q52" i="50"/>
  <c r="E48" i="7"/>
  <c r="L48" i="7" s="1"/>
  <c r="Q53" i="50"/>
  <c r="E50" i="7"/>
  <c r="L50" i="7" s="1"/>
  <c r="Q54" i="50"/>
  <c r="E51" i="7"/>
  <c r="L51" i="7" s="1"/>
  <c r="D36" i="17"/>
  <c r="E36" i="17" s="1"/>
  <c r="J53" i="1"/>
  <c r="I53" i="1"/>
  <c r="F53" i="1"/>
  <c r="D37" i="17"/>
  <c r="E37" i="17" s="1"/>
  <c r="F37" i="17" s="1"/>
  <c r="I6" i="17" s="1"/>
  <c r="I54" i="1"/>
  <c r="J54" i="1"/>
  <c r="F54" i="1"/>
  <c r="D39" i="17"/>
  <c r="E39" i="17" s="1"/>
  <c r="F39" i="17" s="1"/>
  <c r="I56" i="1"/>
  <c r="J56" i="1"/>
  <c r="F56" i="1"/>
  <c r="D40" i="17"/>
  <c r="E40" i="17" s="1"/>
  <c r="I57" i="1"/>
  <c r="F57" i="1"/>
  <c r="D41" i="17"/>
  <c r="E41" i="17" s="1"/>
  <c r="I58" i="1"/>
  <c r="J58" i="1"/>
  <c r="F58" i="1"/>
  <c r="D49" i="17"/>
  <c r="E49" i="17" s="1"/>
  <c r="F66" i="1"/>
  <c r="I66" i="1"/>
  <c r="J66" i="1"/>
  <c r="D50" i="17"/>
  <c r="E50" i="17" s="1"/>
  <c r="J67" i="1"/>
  <c r="I67" i="1"/>
  <c r="F67" i="1"/>
  <c r="D38" i="17"/>
  <c r="E38" i="17" s="1"/>
  <c r="F38" i="17" s="1"/>
  <c r="J55" i="1"/>
  <c r="I55" i="1"/>
  <c r="F55" i="1"/>
  <c r="I52" i="1"/>
  <c r="F52" i="1"/>
  <c r="D47" i="17"/>
  <c r="E47" i="17" s="1"/>
  <c r="F64" i="1"/>
  <c r="I64" i="1"/>
  <c r="J64" i="1"/>
  <c r="D32" i="17"/>
  <c r="E32" i="17" s="1"/>
  <c r="J49" i="1"/>
  <c r="I49" i="1"/>
  <c r="F49" i="1"/>
  <c r="I51" i="1"/>
  <c r="F51" i="1"/>
  <c r="D34" i="17"/>
  <c r="E34" i="17" s="1"/>
  <c r="J51" i="1"/>
  <c r="D35" i="17"/>
  <c r="E35" i="17" s="1"/>
  <c r="J52" i="1"/>
  <c r="D33" i="17"/>
  <c r="E33" i="17" s="1"/>
  <c r="I50" i="1"/>
  <c r="J50" i="1"/>
  <c r="F50" i="1"/>
  <c r="I20" i="17"/>
  <c r="S42" i="50"/>
  <c r="S46" i="50"/>
  <c r="S48" i="50"/>
  <c r="S50" i="50"/>
  <c r="S51" i="50"/>
  <c r="S52" i="50"/>
  <c r="S53" i="50"/>
  <c r="S54" i="50"/>
  <c r="E38" i="7"/>
  <c r="E42" i="7"/>
  <c r="L42" i="7" s="1"/>
  <c r="M42" i="7" s="1"/>
  <c r="Q25" i="18"/>
  <c r="E85" i="1"/>
  <c r="P41" i="7"/>
  <c r="P42" i="7"/>
  <c r="E15" i="27"/>
  <c r="Q49" i="26"/>
  <c r="G49" i="16" s="1"/>
  <c r="Q50" i="26"/>
  <c r="G50" i="16" s="1"/>
  <c r="Q53" i="26"/>
  <c r="G53" i="16" s="1"/>
  <c r="Q6" i="26"/>
  <c r="Q9" i="26"/>
  <c r="G9" i="16" s="1"/>
  <c r="Q10" i="26"/>
  <c r="G10" i="16" s="1"/>
  <c r="Q11" i="26"/>
  <c r="G11" i="16" s="1"/>
  <c r="Q12" i="26"/>
  <c r="G12" i="16" s="1"/>
  <c r="Q13" i="26"/>
  <c r="G13" i="16" s="1"/>
  <c r="Q14" i="26"/>
  <c r="G14" i="16" s="1"/>
  <c r="Q15" i="26"/>
  <c r="G15" i="16" s="1"/>
  <c r="Q16" i="26"/>
  <c r="G16" i="16" s="1"/>
  <c r="Q17" i="26"/>
  <c r="G17" i="16" s="1"/>
  <c r="Q18" i="26"/>
  <c r="G18" i="16" s="1"/>
  <c r="Q19" i="26"/>
  <c r="G19" i="16" s="1"/>
  <c r="Q20" i="26"/>
  <c r="G20" i="16" s="1"/>
  <c r="Q21" i="26"/>
  <c r="G21" i="16" s="1"/>
  <c r="Q22" i="26"/>
  <c r="G22" i="16" s="1"/>
  <c r="Q23" i="26"/>
  <c r="G23" i="16" s="1"/>
  <c r="Q24" i="26"/>
  <c r="G24" i="16" s="1"/>
  <c r="Q25" i="26"/>
  <c r="G25" i="16" s="1"/>
  <c r="Q26" i="26"/>
  <c r="G26" i="16" s="1"/>
  <c r="Q27" i="26"/>
  <c r="G27" i="16" s="1"/>
  <c r="Q28" i="26"/>
  <c r="G28" i="16" s="1"/>
  <c r="Q29" i="26"/>
  <c r="G29" i="16" s="1"/>
  <c r="Q30" i="26"/>
  <c r="G30" i="16" s="1"/>
  <c r="Q31" i="26"/>
  <c r="G31" i="16" s="1"/>
  <c r="Q32" i="26"/>
  <c r="G32" i="16" s="1"/>
  <c r="Q33" i="26"/>
  <c r="G33" i="16" s="1"/>
  <c r="Q34" i="26"/>
  <c r="G34" i="16" s="1"/>
  <c r="Q35" i="26"/>
  <c r="G35" i="16" s="1"/>
  <c r="Q36" i="26"/>
  <c r="G36" i="16" s="1"/>
  <c r="Q37" i="26"/>
  <c r="G37" i="16" s="1"/>
  <c r="Q38" i="26"/>
  <c r="G38" i="16" s="1"/>
  <c r="Q39" i="26"/>
  <c r="G39" i="16" s="1"/>
  <c r="N44" i="7" l="1"/>
  <c r="M44" i="7"/>
  <c r="M46" i="7"/>
  <c r="N46" i="7"/>
  <c r="N47" i="7"/>
  <c r="M47" i="7"/>
  <c r="N48" i="7"/>
  <c r="M48" i="7"/>
  <c r="N50" i="7"/>
  <c r="M50" i="7"/>
  <c r="N51" i="7"/>
  <c r="M51" i="7"/>
  <c r="R6" i="26"/>
  <c r="S6" i="26"/>
  <c r="R12" i="26"/>
  <c r="S12" i="26"/>
  <c r="Q52" i="16"/>
  <c r="Q48" i="16"/>
  <c r="T50" i="50" s="1"/>
  <c r="S8" i="26"/>
  <c r="R13" i="26"/>
  <c r="R15" i="26"/>
  <c r="R16" i="26"/>
  <c r="R17" i="26"/>
  <c r="R18" i="26"/>
  <c r="R19" i="26"/>
  <c r="R20" i="26"/>
  <c r="R22" i="26"/>
  <c r="R23" i="26"/>
  <c r="R25" i="26"/>
  <c r="R26" i="26"/>
  <c r="R27" i="26"/>
  <c r="R28" i="26"/>
  <c r="R30" i="26"/>
  <c r="R31" i="26"/>
  <c r="R33" i="26"/>
  <c r="R34" i="26"/>
  <c r="R35" i="26"/>
  <c r="R36" i="26"/>
  <c r="R38" i="26"/>
  <c r="R49" i="26"/>
  <c r="N42" i="7"/>
  <c r="P37" i="7"/>
  <c r="P38" i="7"/>
  <c r="P39" i="7"/>
  <c r="R52" i="26"/>
  <c r="S53" i="26"/>
  <c r="R39" i="26"/>
  <c r="S39" i="26"/>
  <c r="S9" i="26"/>
  <c r="R9" i="26"/>
  <c r="S29" i="26"/>
  <c r="R29" i="26"/>
  <c r="R11" i="26"/>
  <c r="S11" i="26"/>
  <c r="R32" i="26"/>
  <c r="S32" i="26"/>
  <c r="S21" i="26"/>
  <c r="R21" i="26"/>
  <c r="R37" i="26"/>
  <c r="S37" i="26"/>
  <c r="R24" i="26"/>
  <c r="S24" i="26"/>
  <c r="R50" i="26"/>
  <c r="S50" i="26"/>
  <c r="S10" i="26"/>
  <c r="R10" i="26"/>
  <c r="R53" i="26"/>
  <c r="S49" i="26"/>
  <c r="S33" i="26"/>
  <c r="S30" i="26"/>
  <c r="S18" i="26"/>
  <c r="S16" i="26"/>
  <c r="S28" i="26"/>
  <c r="S25" i="26"/>
  <c r="S52" i="26"/>
  <c r="S20" i="26"/>
  <c r="S14" i="26"/>
  <c r="S13" i="26"/>
  <c r="S36" i="26"/>
  <c r="S31" i="26"/>
  <c r="S22" i="26"/>
  <c r="R8" i="26"/>
  <c r="S17" i="26"/>
  <c r="S35" i="26"/>
  <c r="S26" i="26"/>
  <c r="S38" i="26"/>
  <c r="S34" i="26"/>
  <c r="S27" i="26"/>
  <c r="S23" i="26"/>
  <c r="S19" i="26"/>
  <c r="S15" i="26"/>
  <c r="T53" i="50" l="1"/>
  <c r="S52" i="16"/>
  <c r="V53" i="50" s="1"/>
  <c r="R52" i="16"/>
  <c r="D50" i="7" s="1"/>
  <c r="S48" i="16"/>
  <c r="V50" i="50" s="1"/>
  <c r="R48" i="16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2" i="30"/>
  <c r="W43" i="30"/>
  <c r="W6" i="30"/>
  <c r="AB8" i="14"/>
  <c r="M8" i="16" s="1"/>
  <c r="AB9" i="14"/>
  <c r="M9" i="16" s="1"/>
  <c r="AB10" i="14"/>
  <c r="M10" i="16" s="1"/>
  <c r="AB11" i="14"/>
  <c r="M11" i="16" s="1"/>
  <c r="AB12" i="14"/>
  <c r="M12" i="16" s="1"/>
  <c r="AB13" i="14"/>
  <c r="M13" i="16" s="1"/>
  <c r="AB14" i="14"/>
  <c r="M14" i="16" s="1"/>
  <c r="AB15" i="14"/>
  <c r="M15" i="16" s="1"/>
  <c r="AB16" i="14"/>
  <c r="M16" i="16" s="1"/>
  <c r="AB17" i="14"/>
  <c r="M17" i="16" s="1"/>
  <c r="AB18" i="14"/>
  <c r="M18" i="16" s="1"/>
  <c r="AB19" i="14"/>
  <c r="M19" i="16" s="1"/>
  <c r="AB20" i="14"/>
  <c r="M20" i="16" s="1"/>
  <c r="AB21" i="14"/>
  <c r="M21" i="16" s="1"/>
  <c r="AB22" i="14"/>
  <c r="M22" i="16" s="1"/>
  <c r="AB23" i="14"/>
  <c r="M23" i="16" s="1"/>
  <c r="AB24" i="14"/>
  <c r="M24" i="16" s="1"/>
  <c r="AB25" i="14"/>
  <c r="M25" i="16" s="1"/>
  <c r="AB26" i="14"/>
  <c r="M26" i="16" s="1"/>
  <c r="AB27" i="14"/>
  <c r="M27" i="16" s="1"/>
  <c r="AB28" i="14"/>
  <c r="M28" i="16" s="1"/>
  <c r="AB29" i="14"/>
  <c r="M29" i="16" s="1"/>
  <c r="AB30" i="14"/>
  <c r="M30" i="16" s="1"/>
  <c r="AB31" i="14"/>
  <c r="M31" i="16" s="1"/>
  <c r="AB32" i="14"/>
  <c r="M32" i="16" s="1"/>
  <c r="AB33" i="14"/>
  <c r="M33" i="16" s="1"/>
  <c r="AB34" i="14"/>
  <c r="M34" i="16" s="1"/>
  <c r="AB35" i="14"/>
  <c r="M35" i="16" s="1"/>
  <c r="AB36" i="14"/>
  <c r="M36" i="16" s="1"/>
  <c r="AB37" i="14"/>
  <c r="M37" i="16" s="1"/>
  <c r="AB38" i="14"/>
  <c r="M38" i="16" s="1"/>
  <c r="AB39" i="14"/>
  <c r="M39" i="16" s="1"/>
  <c r="AB40" i="14"/>
  <c r="M40" i="16" s="1"/>
  <c r="AB42" i="14"/>
  <c r="M42" i="16" s="1"/>
  <c r="AB6" i="14"/>
  <c r="AB54" i="14" l="1"/>
  <c r="AD39" i="14"/>
  <c r="AA12" i="30"/>
  <c r="AA28" i="30"/>
  <c r="AA14" i="30"/>
  <c r="AA13" i="30"/>
  <c r="AA29" i="30"/>
  <c r="AA30" i="30"/>
  <c r="AA17" i="30"/>
  <c r="AA33" i="30"/>
  <c r="AA34" i="30"/>
  <c r="AA18" i="30"/>
  <c r="AA7" i="30"/>
  <c r="AA23" i="30"/>
  <c r="AA26" i="30"/>
  <c r="AA32" i="30"/>
  <c r="AA24" i="30"/>
  <c r="AA8" i="30"/>
  <c r="AA25" i="30"/>
  <c r="AA31" i="30"/>
  <c r="AA6" i="30"/>
  <c r="AA27" i="30"/>
  <c r="AA21" i="30"/>
  <c r="AA22" i="30"/>
  <c r="AA9" i="30"/>
  <c r="AA20" i="30"/>
  <c r="AA16" i="30"/>
  <c r="AA15" i="30"/>
  <c r="AA11" i="30"/>
  <c r="AA10" i="30"/>
  <c r="AA19" i="30"/>
  <c r="U53" i="50"/>
  <c r="U50" i="50"/>
  <c r="D46" i="7"/>
  <c r="H46" i="7" s="1"/>
  <c r="AD6" i="14"/>
  <c r="X50" i="50"/>
  <c r="Y50" i="50" s="1"/>
  <c r="W50" i="50"/>
  <c r="X53" i="50"/>
  <c r="Y53" i="50" s="1"/>
  <c r="W53" i="50"/>
  <c r="X43" i="30"/>
  <c r="AP23" i="30" l="1"/>
  <c r="AQ23" i="30"/>
  <c r="AR23" i="30"/>
  <c r="AC23" i="30"/>
  <c r="AS23" i="30"/>
  <c r="AE23" i="30"/>
  <c r="AU23" i="30"/>
  <c r="AI23" i="30"/>
  <c r="AJ23" i="30"/>
  <c r="AL23" i="30"/>
  <c r="AM23" i="30"/>
  <c r="AN23" i="30"/>
  <c r="AK23" i="30"/>
  <c r="AD23" i="30"/>
  <c r="AF23" i="30"/>
  <c r="AG23" i="30"/>
  <c r="AH23" i="30"/>
  <c r="AO23" i="30"/>
  <c r="AT23" i="30"/>
  <c r="AM24" i="30"/>
  <c r="AN24" i="30"/>
  <c r="AO24" i="30"/>
  <c r="AP24" i="30"/>
  <c r="AR24" i="30"/>
  <c r="AF24" i="30"/>
  <c r="AG24" i="30"/>
  <c r="AI24" i="30"/>
  <c r="AJ24" i="30"/>
  <c r="AK24" i="30"/>
  <c r="AE24" i="30"/>
  <c r="AH24" i="30"/>
  <c r="AL24" i="30"/>
  <c r="AQ24" i="30"/>
  <c r="AT24" i="30"/>
  <c r="AS24" i="30"/>
  <c r="AU24" i="30"/>
  <c r="AD24" i="30"/>
  <c r="AC24" i="30"/>
  <c r="AP7" i="30"/>
  <c r="AQ7" i="30"/>
  <c r="AR7" i="30"/>
  <c r="AC7" i="30"/>
  <c r="AS7" i="30"/>
  <c r="AE7" i="30"/>
  <c r="AU7" i="30"/>
  <c r="AF7" i="30"/>
  <c r="AI7" i="30"/>
  <c r="AJ7" i="30"/>
  <c r="AK7" i="30"/>
  <c r="AL7" i="30"/>
  <c r="AM7" i="30"/>
  <c r="AN7" i="30"/>
  <c r="AD7" i="30"/>
  <c r="AG7" i="30"/>
  <c r="AH7" i="30"/>
  <c r="AT7" i="30"/>
  <c r="AO7" i="30"/>
  <c r="AO18" i="30"/>
  <c r="AP18" i="30"/>
  <c r="AQ18" i="30"/>
  <c r="AR18" i="30"/>
  <c r="AD18" i="30"/>
  <c r="AT18" i="30"/>
  <c r="AH18" i="30"/>
  <c r="AI18" i="30"/>
  <c r="AJ18" i="30"/>
  <c r="AK18" i="30"/>
  <c r="AL18" i="30"/>
  <c r="AM18" i="30"/>
  <c r="AG18" i="30"/>
  <c r="AE18" i="30"/>
  <c r="AC18" i="30"/>
  <c r="AF18" i="30"/>
  <c r="AN18" i="30"/>
  <c r="AS18" i="30"/>
  <c r="AU18" i="30"/>
  <c r="AE16" i="30"/>
  <c r="AU16" i="30"/>
  <c r="AF16" i="30"/>
  <c r="AG16" i="30"/>
  <c r="AH16" i="30"/>
  <c r="AJ16" i="30"/>
  <c r="AN16" i="30"/>
  <c r="AO16" i="30"/>
  <c r="AP16" i="30"/>
  <c r="AQ16" i="30"/>
  <c r="AR16" i="30"/>
  <c r="AC16" i="30"/>
  <c r="AS16" i="30"/>
  <c r="AL16" i="30"/>
  <c r="AM16" i="30"/>
  <c r="AT16" i="30"/>
  <c r="AK16" i="30"/>
  <c r="AD16" i="30"/>
  <c r="AI16" i="30"/>
  <c r="AO34" i="30"/>
  <c r="AP34" i="30"/>
  <c r="AQ34" i="30"/>
  <c r="AR34" i="30"/>
  <c r="AD34" i="30"/>
  <c r="AT34" i="30"/>
  <c r="AH34" i="30"/>
  <c r="AI34" i="30"/>
  <c r="AL34" i="30"/>
  <c r="AM34" i="30"/>
  <c r="AC34" i="30"/>
  <c r="AN34" i="30"/>
  <c r="AE34" i="30"/>
  <c r="AF34" i="30"/>
  <c r="AJ34" i="30"/>
  <c r="AG34" i="30"/>
  <c r="AK34" i="30"/>
  <c r="AS34" i="30"/>
  <c r="AU34" i="30"/>
  <c r="AI20" i="30"/>
  <c r="AJ20" i="30"/>
  <c r="AK20" i="30"/>
  <c r="AL20" i="30"/>
  <c r="AN20" i="30"/>
  <c r="AR20" i="30"/>
  <c r="AC20" i="30"/>
  <c r="AS20" i="30"/>
  <c r="AD20" i="30"/>
  <c r="AT20" i="30"/>
  <c r="AE20" i="30"/>
  <c r="AU20" i="30"/>
  <c r="AF20" i="30"/>
  <c r="AG20" i="30"/>
  <c r="AH20" i="30"/>
  <c r="AM20" i="30"/>
  <c r="AP20" i="30"/>
  <c r="AO20" i="30"/>
  <c r="AQ20" i="30"/>
  <c r="AR33" i="30"/>
  <c r="AC33" i="30"/>
  <c r="AS33" i="30"/>
  <c r="AD33" i="30"/>
  <c r="AT33" i="30"/>
  <c r="AE33" i="30"/>
  <c r="AU33" i="30"/>
  <c r="AG33" i="30"/>
  <c r="AK33" i="30"/>
  <c r="AL33" i="30"/>
  <c r="AN33" i="30"/>
  <c r="AO33" i="30"/>
  <c r="AP33" i="30"/>
  <c r="AH33" i="30"/>
  <c r="AI33" i="30"/>
  <c r="AJ33" i="30"/>
  <c r="AM33" i="30"/>
  <c r="AQ33" i="30"/>
  <c r="AF33" i="30"/>
  <c r="AH15" i="30"/>
  <c r="AI15" i="30"/>
  <c r="AJ15" i="30"/>
  <c r="AK15" i="30"/>
  <c r="AM15" i="30"/>
  <c r="AQ15" i="30"/>
  <c r="AR15" i="30"/>
  <c r="AC15" i="30"/>
  <c r="AS15" i="30"/>
  <c r="AD15" i="30"/>
  <c r="AT15" i="30"/>
  <c r="AE15" i="30"/>
  <c r="AU15" i="30"/>
  <c r="AF15" i="30"/>
  <c r="AO15" i="30"/>
  <c r="AG15" i="30"/>
  <c r="AL15" i="30"/>
  <c r="AN15" i="30"/>
  <c r="AP15" i="30"/>
  <c r="AJ9" i="30"/>
  <c r="AK9" i="30"/>
  <c r="AL9" i="30"/>
  <c r="AM9" i="30"/>
  <c r="AO9" i="30"/>
  <c r="AP9" i="30"/>
  <c r="AC9" i="30"/>
  <c r="AS9" i="30"/>
  <c r="AD9" i="30"/>
  <c r="AT9" i="30"/>
  <c r="AE9" i="30"/>
  <c r="AU9" i="30"/>
  <c r="AF9" i="30"/>
  <c r="AG9" i="30"/>
  <c r="AH9" i="30"/>
  <c r="AR9" i="30"/>
  <c r="AI9" i="30"/>
  <c r="AN9" i="30"/>
  <c r="AQ9" i="30"/>
  <c r="AR17" i="30"/>
  <c r="AC17" i="30"/>
  <c r="AS17" i="30"/>
  <c r="AD17" i="30"/>
  <c r="AT17" i="30"/>
  <c r="AE17" i="30"/>
  <c r="AU17" i="30"/>
  <c r="AG17" i="30"/>
  <c r="AK17" i="30"/>
  <c r="AL17" i="30"/>
  <c r="AM17" i="30"/>
  <c r="AN17" i="30"/>
  <c r="AO17" i="30"/>
  <c r="AP17" i="30"/>
  <c r="AF17" i="30"/>
  <c r="AI17" i="30"/>
  <c r="AH17" i="30"/>
  <c r="AJ17" i="30"/>
  <c r="AQ17" i="30"/>
  <c r="AM8" i="30"/>
  <c r="AN8" i="30"/>
  <c r="AO8" i="30"/>
  <c r="AP8" i="30"/>
  <c r="AR8" i="30"/>
  <c r="AC8" i="30"/>
  <c r="AS8" i="30"/>
  <c r="AF8" i="30"/>
  <c r="AG8" i="30"/>
  <c r="AH8" i="30"/>
  <c r="AI8" i="30"/>
  <c r="AJ8" i="30"/>
  <c r="AK8" i="30"/>
  <c r="AD8" i="30"/>
  <c r="AE8" i="30"/>
  <c r="AQ8" i="30"/>
  <c r="AL8" i="30"/>
  <c r="AU8" i="30"/>
  <c r="AT8" i="30"/>
  <c r="AC22" i="30"/>
  <c r="AS22" i="30"/>
  <c r="AD22" i="30"/>
  <c r="AT22" i="30"/>
  <c r="AE22" i="30"/>
  <c r="AU22" i="30"/>
  <c r="AF22" i="30"/>
  <c r="AH22" i="30"/>
  <c r="AL22" i="30"/>
  <c r="AM22" i="30"/>
  <c r="AO22" i="30"/>
  <c r="AP22" i="30"/>
  <c r="AQ22" i="30"/>
  <c r="AG22" i="30"/>
  <c r="AI22" i="30"/>
  <c r="AJ22" i="30"/>
  <c r="AN22" i="30"/>
  <c r="AK22" i="30"/>
  <c r="AR22" i="30"/>
  <c r="AK30" i="30"/>
  <c r="AL30" i="30"/>
  <c r="AM30" i="30"/>
  <c r="AN30" i="30"/>
  <c r="AP30" i="30"/>
  <c r="AD30" i="30"/>
  <c r="AT30" i="30"/>
  <c r="AE30" i="30"/>
  <c r="AU30" i="30"/>
  <c r="AG30" i="30"/>
  <c r="AH30" i="30"/>
  <c r="AI30" i="30"/>
  <c r="AS30" i="30"/>
  <c r="AC30" i="30"/>
  <c r="AF30" i="30"/>
  <c r="AJ30" i="30"/>
  <c r="AR30" i="30"/>
  <c r="AO30" i="30"/>
  <c r="AQ30" i="30"/>
  <c r="AF21" i="30"/>
  <c r="AG21" i="30"/>
  <c r="AH21" i="30"/>
  <c r="AI21" i="30"/>
  <c r="AK21" i="30"/>
  <c r="AO21" i="30"/>
  <c r="AP21" i="30"/>
  <c r="AQ21" i="30"/>
  <c r="AR21" i="30"/>
  <c r="AC21" i="30"/>
  <c r="AS21" i="30"/>
  <c r="AD21" i="30"/>
  <c r="AT21" i="30"/>
  <c r="AU21" i="30"/>
  <c r="AE21" i="30"/>
  <c r="AJ21" i="30"/>
  <c r="AL21" i="30"/>
  <c r="AN21" i="30"/>
  <c r="AM21" i="30"/>
  <c r="AN29" i="30"/>
  <c r="AO29" i="30"/>
  <c r="AP29" i="30"/>
  <c r="AQ29" i="30"/>
  <c r="AC29" i="30"/>
  <c r="AS29" i="30"/>
  <c r="AG29" i="30"/>
  <c r="AH29" i="30"/>
  <c r="AJ29" i="30"/>
  <c r="AK29" i="30"/>
  <c r="AL29" i="30"/>
  <c r="AD29" i="30"/>
  <c r="AE29" i="30"/>
  <c r="AF29" i="30"/>
  <c r="AI29" i="30"/>
  <c r="AM29" i="30"/>
  <c r="AR29" i="30"/>
  <c r="AU29" i="30"/>
  <c r="AT29" i="30"/>
  <c r="AE32" i="30"/>
  <c r="AU32" i="30"/>
  <c r="AF32" i="30"/>
  <c r="AG32" i="30"/>
  <c r="AH32" i="30"/>
  <c r="AJ32" i="30"/>
  <c r="AN32" i="30"/>
  <c r="AO32" i="30"/>
  <c r="AQ32" i="30"/>
  <c r="AR32" i="30"/>
  <c r="AC32" i="30"/>
  <c r="AS32" i="30"/>
  <c r="AL32" i="30"/>
  <c r="AD32" i="30"/>
  <c r="AI32" i="30"/>
  <c r="AK32" i="30"/>
  <c r="AM32" i="30"/>
  <c r="AP32" i="30"/>
  <c r="AT32" i="30"/>
  <c r="AD27" i="30"/>
  <c r="AT27" i="30"/>
  <c r="AE27" i="30"/>
  <c r="AU27" i="30"/>
  <c r="AF27" i="30"/>
  <c r="AG27" i="30"/>
  <c r="AI27" i="30"/>
  <c r="AM27" i="30"/>
  <c r="AN27" i="30"/>
  <c r="AP27" i="30"/>
  <c r="AQ27" i="30"/>
  <c r="AR27" i="30"/>
  <c r="AH27" i="30"/>
  <c r="AC27" i="30"/>
  <c r="AJ27" i="30"/>
  <c r="AK27" i="30"/>
  <c r="AL27" i="30"/>
  <c r="AO27" i="30"/>
  <c r="AS27" i="30"/>
  <c r="AN13" i="30"/>
  <c r="AO13" i="30"/>
  <c r="AP13" i="30"/>
  <c r="AQ13" i="30"/>
  <c r="AC13" i="30"/>
  <c r="AS13" i="30"/>
  <c r="AD13" i="30"/>
  <c r="AT13" i="30"/>
  <c r="AG13" i="30"/>
  <c r="AH13" i="30"/>
  <c r="AI13" i="30"/>
  <c r="AJ13" i="30"/>
  <c r="AK13" i="30"/>
  <c r="AL13" i="30"/>
  <c r="AM13" i="30"/>
  <c r="AR13" i="30"/>
  <c r="AU13" i="30"/>
  <c r="AF13" i="30"/>
  <c r="AE13" i="30"/>
  <c r="AL19" i="30"/>
  <c r="AM19" i="30"/>
  <c r="AN19" i="30"/>
  <c r="AO19" i="30"/>
  <c r="AQ19" i="30"/>
  <c r="AE19" i="30"/>
  <c r="AU19" i="30"/>
  <c r="AF19" i="30"/>
  <c r="AG19" i="30"/>
  <c r="AH19" i="30"/>
  <c r="AI19" i="30"/>
  <c r="AJ19" i="30"/>
  <c r="AD19" i="30"/>
  <c r="AK19" i="30"/>
  <c r="AP19" i="30"/>
  <c r="AR19" i="30"/>
  <c r="AT19" i="30"/>
  <c r="AS19" i="30"/>
  <c r="AC19" i="30"/>
  <c r="AR6" i="30"/>
  <c r="AC6" i="30"/>
  <c r="AS6" i="30"/>
  <c r="AT6" i="30"/>
  <c r="AD6" i="30"/>
  <c r="AE6" i="30"/>
  <c r="AU6" i="30"/>
  <c r="AF6" i="30"/>
  <c r="AG6" i="30"/>
  <c r="AH6" i="30"/>
  <c r="AI6" i="30"/>
  <c r="AJ6" i="30"/>
  <c r="AK6" i="30"/>
  <c r="AL6" i="30"/>
  <c r="AM6" i="30"/>
  <c r="AN6" i="30"/>
  <c r="AO6" i="30"/>
  <c r="AP6" i="30"/>
  <c r="AQ6" i="30"/>
  <c r="AK14" i="30"/>
  <c r="AL14" i="30"/>
  <c r="AM14" i="30"/>
  <c r="AN14" i="30"/>
  <c r="AP14" i="30"/>
  <c r="AQ14" i="30"/>
  <c r="AD14" i="30"/>
  <c r="AT14" i="30"/>
  <c r="AE14" i="30"/>
  <c r="AU14" i="30"/>
  <c r="AF14" i="30"/>
  <c r="AG14" i="30"/>
  <c r="AH14" i="30"/>
  <c r="AI14" i="30"/>
  <c r="AC14" i="30"/>
  <c r="AO14" i="30"/>
  <c r="AJ14" i="30"/>
  <c r="AR14" i="30"/>
  <c r="AS14" i="30"/>
  <c r="AG10" i="30"/>
  <c r="AH10" i="30"/>
  <c r="AI10" i="30"/>
  <c r="AJ10" i="30"/>
  <c r="AL10" i="30"/>
  <c r="AM10" i="30"/>
  <c r="AP10" i="30"/>
  <c r="AQ10" i="30"/>
  <c r="AR10" i="30"/>
  <c r="AC10" i="30"/>
  <c r="AS10" i="30"/>
  <c r="AD10" i="30"/>
  <c r="AT10" i="30"/>
  <c r="AE10" i="30"/>
  <c r="AU10" i="30"/>
  <c r="AF10" i="30"/>
  <c r="AK10" i="30"/>
  <c r="AN10" i="30"/>
  <c r="AO10" i="30"/>
  <c r="AH31" i="30"/>
  <c r="AI31" i="30"/>
  <c r="AJ31" i="30"/>
  <c r="AK31" i="30"/>
  <c r="AM31" i="30"/>
  <c r="AQ31" i="30"/>
  <c r="AR31" i="30"/>
  <c r="AD31" i="30"/>
  <c r="AT31" i="30"/>
  <c r="AE31" i="30"/>
  <c r="AU31" i="30"/>
  <c r="AF31" i="30"/>
  <c r="AC31" i="30"/>
  <c r="AG31" i="30"/>
  <c r="AL31" i="30"/>
  <c r="AO31" i="30"/>
  <c r="AN31" i="30"/>
  <c r="AP31" i="30"/>
  <c r="AS31" i="30"/>
  <c r="AQ28" i="30"/>
  <c r="AR28" i="30"/>
  <c r="AC28" i="30"/>
  <c r="AS28" i="30"/>
  <c r="AD28" i="30"/>
  <c r="AT28" i="30"/>
  <c r="AF28" i="30"/>
  <c r="AJ28" i="30"/>
  <c r="AK28" i="30"/>
  <c r="AM28" i="30"/>
  <c r="AN28" i="30"/>
  <c r="AO28" i="30"/>
  <c r="AP28" i="30"/>
  <c r="AU28" i="30"/>
  <c r="AE28" i="30"/>
  <c r="AG28" i="30"/>
  <c r="AH28" i="30"/>
  <c r="AL28" i="30"/>
  <c r="AI28" i="30"/>
  <c r="AG26" i="30"/>
  <c r="AH26" i="30"/>
  <c r="AI26" i="30"/>
  <c r="AJ26" i="30"/>
  <c r="AL26" i="30"/>
  <c r="AP26" i="30"/>
  <c r="AQ26" i="30"/>
  <c r="AC26" i="30"/>
  <c r="AS26" i="30"/>
  <c r="AD26" i="30"/>
  <c r="AT26" i="30"/>
  <c r="AE26" i="30"/>
  <c r="AU26" i="30"/>
  <c r="AM26" i="30"/>
  <c r="AN26" i="30"/>
  <c r="AO26" i="30"/>
  <c r="AK26" i="30"/>
  <c r="AR26" i="30"/>
  <c r="AF26" i="30"/>
  <c r="AD11" i="30"/>
  <c r="AT11" i="30"/>
  <c r="AE11" i="30"/>
  <c r="AU11" i="30"/>
  <c r="AF11" i="30"/>
  <c r="AG11" i="30"/>
  <c r="AI11" i="30"/>
  <c r="AJ11" i="30"/>
  <c r="AM11" i="30"/>
  <c r="AN11" i="30"/>
  <c r="AO11" i="30"/>
  <c r="AP11" i="30"/>
  <c r="AQ11" i="30"/>
  <c r="AR11" i="30"/>
  <c r="AH11" i="30"/>
  <c r="AC11" i="30"/>
  <c r="AK11" i="30"/>
  <c r="AL11" i="30"/>
  <c r="AS11" i="30"/>
  <c r="AJ25" i="30"/>
  <c r="AK25" i="30"/>
  <c r="AL25" i="30"/>
  <c r="AM25" i="30"/>
  <c r="AO25" i="30"/>
  <c r="AC25" i="30"/>
  <c r="AS25" i="30"/>
  <c r="AD25" i="30"/>
  <c r="AT25" i="30"/>
  <c r="AF25" i="30"/>
  <c r="AG25" i="30"/>
  <c r="AH25" i="30"/>
  <c r="AQ25" i="30"/>
  <c r="AE25" i="30"/>
  <c r="AN25" i="30"/>
  <c r="AI25" i="30"/>
  <c r="AP25" i="30"/>
  <c r="AR25" i="30"/>
  <c r="AU25" i="30"/>
  <c r="AQ12" i="30"/>
  <c r="AR12" i="30"/>
  <c r="AC12" i="30"/>
  <c r="AS12" i="30"/>
  <c r="AD12" i="30"/>
  <c r="AT12" i="30"/>
  <c r="AF12" i="30"/>
  <c r="AG12" i="30"/>
  <c r="AJ12" i="30"/>
  <c r="AK12" i="30"/>
  <c r="AL12" i="30"/>
  <c r="AM12" i="30"/>
  <c r="AN12" i="30"/>
  <c r="AO12" i="30"/>
  <c r="AI12" i="30"/>
  <c r="AE12" i="30"/>
  <c r="AH12" i="30"/>
  <c r="AP12" i="30"/>
  <c r="AU12" i="30"/>
  <c r="AB24" i="30"/>
  <c r="AB16" i="30"/>
  <c r="AB8" i="30"/>
  <c r="AZ32" i="30"/>
  <c r="AV32" i="30"/>
  <c r="AW32" i="30"/>
  <c r="AX32" i="30"/>
  <c r="AB32" i="30"/>
  <c r="AY32" i="30"/>
  <c r="AB17" i="30"/>
  <c r="AB19" i="30"/>
  <c r="AB26" i="30"/>
  <c r="AB30" i="30"/>
  <c r="AB10" i="30"/>
  <c r="AB23" i="30"/>
  <c r="AB22" i="30"/>
  <c r="AB11" i="30"/>
  <c r="AB7" i="30"/>
  <c r="AB15" i="30"/>
  <c r="AB18" i="30"/>
  <c r="AW34" i="30"/>
  <c r="AV34" i="30"/>
  <c r="AZ34" i="30"/>
  <c r="AB34" i="30"/>
  <c r="AY34" i="30"/>
  <c r="AX34" i="30"/>
  <c r="AB20" i="30"/>
  <c r="AZ33" i="30"/>
  <c r="AB33" i="30"/>
  <c r="AX33" i="30"/>
  <c r="AW33" i="30"/>
  <c r="AY33" i="30"/>
  <c r="AV33" i="30"/>
  <c r="AB29" i="30"/>
  <c r="AB27" i="30"/>
  <c r="AB13" i="30"/>
  <c r="AB21" i="30"/>
  <c r="AB14" i="30"/>
  <c r="AB31" i="30"/>
  <c r="AB28" i="30"/>
  <c r="AB9" i="30"/>
  <c r="AB6" i="30"/>
  <c r="AB25" i="30"/>
  <c r="AB12" i="30"/>
  <c r="O50" i="7"/>
  <c r="H50" i="7"/>
  <c r="O46" i="7"/>
  <c r="AV27" i="30" l="1"/>
  <c r="AX27" i="30" s="1"/>
  <c r="AZ27" i="30" s="1"/>
  <c r="AV8" i="30"/>
  <c r="AX8" i="30" s="1"/>
  <c r="AZ8" i="30" s="1"/>
  <c r="AV9" i="30"/>
  <c r="AW9" i="30" s="1"/>
  <c r="AV6" i="30"/>
  <c r="AW6" i="30" s="1"/>
  <c r="AV29" i="30"/>
  <c r="AX29" i="30" s="1"/>
  <c r="AZ29" i="30" s="1"/>
  <c r="AV20" i="30"/>
  <c r="AY20" i="30" s="1"/>
  <c r="AV15" i="30"/>
  <c r="AY15" i="30" s="1"/>
  <c r="AV26" i="30"/>
  <c r="AW26" i="30" s="1"/>
  <c r="AV18" i="30"/>
  <c r="AX18" i="30" s="1"/>
  <c r="AZ18" i="30" s="1"/>
  <c r="AV10" i="30"/>
  <c r="AW10" i="30" s="1"/>
  <c r="AV17" i="30"/>
  <c r="AW17" i="30" s="1"/>
  <c r="AV24" i="30"/>
  <c r="AX24" i="30" s="1"/>
  <c r="AZ24" i="30" s="1"/>
  <c r="AV25" i="30"/>
  <c r="AW25" i="30" s="1"/>
  <c r="AV23" i="30"/>
  <c r="AX23" i="30" s="1"/>
  <c r="AZ23" i="30" s="1"/>
  <c r="AV28" i="30"/>
  <c r="AX28" i="30" s="1"/>
  <c r="AZ28" i="30" s="1"/>
  <c r="AV11" i="30"/>
  <c r="AW11" i="30" s="1"/>
  <c r="AV30" i="30"/>
  <c r="AX30" i="30" s="1"/>
  <c r="AZ30" i="30" s="1"/>
  <c r="AV7" i="30"/>
  <c r="AW7" i="30" s="1"/>
  <c r="AV21" i="30"/>
  <c r="AX21" i="30" s="1"/>
  <c r="AZ21" i="30" s="1"/>
  <c r="AV22" i="30"/>
  <c r="AY22" i="30" s="1"/>
  <c r="AV31" i="30"/>
  <c r="AV13" i="30"/>
  <c r="AY13" i="30" s="1"/>
  <c r="AV16" i="30"/>
  <c r="AY16" i="30" s="1"/>
  <c r="AV14" i="30"/>
  <c r="AX14" i="30" s="1"/>
  <c r="AZ14" i="30" s="1"/>
  <c r="AV12" i="30"/>
  <c r="AX12" i="30" s="1"/>
  <c r="AZ12" i="30" s="1"/>
  <c r="AV19" i="30"/>
  <c r="AX19" i="30" s="1"/>
  <c r="AZ19" i="30" s="1"/>
  <c r="AY31" i="30"/>
  <c r="AW31" i="30"/>
  <c r="AX31" i="30"/>
  <c r="AZ31" i="30" s="1"/>
  <c r="J50" i="7"/>
  <c r="I50" i="7"/>
  <c r="J46" i="7"/>
  <c r="I46" i="7"/>
  <c r="M54" i="28"/>
  <c r="AY9" i="30" l="1"/>
  <c r="AX16" i="30"/>
  <c r="AZ16" i="30" s="1"/>
  <c r="AX9" i="30"/>
  <c r="AZ9" i="30" s="1"/>
  <c r="AW16" i="30"/>
  <c r="AW8" i="30"/>
  <c r="AY8" i="30"/>
  <c r="AY21" i="30"/>
  <c r="AW21" i="30"/>
  <c r="AY27" i="30"/>
  <c r="AW27" i="30"/>
  <c r="AY14" i="30"/>
  <c r="AX6" i="30"/>
  <c r="AZ6" i="30" s="1"/>
  <c r="AW20" i="30"/>
  <c r="AW13" i="30"/>
  <c r="AX13" i="30"/>
  <c r="AZ13" i="30" s="1"/>
  <c r="AW22" i="30"/>
  <c r="AX22" i="30"/>
  <c r="AZ22" i="30" s="1"/>
  <c r="AY29" i="30"/>
  <c r="AY17" i="30"/>
  <c r="AY26" i="30"/>
  <c r="AW29" i="30"/>
  <c r="AX26" i="30"/>
  <c r="AZ26" i="30" s="1"/>
  <c r="AX17" i="30"/>
  <c r="AZ17" i="30" s="1"/>
  <c r="AY6" i="30"/>
  <c r="AW18" i="30"/>
  <c r="AY18" i="30"/>
  <c r="AW23" i="30"/>
  <c r="AY23" i="30"/>
  <c r="AY25" i="30"/>
  <c r="AX20" i="30"/>
  <c r="AZ20" i="30" s="1"/>
  <c r="AV35" i="30"/>
  <c r="AY35" i="30" s="1"/>
  <c r="AY30" i="30"/>
  <c r="AY11" i="30"/>
  <c r="AW30" i="30"/>
  <c r="AX25" i="30"/>
  <c r="AZ25" i="30" s="1"/>
  <c r="AX11" i="30"/>
  <c r="AZ11" i="30" s="1"/>
  <c r="AY7" i="30"/>
  <c r="AW24" i="30"/>
  <c r="AX7" i="30"/>
  <c r="AZ7" i="30" s="1"/>
  <c r="AY28" i="30"/>
  <c r="AY24" i="30"/>
  <c r="AW28" i="30"/>
  <c r="AY19" i="30"/>
  <c r="AY12" i="30"/>
  <c r="AX15" i="30"/>
  <c r="AZ15" i="30" s="1"/>
  <c r="AW19" i="30"/>
  <c r="AY10" i="30"/>
  <c r="AW12" i="30"/>
  <c r="AW15" i="30"/>
  <c r="AW14" i="30"/>
  <c r="AX10" i="30"/>
  <c r="AZ10" i="30" s="1"/>
  <c r="F54" i="28"/>
  <c r="G54" i="28"/>
  <c r="H54" i="28"/>
  <c r="I54" i="28"/>
  <c r="J54" i="28"/>
  <c r="K54" i="28"/>
  <c r="E54" i="28"/>
  <c r="C4" i="7"/>
  <c r="K4" i="7" s="1"/>
  <c r="AZ35" i="30" l="1"/>
  <c r="AW35" i="30"/>
  <c r="AX35" i="30"/>
  <c r="Z54" i="9"/>
  <c r="AA54" i="9"/>
  <c r="AB54" i="9"/>
  <c r="AC54" i="9"/>
  <c r="G54" i="13" l="1"/>
  <c r="Q41" i="26" l="1"/>
  <c r="G41" i="16" s="1"/>
  <c r="Q42" i="26"/>
  <c r="G42" i="16" s="1"/>
  <c r="Q43" i="26"/>
  <c r="G43" i="16" s="1"/>
  <c r="AD42" i="14"/>
  <c r="AC40" i="14"/>
  <c r="AC38" i="14"/>
  <c r="AD37" i="14"/>
  <c r="AC36" i="14"/>
  <c r="AD35" i="14"/>
  <c r="AC34" i="14"/>
  <c r="AD33" i="14"/>
  <c r="AC32" i="14"/>
  <c r="AC31" i="14"/>
  <c r="AD30" i="14"/>
  <c r="AC29" i="14"/>
  <c r="AD28" i="14"/>
  <c r="AD27" i="14"/>
  <c r="AD26" i="14"/>
  <c r="AC25" i="14"/>
  <c r="AC24" i="14"/>
  <c r="AD23" i="14"/>
  <c r="AD22" i="14"/>
  <c r="AC21" i="14"/>
  <c r="AC20" i="14"/>
  <c r="AD19" i="14"/>
  <c r="AD18" i="14"/>
  <c r="AC17" i="14"/>
  <c r="AD16" i="14"/>
  <c r="AC15" i="14"/>
  <c r="AD14" i="14"/>
  <c r="AC13" i="14"/>
  <c r="AC12" i="14"/>
  <c r="AD11" i="14"/>
  <c r="AD10" i="14"/>
  <c r="AC9" i="14"/>
  <c r="AC8" i="14"/>
  <c r="AC6" i="14"/>
  <c r="Z43" i="13"/>
  <c r="AA42" i="13"/>
  <c r="Y40" i="13"/>
  <c r="K40" i="16" s="1"/>
  <c r="K39" i="16"/>
  <c r="K38" i="16"/>
  <c r="K37" i="16"/>
  <c r="K36" i="16"/>
  <c r="K35" i="16"/>
  <c r="K34" i="16"/>
  <c r="K33" i="16"/>
  <c r="K32" i="16"/>
  <c r="Y31" i="13"/>
  <c r="K31" i="16" s="1"/>
  <c r="Y30" i="13"/>
  <c r="K30" i="16" s="1"/>
  <c r="Y29" i="13"/>
  <c r="K29" i="16" s="1"/>
  <c r="Y28" i="13"/>
  <c r="K28" i="16" s="1"/>
  <c r="Y27" i="13"/>
  <c r="K27" i="16" s="1"/>
  <c r="Y26" i="13"/>
  <c r="K26" i="16" s="1"/>
  <c r="Y25" i="13"/>
  <c r="K25" i="16" s="1"/>
  <c r="Y24" i="13"/>
  <c r="K24" i="16" s="1"/>
  <c r="Y23" i="13"/>
  <c r="K23" i="16" s="1"/>
  <c r="Y22" i="13"/>
  <c r="K22" i="16" s="1"/>
  <c r="Y21" i="13"/>
  <c r="K21" i="16" s="1"/>
  <c r="Y20" i="13"/>
  <c r="K20" i="16" s="1"/>
  <c r="Y19" i="13"/>
  <c r="K19" i="16" s="1"/>
  <c r="Y18" i="13"/>
  <c r="K18" i="16" s="1"/>
  <c r="Y17" i="13"/>
  <c r="K17" i="16" s="1"/>
  <c r="Y16" i="13"/>
  <c r="K16" i="16" s="1"/>
  <c r="Y15" i="13"/>
  <c r="K15" i="16" s="1"/>
  <c r="Y14" i="13"/>
  <c r="K14" i="16" s="1"/>
  <c r="Y13" i="13"/>
  <c r="K13" i="16" s="1"/>
  <c r="Y12" i="13"/>
  <c r="K12" i="16" s="1"/>
  <c r="Y11" i="13"/>
  <c r="K11" i="16" s="1"/>
  <c r="Y10" i="13"/>
  <c r="K10" i="16" s="1"/>
  <c r="Y9" i="13"/>
  <c r="K9" i="16" s="1"/>
  <c r="Y8" i="13"/>
  <c r="K8" i="16" s="1"/>
  <c r="Y6" i="13"/>
  <c r="Q7" i="16" l="1"/>
  <c r="S7" i="16" s="1"/>
  <c r="Z6" i="13"/>
  <c r="AA31" i="13"/>
  <c r="AA30" i="13"/>
  <c r="Z29" i="13"/>
  <c r="Z28" i="13"/>
  <c r="AA27" i="13"/>
  <c r="AA26" i="13"/>
  <c r="Z25" i="13"/>
  <c r="Z24" i="13"/>
  <c r="AA23" i="13"/>
  <c r="AA22" i="13"/>
  <c r="Z21" i="13"/>
  <c r="AA20" i="13"/>
  <c r="AA19" i="13"/>
  <c r="AA18" i="13"/>
  <c r="Z17" i="13"/>
  <c r="AA16" i="13"/>
  <c r="AA15" i="13"/>
  <c r="AA14" i="13"/>
  <c r="Z13" i="13"/>
  <c r="AA12" i="13"/>
  <c r="AA11" i="13"/>
  <c r="AA10" i="13"/>
  <c r="Z9" i="13"/>
  <c r="AA8" i="13"/>
  <c r="S43" i="26"/>
  <c r="Z40" i="13"/>
  <c r="R43" i="26"/>
  <c r="G6" i="16"/>
  <c r="R42" i="26"/>
  <c r="S41" i="26"/>
  <c r="AA24" i="13"/>
  <c r="AD25" i="14"/>
  <c r="AA28" i="13"/>
  <c r="Z11" i="13"/>
  <c r="AA29" i="13"/>
  <c r="Z31" i="13"/>
  <c r="AC28" i="14"/>
  <c r="AA9" i="13"/>
  <c r="AA25" i="13"/>
  <c r="AD8" i="14"/>
  <c r="AD9" i="14"/>
  <c r="AA40" i="13"/>
  <c r="Z8" i="13"/>
  <c r="AD32" i="14"/>
  <c r="AD40" i="14"/>
  <c r="AD20" i="14"/>
  <c r="Z20" i="13"/>
  <c r="AD12" i="14"/>
  <c r="AD31" i="14"/>
  <c r="Z12" i="13"/>
  <c r="AA17" i="13"/>
  <c r="R41" i="26"/>
  <c r="AC35" i="14"/>
  <c r="Q54" i="26"/>
  <c r="S42" i="26"/>
  <c r="AD17" i="14"/>
  <c r="AD13" i="14"/>
  <c r="AC16" i="14"/>
  <c r="AD24" i="14"/>
  <c r="AD29" i="14"/>
  <c r="AD36" i="14"/>
  <c r="AA13" i="13"/>
  <c r="Z16" i="13"/>
  <c r="AA21" i="13"/>
  <c r="Y54" i="13"/>
  <c r="AC39" i="14"/>
  <c r="AD21" i="14"/>
  <c r="AC11" i="14"/>
  <c r="AC19" i="14"/>
  <c r="AC23" i="14"/>
  <c r="AC27" i="14"/>
  <c r="AC10" i="14"/>
  <c r="AC14" i="14"/>
  <c r="AD15" i="14"/>
  <c r="AC18" i="14"/>
  <c r="AC22" i="14"/>
  <c r="AC26" i="14"/>
  <c r="AC30" i="14"/>
  <c r="AC33" i="14"/>
  <c r="AD34" i="14"/>
  <c r="AC37" i="14"/>
  <c r="AD38" i="14"/>
  <c r="AC42" i="14"/>
  <c r="Z15" i="13"/>
  <c r="Z19" i="13"/>
  <c r="Z23" i="13"/>
  <c r="Z27" i="13"/>
  <c r="AA6" i="13"/>
  <c r="Z10" i="13"/>
  <c r="Z14" i="13"/>
  <c r="Z18" i="13"/>
  <c r="Z22" i="13"/>
  <c r="Z26" i="13"/>
  <c r="Z30" i="13"/>
  <c r="Z42" i="13"/>
  <c r="AA43" i="13"/>
  <c r="X20" i="30"/>
  <c r="V54" i="30"/>
  <c r="U54" i="30"/>
  <c r="T54" i="30"/>
  <c r="S54" i="30"/>
  <c r="R54" i="30"/>
  <c r="Q54" i="30"/>
  <c r="P54" i="30"/>
  <c r="O54" i="30"/>
  <c r="N54" i="30"/>
  <c r="M54" i="30"/>
  <c r="L54" i="30"/>
  <c r="K54" i="30"/>
  <c r="J54" i="30"/>
  <c r="I54" i="30"/>
  <c r="H54" i="30"/>
  <c r="G54" i="30"/>
  <c r="F54" i="30"/>
  <c r="E54" i="30"/>
  <c r="D54" i="30"/>
  <c r="Y42" i="30"/>
  <c r="Y40" i="30"/>
  <c r="X39" i="30"/>
  <c r="Y37" i="30"/>
  <c r="Y36" i="30"/>
  <c r="X35" i="30"/>
  <c r="Y34" i="30"/>
  <c r="Y33" i="30"/>
  <c r="Y32" i="30"/>
  <c r="X31" i="30"/>
  <c r="Y30" i="30"/>
  <c r="Y29" i="30"/>
  <c r="X28" i="30"/>
  <c r="Y27" i="30"/>
  <c r="Y26" i="30"/>
  <c r="Y25" i="30"/>
  <c r="X24" i="30"/>
  <c r="Y23" i="30"/>
  <c r="Y22" i="30"/>
  <c r="Y19" i="30"/>
  <c r="X18" i="30"/>
  <c r="Y16" i="30"/>
  <c r="Y15" i="30"/>
  <c r="X14" i="30"/>
  <c r="Y12" i="30"/>
  <c r="Y11" i="30"/>
  <c r="X10" i="30"/>
  <c r="Y9" i="30"/>
  <c r="Y8" i="30"/>
  <c r="Y6" i="30"/>
  <c r="E21" i="16" l="1"/>
  <c r="S121" i="23"/>
  <c r="U121" i="23" s="1"/>
  <c r="T110" i="23"/>
  <c r="V8" i="50"/>
  <c r="AP26" i="26"/>
  <c r="AP24" i="26"/>
  <c r="AP25" i="26"/>
  <c r="AP6" i="26"/>
  <c r="AP13" i="26"/>
  <c r="AP16" i="26"/>
  <c r="AP27" i="26"/>
  <c r="AP19" i="26"/>
  <c r="AP9" i="26"/>
  <c r="AP22" i="26"/>
  <c r="AP8" i="26"/>
  <c r="T8" i="50"/>
  <c r="R7" i="16"/>
  <c r="AP17" i="26"/>
  <c r="AP15" i="26"/>
  <c r="AP20" i="26"/>
  <c r="AS20" i="26" s="1"/>
  <c r="AP21" i="26"/>
  <c r="AP10" i="26"/>
  <c r="AP7" i="26"/>
  <c r="AS7" i="26" s="1"/>
  <c r="AP18" i="26"/>
  <c r="AP12" i="26"/>
  <c r="AP14" i="26"/>
  <c r="AP23" i="26"/>
  <c r="AP11" i="26"/>
  <c r="Y31" i="30"/>
  <c r="Y24" i="30"/>
  <c r="X21" i="30"/>
  <c r="Y14" i="30"/>
  <c r="Y21" i="30"/>
  <c r="X34" i="30"/>
  <c r="X27" i="30"/>
  <c r="X17" i="30"/>
  <c r="X9" i="30"/>
  <c r="Y43" i="30"/>
  <c r="R54" i="26"/>
  <c r="Y10" i="30"/>
  <c r="Y18" i="30"/>
  <c r="X23" i="30"/>
  <c r="Y35" i="30"/>
  <c r="X38" i="30"/>
  <c r="Y20" i="30"/>
  <c r="Y38" i="30"/>
  <c r="Y17" i="30"/>
  <c r="Y28" i="30"/>
  <c r="X19" i="30"/>
  <c r="Z54" i="13"/>
  <c r="AA54" i="13"/>
  <c r="S61" i="13" s="1"/>
  <c r="S63" i="13" s="1"/>
  <c r="S64" i="13" s="1"/>
  <c r="AC54" i="14"/>
  <c r="S54" i="26"/>
  <c r="CB56" i="26" s="1"/>
  <c r="AD54" i="14"/>
  <c r="S61" i="14" s="1"/>
  <c r="S63" i="14" s="1"/>
  <c r="S64" i="14" s="1"/>
  <c r="Y39" i="30"/>
  <c r="X13" i="30"/>
  <c r="Y13" i="30"/>
  <c r="X12" i="30"/>
  <c r="X16" i="30"/>
  <c r="X22" i="30"/>
  <c r="X26" i="30"/>
  <c r="X30" i="30"/>
  <c r="X33" i="30"/>
  <c r="X37" i="30"/>
  <c r="X42" i="30"/>
  <c r="X6" i="30"/>
  <c r="X11" i="30"/>
  <c r="X15" i="30"/>
  <c r="X25" i="30"/>
  <c r="X29" i="30"/>
  <c r="X32" i="30"/>
  <c r="X36" i="30"/>
  <c r="X40" i="30"/>
  <c r="W54" i="30"/>
  <c r="T121" i="23" l="1"/>
  <c r="W8" i="50"/>
  <c r="X8" i="50"/>
  <c r="Y8" i="50" s="1"/>
  <c r="AR26" i="26"/>
  <c r="AS26" i="26"/>
  <c r="AQ26" i="26"/>
  <c r="AQ24" i="26"/>
  <c r="AS24" i="26"/>
  <c r="AR24" i="26"/>
  <c r="AS25" i="26"/>
  <c r="AR25" i="26"/>
  <c r="AQ25" i="26"/>
  <c r="AQ6" i="26"/>
  <c r="AR6" i="26"/>
  <c r="AS6" i="26"/>
  <c r="AQ13" i="26"/>
  <c r="AS13" i="26"/>
  <c r="AR13" i="26"/>
  <c r="AQ16" i="26"/>
  <c r="AR16" i="26"/>
  <c r="AS16" i="26"/>
  <c r="AQ27" i="26"/>
  <c r="AR27" i="26"/>
  <c r="AS27" i="26"/>
  <c r="AR19" i="26"/>
  <c r="AQ19" i="26"/>
  <c r="AS19" i="26"/>
  <c r="AR9" i="26"/>
  <c r="AQ9" i="26"/>
  <c r="AS9" i="26"/>
  <c r="AR22" i="26"/>
  <c r="AQ22" i="26"/>
  <c r="AS22" i="26"/>
  <c r="AQ8" i="26"/>
  <c r="AS8" i="26"/>
  <c r="AR8" i="26"/>
  <c r="AQ17" i="26"/>
  <c r="AS17" i="26"/>
  <c r="AR17" i="26"/>
  <c r="U8" i="50"/>
  <c r="D5" i="7"/>
  <c r="AR20" i="26"/>
  <c r="AQ20" i="26"/>
  <c r="AQ15" i="26"/>
  <c r="AR15" i="26"/>
  <c r="AS15" i="26"/>
  <c r="AS21" i="26"/>
  <c r="AQ21" i="26"/>
  <c r="AR21" i="26"/>
  <c r="AS10" i="26"/>
  <c r="AQ10" i="26"/>
  <c r="AR10" i="26"/>
  <c r="AR7" i="26"/>
  <c r="AQ7" i="26"/>
  <c r="AS18" i="26"/>
  <c r="AQ18" i="26"/>
  <c r="AR18" i="26"/>
  <c r="AR28" i="26"/>
  <c r="AS12" i="26"/>
  <c r="AR12" i="26"/>
  <c r="AQ12" i="26"/>
  <c r="AS14" i="26"/>
  <c r="AQ14" i="26"/>
  <c r="AR14" i="26"/>
  <c r="AR23" i="26"/>
  <c r="AS23" i="26"/>
  <c r="AQ23" i="26"/>
  <c r="AS11" i="26"/>
  <c r="AR11" i="26"/>
  <c r="AQ11" i="26"/>
  <c r="P54" i="16"/>
  <c r="Y54" i="30"/>
  <c r="S61" i="30" s="1"/>
  <c r="S63" i="30" s="1"/>
  <c r="S64" i="30" s="1"/>
  <c r="X54" i="30"/>
  <c r="F38" i="1" l="1"/>
  <c r="F39" i="1"/>
  <c r="G42" i="1"/>
  <c r="H42" i="1" s="1"/>
  <c r="P26" i="7"/>
  <c r="AC20" i="29"/>
  <c r="P21" i="50" s="1"/>
  <c r="AC21" i="29"/>
  <c r="P22" i="50" s="1"/>
  <c r="N32" i="27"/>
  <c r="R32" i="27" s="1"/>
  <c r="N33" i="27"/>
  <c r="R33" i="27" s="1"/>
  <c r="AE20" i="29" l="1"/>
  <c r="R21" i="50" s="1"/>
  <c r="AE21" i="29"/>
  <c r="Q21" i="16"/>
  <c r="T22" i="50" s="1"/>
  <c r="P31" i="7"/>
  <c r="P28" i="7"/>
  <c r="P22" i="7"/>
  <c r="P18" i="7"/>
  <c r="P17" i="7"/>
  <c r="P30" i="7"/>
  <c r="P27" i="7"/>
  <c r="P25" i="7"/>
  <c r="P19" i="7"/>
  <c r="P29" i="7"/>
  <c r="P24" i="7"/>
  <c r="P21" i="7"/>
  <c r="P32" i="7"/>
  <c r="P23" i="7"/>
  <c r="P20" i="7"/>
  <c r="G38" i="1"/>
  <c r="H38" i="1" s="1"/>
  <c r="AD21" i="29"/>
  <c r="Q22" i="50" s="1"/>
  <c r="G39" i="1"/>
  <c r="H39" i="1" s="1"/>
  <c r="G37" i="1"/>
  <c r="H37" i="1" s="1"/>
  <c r="AD20" i="29"/>
  <c r="Q21" i="50" s="1"/>
  <c r="R22" i="50" l="1"/>
  <c r="S22" i="50" s="1"/>
  <c r="S21" i="50"/>
  <c r="S21" i="16"/>
  <c r="V22" i="50" s="1"/>
  <c r="E19" i="7"/>
  <c r="L19" i="7" s="1"/>
  <c r="M19" i="7" s="1"/>
  <c r="E18" i="7"/>
  <c r="I38" i="1"/>
  <c r="Q29" i="7"/>
  <c r="J38" i="1"/>
  <c r="R21" i="16"/>
  <c r="J39" i="1"/>
  <c r="I39" i="1"/>
  <c r="U22" i="50" l="1"/>
  <c r="D19" i="7"/>
  <c r="O19" i="7" s="1"/>
  <c r="X22" i="50"/>
  <c r="Y22" i="50" s="1"/>
  <c r="W22" i="50"/>
  <c r="L18" i="7"/>
  <c r="M18" i="7" s="1"/>
  <c r="N19" i="7"/>
  <c r="P44" i="50"/>
  <c r="P43" i="50"/>
  <c r="P40" i="50"/>
  <c r="P39" i="50"/>
  <c r="P38" i="50"/>
  <c r="P37" i="50"/>
  <c r="P36" i="50"/>
  <c r="P35" i="50"/>
  <c r="P34" i="50"/>
  <c r="P33" i="50"/>
  <c r="P31" i="50"/>
  <c r="P30" i="50"/>
  <c r="P29" i="50"/>
  <c r="AC27" i="29"/>
  <c r="P28" i="50" s="1"/>
  <c r="AC26" i="29"/>
  <c r="P27" i="50" s="1"/>
  <c r="AC25" i="29"/>
  <c r="P26" i="50" s="1"/>
  <c r="AC24" i="29"/>
  <c r="P25" i="50" s="1"/>
  <c r="AC23" i="29"/>
  <c r="P24" i="50" s="1"/>
  <c r="AC22" i="29"/>
  <c r="P23" i="50" s="1"/>
  <c r="AC19" i="29"/>
  <c r="P20" i="50" s="1"/>
  <c r="AC18" i="29"/>
  <c r="P19" i="50" s="1"/>
  <c r="AC17" i="29"/>
  <c r="P18" i="50" s="1"/>
  <c r="AC16" i="29"/>
  <c r="P17" i="50" s="1"/>
  <c r="AC15" i="29"/>
  <c r="P16" i="50" s="1"/>
  <c r="AC14" i="29"/>
  <c r="P15" i="50" s="1"/>
  <c r="AC13" i="29"/>
  <c r="P14" i="50" s="1"/>
  <c r="AC12" i="29"/>
  <c r="P13" i="50" s="1"/>
  <c r="AC11" i="29"/>
  <c r="P12" i="50" s="1"/>
  <c r="AC10" i="29"/>
  <c r="P11" i="50" s="1"/>
  <c r="AC9" i="29"/>
  <c r="P9" i="50"/>
  <c r="AE6" i="29"/>
  <c r="E2" i="29"/>
  <c r="R7" i="50" l="1"/>
  <c r="S7" i="50" s="1"/>
  <c r="P10" i="50"/>
  <c r="AC54" i="29"/>
  <c r="P41" i="50"/>
  <c r="AE39" i="29"/>
  <c r="N18" i="7"/>
  <c r="AE42" i="29"/>
  <c r="AE41" i="29"/>
  <c r="AD39" i="29"/>
  <c r="Q41" i="50" s="1"/>
  <c r="AE37" i="29"/>
  <c r="R39" i="50" s="1"/>
  <c r="AD35" i="29"/>
  <c r="Q37" i="50" s="1"/>
  <c r="AE34" i="29"/>
  <c r="R36" i="50" s="1"/>
  <c r="AE33" i="29"/>
  <c r="R35" i="50" s="1"/>
  <c r="AE32" i="29"/>
  <c r="R34" i="50" s="1"/>
  <c r="AD31" i="29"/>
  <c r="Q33" i="50" s="1"/>
  <c r="AE30" i="29"/>
  <c r="R31" i="50" s="1"/>
  <c r="AE29" i="29"/>
  <c r="R30" i="50" s="1"/>
  <c r="AD28" i="29"/>
  <c r="Q29" i="50" s="1"/>
  <c r="AE26" i="29"/>
  <c r="AE25" i="29"/>
  <c r="AD24" i="29"/>
  <c r="Q25" i="50" s="1"/>
  <c r="AE23" i="29"/>
  <c r="R24" i="50" s="1"/>
  <c r="AE22" i="29"/>
  <c r="AE19" i="29"/>
  <c r="AD18" i="29"/>
  <c r="Q19" i="50" s="1"/>
  <c r="AE17" i="29"/>
  <c r="R18" i="50" s="1"/>
  <c r="AE16" i="29"/>
  <c r="R17" i="50" s="1"/>
  <c r="AE15" i="29"/>
  <c r="R16" i="50" s="1"/>
  <c r="AD14" i="29"/>
  <c r="Q15" i="50" s="1"/>
  <c r="AE12" i="29"/>
  <c r="R13" i="50" s="1"/>
  <c r="AE11" i="29"/>
  <c r="R12" i="50" s="1"/>
  <c r="AD10" i="29"/>
  <c r="Q11" i="50" s="1"/>
  <c r="AE9" i="29"/>
  <c r="AE8" i="29"/>
  <c r="R9" i="50" s="1"/>
  <c r="H19" i="7"/>
  <c r="I19" i="7" s="1"/>
  <c r="L38" i="7"/>
  <c r="M38" i="7" s="1"/>
  <c r="AE36" i="29"/>
  <c r="R38" i="50" s="1"/>
  <c r="AE10" i="29"/>
  <c r="R11" i="50" s="1"/>
  <c r="AD22" i="29"/>
  <c r="Q23" i="50" s="1"/>
  <c r="AD8" i="29"/>
  <c r="Q9" i="50" s="1"/>
  <c r="AD43" i="29"/>
  <c r="Q45" i="50" s="1"/>
  <c r="AD9" i="29"/>
  <c r="Q10" i="50" s="1"/>
  <c r="AD42" i="29"/>
  <c r="Q44" i="50" s="1"/>
  <c r="AD16" i="29"/>
  <c r="Q17" i="50" s="1"/>
  <c r="AE31" i="29"/>
  <c r="AD34" i="29"/>
  <c r="Q36" i="50" s="1"/>
  <c r="AE18" i="29"/>
  <c r="R19" i="50" s="1"/>
  <c r="AE28" i="29"/>
  <c r="AE35" i="29"/>
  <c r="R37" i="50" s="1"/>
  <c r="AD38" i="29"/>
  <c r="Q40" i="50" s="1"/>
  <c r="AE43" i="29"/>
  <c r="R45" i="50" s="1"/>
  <c r="AE38" i="29"/>
  <c r="AE14" i="29"/>
  <c r="R15" i="50" s="1"/>
  <c r="AE24" i="29"/>
  <c r="AD27" i="29"/>
  <c r="Q28" i="50" s="1"/>
  <c r="AD17" i="29"/>
  <c r="Q18" i="50" s="1"/>
  <c r="AD23" i="29"/>
  <c r="Q24" i="50" s="1"/>
  <c r="AD37" i="29"/>
  <c r="Q39" i="50" s="1"/>
  <c r="AD33" i="29"/>
  <c r="Q35" i="50" s="1"/>
  <c r="R41" i="50"/>
  <c r="AE27" i="29"/>
  <c r="R28" i="50" s="1"/>
  <c r="AD26" i="29"/>
  <c r="Q27" i="50" s="1"/>
  <c r="AD30" i="29"/>
  <c r="Q31" i="50" s="1"/>
  <c r="AD12" i="29"/>
  <c r="Q13" i="50" s="1"/>
  <c r="AE13" i="29"/>
  <c r="R14" i="50" s="1"/>
  <c r="AD13" i="29"/>
  <c r="Q14" i="50" s="1"/>
  <c r="AD6" i="29"/>
  <c r="Q7" i="50" s="1"/>
  <c r="AD11" i="29"/>
  <c r="Q12" i="50" s="1"/>
  <c r="AD15" i="29"/>
  <c r="Q16" i="50" s="1"/>
  <c r="AD19" i="29"/>
  <c r="Q20" i="50" s="1"/>
  <c r="AD25" i="29"/>
  <c r="Q26" i="50" s="1"/>
  <c r="AD29" i="29"/>
  <c r="Q30" i="50" s="1"/>
  <c r="AD32" i="29"/>
  <c r="Q34" i="50" s="1"/>
  <c r="AD36" i="29"/>
  <c r="Q38" i="50" s="1"/>
  <c r="AD41" i="29"/>
  <c r="Q43" i="50" s="1"/>
  <c r="AF24" i="29" l="1"/>
  <c r="AE54" i="29"/>
  <c r="H57" i="7" s="1"/>
  <c r="J58" i="7" s="1"/>
  <c r="AF13" i="29"/>
  <c r="R40" i="50"/>
  <c r="S40" i="50" s="1"/>
  <c r="R23" i="50"/>
  <c r="S23" i="50" s="1"/>
  <c r="AF21" i="29"/>
  <c r="AF22" i="29" s="1"/>
  <c r="AG22" i="29" s="1"/>
  <c r="R20" i="50"/>
  <c r="S20" i="50" s="1"/>
  <c r="R10" i="50"/>
  <c r="S10" i="50" s="1"/>
  <c r="R29" i="50"/>
  <c r="S29" i="50" s="1"/>
  <c r="AF30" i="29"/>
  <c r="R25" i="50"/>
  <c r="S25" i="50" s="1"/>
  <c r="R44" i="50"/>
  <c r="S44" i="50" s="1"/>
  <c r="AF42" i="29"/>
  <c r="R26" i="50"/>
  <c r="S26" i="50" s="1"/>
  <c r="R33" i="50"/>
  <c r="S33" i="50" s="1"/>
  <c r="AF31" i="29"/>
  <c r="R27" i="50"/>
  <c r="S27" i="50" s="1"/>
  <c r="R43" i="50"/>
  <c r="S43" i="50" s="1"/>
  <c r="S39" i="50"/>
  <c r="S36" i="50"/>
  <c r="S35" i="50"/>
  <c r="S34" i="50"/>
  <c r="S32" i="50"/>
  <c r="S31" i="50"/>
  <c r="S30" i="50"/>
  <c r="S24" i="50"/>
  <c r="S18" i="50"/>
  <c r="S17" i="50"/>
  <c r="S16" i="50"/>
  <c r="S13" i="50"/>
  <c r="S12" i="50"/>
  <c r="S9" i="50"/>
  <c r="S38" i="50"/>
  <c r="S11" i="50"/>
  <c r="S19" i="50"/>
  <c r="S37" i="50"/>
  <c r="S45" i="50"/>
  <c r="S15" i="50"/>
  <c r="S41" i="50"/>
  <c r="S28" i="50"/>
  <c r="S14" i="50"/>
  <c r="E37" i="7"/>
  <c r="L37" i="7" s="1"/>
  <c r="M37" i="7" s="1"/>
  <c r="E33" i="7"/>
  <c r="E29" i="7"/>
  <c r="L29" i="7" s="1"/>
  <c r="M29" i="7" s="1"/>
  <c r="E26" i="7"/>
  <c r="L26" i="7" s="1"/>
  <c r="M26" i="7" s="1"/>
  <c r="E22" i="7"/>
  <c r="L22" i="7" s="1"/>
  <c r="M22" i="7" s="1"/>
  <c r="E16" i="7"/>
  <c r="E12" i="7"/>
  <c r="E8" i="7"/>
  <c r="E6" i="7"/>
  <c r="E41" i="7"/>
  <c r="L41" i="7" s="1"/>
  <c r="M41" i="7" s="1"/>
  <c r="E7" i="7"/>
  <c r="E40" i="7"/>
  <c r="E14" i="7"/>
  <c r="E36" i="7"/>
  <c r="E15" i="7"/>
  <c r="E35" i="7"/>
  <c r="E10" i="7"/>
  <c r="E11" i="7"/>
  <c r="E4" i="7"/>
  <c r="E9" i="7"/>
  <c r="E13" i="7"/>
  <c r="E34" i="7"/>
  <c r="E39" i="7"/>
  <c r="L39" i="7" s="1"/>
  <c r="M39" i="7" s="1"/>
  <c r="BM49" i="29"/>
  <c r="BM42" i="29"/>
  <c r="BM36" i="29"/>
  <c r="BM31" i="29"/>
  <c r="BM24" i="29"/>
  <c r="BM17" i="29"/>
  <c r="BM12" i="29"/>
  <c r="BM52" i="29"/>
  <c r="BM47" i="29"/>
  <c r="BM40" i="29"/>
  <c r="BM33" i="29"/>
  <c r="BM27" i="29"/>
  <c r="BM19" i="29"/>
  <c r="BM8" i="29"/>
  <c r="BM13" i="29"/>
  <c r="BM53" i="29"/>
  <c r="BM43" i="29"/>
  <c r="BM34" i="29"/>
  <c r="BM22" i="29"/>
  <c r="BM48" i="29"/>
  <c r="BM41" i="29"/>
  <c r="BM35" i="29"/>
  <c r="BM23" i="29"/>
  <c r="BM16" i="29"/>
  <c r="BM11" i="29"/>
  <c r="BM50" i="29"/>
  <c r="BM46" i="29"/>
  <c r="BM44" i="29"/>
  <c r="BM39" i="29"/>
  <c r="BM37" i="29"/>
  <c r="BM32" i="29"/>
  <c r="BM29" i="29"/>
  <c r="BM21" i="29"/>
  <c r="BM14" i="29"/>
  <c r="BM45" i="29"/>
  <c r="BM26" i="29"/>
  <c r="BM15" i="29"/>
  <c r="BM20" i="29"/>
  <c r="BM25" i="29"/>
  <c r="BM7" i="29"/>
  <c r="BM9" i="29"/>
  <c r="BM38" i="29"/>
  <c r="BM30" i="29"/>
  <c r="BM18" i="29"/>
  <c r="BM6" i="29"/>
  <c r="BM28" i="29"/>
  <c r="BM10" i="29"/>
  <c r="E32" i="7"/>
  <c r="L32" i="7" s="1"/>
  <c r="M32" i="7" s="1"/>
  <c r="E24" i="7"/>
  <c r="L24" i="7" s="1"/>
  <c r="M24" i="7" s="1"/>
  <c r="E31" i="7"/>
  <c r="L31" i="7" s="1"/>
  <c r="M31" i="7" s="1"/>
  <c r="E30" i="7"/>
  <c r="E27" i="7"/>
  <c r="L27" i="7" s="1"/>
  <c r="E21" i="7"/>
  <c r="L21" i="7" s="1"/>
  <c r="M21" i="7" s="1"/>
  <c r="E25" i="7"/>
  <c r="L25" i="7" s="1"/>
  <c r="M25" i="7" s="1"/>
  <c r="E28" i="7"/>
  <c r="L28" i="7" s="1"/>
  <c r="E23" i="7"/>
  <c r="L23" i="7" s="1"/>
  <c r="M23" i="7" s="1"/>
  <c r="E17" i="7"/>
  <c r="E20" i="7"/>
  <c r="L20" i="7" s="1"/>
  <c r="M20" i="7" s="1"/>
  <c r="V60" i="29"/>
  <c r="V62" i="29" s="1"/>
  <c r="V63" i="29" s="1"/>
  <c r="AD54" i="29"/>
  <c r="J19" i="7"/>
  <c r="N38" i="7"/>
  <c r="AF54" i="29" l="1"/>
  <c r="Z24" i="16" s="1"/>
  <c r="E52" i="7"/>
  <c r="M27" i="7"/>
  <c r="L30" i="7"/>
  <c r="M30" i="7" s="1"/>
  <c r="S55" i="23"/>
  <c r="N28" i="7"/>
  <c r="M28" i="7"/>
  <c r="N39" i="7"/>
  <c r="N29" i="7"/>
  <c r="N26" i="7"/>
  <c r="N22" i="7"/>
  <c r="N41" i="7"/>
  <c r="N37" i="7"/>
  <c r="BO49" i="29"/>
  <c r="BN49" i="29"/>
  <c r="BP49" i="29"/>
  <c r="BN42" i="29"/>
  <c r="BP42" i="29"/>
  <c r="BO42" i="29"/>
  <c r="BO36" i="29"/>
  <c r="BP36" i="29"/>
  <c r="BN36" i="29"/>
  <c r="BP31" i="29"/>
  <c r="BN31" i="29"/>
  <c r="BO31" i="29"/>
  <c r="BO24" i="29"/>
  <c r="BN24" i="29"/>
  <c r="BP24" i="29"/>
  <c r="BO17" i="29"/>
  <c r="BN17" i="29"/>
  <c r="BP17" i="29"/>
  <c r="BP12" i="29"/>
  <c r="BN12" i="29"/>
  <c r="BO12" i="29"/>
  <c r="BN52" i="29"/>
  <c r="BP52" i="29"/>
  <c r="BO52" i="29"/>
  <c r="BO47" i="29"/>
  <c r="BN47" i="29"/>
  <c r="BP47" i="29"/>
  <c r="BO40" i="29"/>
  <c r="BN40" i="29"/>
  <c r="BP40" i="29"/>
  <c r="BP33" i="29"/>
  <c r="BN33" i="29"/>
  <c r="BO33" i="29"/>
  <c r="BO27" i="29"/>
  <c r="BN27" i="29"/>
  <c r="BP27" i="29"/>
  <c r="BO19" i="29"/>
  <c r="BN19" i="29"/>
  <c r="BP19" i="29"/>
  <c r="BO8" i="29"/>
  <c r="BP8" i="29"/>
  <c r="BN8" i="29"/>
  <c r="BO13" i="29"/>
  <c r="BP13" i="29"/>
  <c r="BN13" i="29"/>
  <c r="BP53" i="29"/>
  <c r="BN53" i="29"/>
  <c r="BO53" i="29"/>
  <c r="BN43" i="29"/>
  <c r="BP43" i="29"/>
  <c r="BO43" i="29"/>
  <c r="BO34" i="29"/>
  <c r="BP34" i="29"/>
  <c r="BN34" i="29"/>
  <c r="BN22" i="29"/>
  <c r="BO22" i="29"/>
  <c r="BP22" i="29"/>
  <c r="BO48" i="29"/>
  <c r="BN48" i="29"/>
  <c r="BP48" i="29"/>
  <c r="BP41" i="29"/>
  <c r="BN41" i="29"/>
  <c r="BO41" i="29"/>
  <c r="BO35" i="29"/>
  <c r="BP35" i="29"/>
  <c r="BN35" i="29"/>
  <c r="BP23" i="29"/>
  <c r="BN23" i="29"/>
  <c r="BO23" i="29"/>
  <c r="BN16" i="29"/>
  <c r="BO16" i="29"/>
  <c r="BP16" i="29"/>
  <c r="BO11" i="29"/>
  <c r="BP11" i="29"/>
  <c r="BN11" i="29"/>
  <c r="BO50" i="29"/>
  <c r="BN50" i="29"/>
  <c r="BP50" i="29"/>
  <c r="BN46" i="29"/>
  <c r="BO46" i="29"/>
  <c r="BP46" i="29"/>
  <c r="BO44" i="29"/>
  <c r="BN44" i="29"/>
  <c r="BP44" i="29"/>
  <c r="BN39" i="29"/>
  <c r="BO39" i="29"/>
  <c r="BP39" i="29"/>
  <c r="BO37" i="29"/>
  <c r="BP37" i="29"/>
  <c r="BN37" i="29"/>
  <c r="BP32" i="29"/>
  <c r="BO32" i="29"/>
  <c r="BN32" i="29"/>
  <c r="BP29" i="29"/>
  <c r="BO29" i="29"/>
  <c r="BN29" i="29"/>
  <c r="BN21" i="29"/>
  <c r="BO21" i="29"/>
  <c r="BP21" i="29"/>
  <c r="BP14" i="29"/>
  <c r="BN14" i="29"/>
  <c r="BO14" i="29"/>
  <c r="BN45" i="29"/>
  <c r="BP45" i="29"/>
  <c r="BO45" i="29"/>
  <c r="BN26" i="29"/>
  <c r="BP26" i="29"/>
  <c r="BO26" i="29"/>
  <c r="BP15" i="29"/>
  <c r="BN15" i="29"/>
  <c r="BO15" i="29"/>
  <c r="BO20" i="29"/>
  <c r="BP20" i="29"/>
  <c r="BN20" i="29"/>
  <c r="BP25" i="29"/>
  <c r="BN25" i="29"/>
  <c r="BO25" i="29"/>
  <c r="BO7" i="29"/>
  <c r="BP7" i="29"/>
  <c r="BN7" i="29"/>
  <c r="BP9" i="29"/>
  <c r="BO9" i="29"/>
  <c r="BN9" i="29"/>
  <c r="BP38" i="29"/>
  <c r="BN38" i="29"/>
  <c r="BO38" i="29"/>
  <c r="BN30" i="29"/>
  <c r="BP30" i="29"/>
  <c r="BO30" i="29"/>
  <c r="BO18" i="29"/>
  <c r="BN18" i="29"/>
  <c r="BP18" i="29"/>
  <c r="BO6" i="29"/>
  <c r="BN6" i="29"/>
  <c r="BP6" i="29"/>
  <c r="BO28" i="29"/>
  <c r="BN28" i="29"/>
  <c r="BP28" i="29"/>
  <c r="BO10" i="29"/>
  <c r="BP10" i="29"/>
  <c r="BN10" i="29"/>
  <c r="N25" i="7"/>
  <c r="N21" i="7"/>
  <c r="N27" i="7"/>
  <c r="N31" i="7"/>
  <c r="N24" i="7"/>
  <c r="N32" i="7"/>
  <c r="N20" i="7"/>
  <c r="N23" i="7"/>
  <c r="L17" i="7"/>
  <c r="M17" i="7" s="1"/>
  <c r="AA24" i="16" l="1"/>
  <c r="N30" i="7"/>
  <c r="N17" i="7"/>
  <c r="AH54" i="9"/>
  <c r="AD54" i="9"/>
  <c r="AE54" i="9"/>
  <c r="AF54" i="9"/>
  <c r="AG54" i="9"/>
  <c r="Q54" i="28" l="1"/>
  <c r="P54" i="28"/>
  <c r="O54" i="28"/>
  <c r="N54" i="28"/>
  <c r="L54" i="28"/>
  <c r="L36" i="7"/>
  <c r="L33" i="7"/>
  <c r="M33" i="7" s="1"/>
  <c r="L11" i="7"/>
  <c r="M11" i="7" s="1"/>
  <c r="P8" i="7"/>
  <c r="P6" i="7"/>
  <c r="E56" i="28" l="1"/>
  <c r="E59" i="28" s="1"/>
  <c r="E60" i="28" s="1"/>
  <c r="AA59" i="28"/>
  <c r="N36" i="7"/>
  <c r="M36" i="7"/>
  <c r="P40" i="7"/>
  <c r="L40" i="7"/>
  <c r="M40" i="7" s="1"/>
  <c r="P9" i="7"/>
  <c r="L9" i="7"/>
  <c r="M9" i="7" s="1"/>
  <c r="P10" i="7"/>
  <c r="L10" i="7"/>
  <c r="M10" i="7" s="1"/>
  <c r="L6" i="7"/>
  <c r="M6" i="7" s="1"/>
  <c r="P7" i="7"/>
  <c r="L7" i="7"/>
  <c r="M7" i="7" s="1"/>
  <c r="P13" i="7"/>
  <c r="L13" i="7"/>
  <c r="M13" i="7" s="1"/>
  <c r="P33" i="7"/>
  <c r="P14" i="7"/>
  <c r="L14" i="7"/>
  <c r="M14" i="7" s="1"/>
  <c r="P34" i="7"/>
  <c r="L34" i="7"/>
  <c r="M34" i="7" s="1"/>
  <c r="P11" i="7"/>
  <c r="P15" i="7"/>
  <c r="L15" i="7"/>
  <c r="M15" i="7" s="1"/>
  <c r="P35" i="7"/>
  <c r="L35" i="7"/>
  <c r="P12" i="7"/>
  <c r="L12" i="7"/>
  <c r="M12" i="7" s="1"/>
  <c r="P16" i="7"/>
  <c r="L16" i="7"/>
  <c r="M16" i="7" s="1"/>
  <c r="P36" i="7"/>
  <c r="G31" i="1"/>
  <c r="H31" i="1" s="1"/>
  <c r="G32" i="1"/>
  <c r="H32" i="1" s="1"/>
  <c r="G29" i="1"/>
  <c r="H29" i="1" s="1"/>
  <c r="G30" i="1"/>
  <c r="H30" i="1" s="1"/>
  <c r="G35" i="1"/>
  <c r="H35" i="1" s="1"/>
  <c r="G26" i="1"/>
  <c r="H26" i="1" s="1"/>
  <c r="G34" i="1"/>
  <c r="H34" i="1" s="1"/>
  <c r="G41" i="1"/>
  <c r="H41" i="1" s="1"/>
  <c r="G45" i="1"/>
  <c r="H45" i="1" s="1"/>
  <c r="G27" i="1"/>
  <c r="H27" i="1" s="1"/>
  <c r="G40" i="1"/>
  <c r="H40" i="1" s="1"/>
  <c r="G47" i="1"/>
  <c r="H47" i="1" s="1"/>
  <c r="G36" i="1"/>
  <c r="H36" i="1" s="1"/>
  <c r="G43" i="1"/>
  <c r="H43" i="1" s="1"/>
  <c r="G28" i="1"/>
  <c r="H28" i="1" s="1"/>
  <c r="G33" i="1"/>
  <c r="H33" i="1" s="1"/>
  <c r="G44" i="1"/>
  <c r="H44" i="1" s="1"/>
  <c r="G46" i="1"/>
  <c r="H46" i="1" s="1"/>
  <c r="H112" i="18" l="1"/>
  <c r="C112" i="18"/>
  <c r="N35" i="7"/>
  <c r="M35" i="7"/>
  <c r="N40" i="7"/>
  <c r="Q11" i="7"/>
  <c r="Q46" i="7"/>
  <c r="N9" i="7"/>
  <c r="N10" i="7"/>
  <c r="N6" i="7"/>
  <c r="N7" i="7"/>
  <c r="N12" i="7"/>
  <c r="N15" i="7"/>
  <c r="N34" i="7"/>
  <c r="N33" i="7"/>
  <c r="N16" i="7"/>
  <c r="N11" i="7"/>
  <c r="N14" i="7"/>
  <c r="N13" i="7"/>
  <c r="L8" i="7"/>
  <c r="M8" i="7" l="1"/>
  <c r="E61" i="28"/>
  <c r="J112" i="18"/>
  <c r="J113" i="18" s="1"/>
  <c r="H113" i="18"/>
  <c r="C113" i="18"/>
  <c r="E112" i="18"/>
  <c r="E113" i="18" s="1"/>
  <c r="N8" i="7"/>
  <c r="E15" i="1"/>
  <c r="BD15" i="50" s="1"/>
  <c r="H54" i="13"/>
  <c r="I54" i="13"/>
  <c r="J54" i="13"/>
  <c r="K54" i="13"/>
  <c r="L54" i="13"/>
  <c r="M54" i="13"/>
  <c r="N54" i="13"/>
  <c r="O54" i="13"/>
  <c r="P54" i="13"/>
  <c r="Q54" i="13"/>
  <c r="F54" i="13"/>
  <c r="E54" i="13"/>
  <c r="Q111" i="18" l="1"/>
  <c r="R111" i="18" s="1"/>
  <c r="Q113" i="18"/>
  <c r="T10" i="32"/>
  <c r="Q50" i="16"/>
  <c r="Q49" i="16"/>
  <c r="Q44" i="16"/>
  <c r="Q43" i="16"/>
  <c r="N54" i="27"/>
  <c r="R54" i="27" s="1"/>
  <c r="T52" i="50" l="1"/>
  <c r="S50" i="16"/>
  <c r="V52" i="50" s="1"/>
  <c r="R50" i="16"/>
  <c r="D48" i="7" s="1"/>
  <c r="T51" i="50"/>
  <c r="R49" i="16"/>
  <c r="D47" i="7" s="1"/>
  <c r="H47" i="7" s="1"/>
  <c r="S49" i="16"/>
  <c r="V51" i="50" s="1"/>
  <c r="T45" i="50"/>
  <c r="T46" i="50"/>
  <c r="R44" i="16"/>
  <c r="S44" i="16"/>
  <c r="R43" i="16"/>
  <c r="U45" i="50" s="1"/>
  <c r="S43" i="16"/>
  <c r="V45" i="50" s="1"/>
  <c r="E93" i="1"/>
  <c r="U52" i="50" l="1"/>
  <c r="U51" i="50"/>
  <c r="U46" i="50"/>
  <c r="V46" i="50"/>
  <c r="X52" i="50"/>
  <c r="Y52" i="50" s="1"/>
  <c r="W52" i="50"/>
  <c r="X51" i="50"/>
  <c r="Y51" i="50" s="1"/>
  <c r="W51" i="50"/>
  <c r="X45" i="50"/>
  <c r="Y45" i="50" s="1"/>
  <c r="W45" i="50"/>
  <c r="D42" i="7"/>
  <c r="D41" i="7"/>
  <c r="O48" i="7" l="1"/>
  <c r="H48" i="7"/>
  <c r="O47" i="7"/>
  <c r="X46" i="50"/>
  <c r="Y46" i="50" s="1"/>
  <c r="W46" i="50"/>
  <c r="H42" i="7"/>
  <c r="I42" i="7" s="1"/>
  <c r="O42" i="7"/>
  <c r="H41" i="7"/>
  <c r="I41" i="7" s="1"/>
  <c r="O41" i="7"/>
  <c r="F42" i="1"/>
  <c r="N36" i="27"/>
  <c r="E54" i="9"/>
  <c r="F54" i="9"/>
  <c r="G54" i="9"/>
  <c r="H54" i="9"/>
  <c r="I54" i="9"/>
  <c r="J54" i="9"/>
  <c r="K54" i="9"/>
  <c r="L54" i="9"/>
  <c r="M54" i="9"/>
  <c r="N54" i="9"/>
  <c r="O54" i="9"/>
  <c r="P54" i="9"/>
  <c r="Q54" i="9"/>
  <c r="R54" i="9"/>
  <c r="S54" i="9"/>
  <c r="T54" i="9"/>
  <c r="U54" i="9"/>
  <c r="V54" i="9"/>
  <c r="W54" i="9"/>
  <c r="X54" i="9"/>
  <c r="Y54" i="9"/>
  <c r="D54" i="9"/>
  <c r="AP56" i="9" l="1"/>
  <c r="AP60" i="9" s="1"/>
  <c r="D56" i="9"/>
  <c r="D60" i="9"/>
  <c r="CE58" i="9"/>
  <c r="J48" i="7"/>
  <c r="I48" i="7"/>
  <c r="J47" i="7"/>
  <c r="I47" i="7"/>
  <c r="J41" i="7"/>
  <c r="J42" i="7"/>
  <c r="R36" i="27"/>
  <c r="C105" i="18" l="1"/>
  <c r="J105" i="18"/>
  <c r="CE57" i="9"/>
  <c r="I42" i="1"/>
  <c r="J42" i="1"/>
  <c r="J89" i="18"/>
  <c r="J90" i="18" s="1"/>
  <c r="E89" i="18"/>
  <c r="Q88" i="18" s="1"/>
  <c r="R88" i="18" s="1"/>
  <c r="E90" i="18" l="1"/>
  <c r="Q90" i="18" s="1"/>
  <c r="H90" i="18"/>
  <c r="C90" i="18"/>
  <c r="V40" i="23" l="1"/>
  <c r="X40" i="23" s="1"/>
  <c r="H58" i="18"/>
  <c r="C63" i="18"/>
  <c r="C58" i="18"/>
  <c r="M58" i="18"/>
  <c r="C83" i="18"/>
  <c r="V42" i="23" l="1"/>
  <c r="X42" i="23" s="1"/>
  <c r="E82" i="18"/>
  <c r="M59" i="18"/>
  <c r="H59" i="18"/>
  <c r="C59" i="18"/>
  <c r="H64" i="18"/>
  <c r="J63" i="18"/>
  <c r="X33" i="33" l="1"/>
  <c r="U51" i="23"/>
  <c r="E83" i="18"/>
  <c r="H83" i="18"/>
  <c r="J82" i="18"/>
  <c r="J64" i="18"/>
  <c r="E63" i="18"/>
  <c r="J58" i="18"/>
  <c r="E58" i="18"/>
  <c r="O58" i="18"/>
  <c r="C64" i="18"/>
  <c r="J83" i="18" l="1"/>
  <c r="Q84" i="18" s="1"/>
  <c r="Q81" i="18" s="1"/>
  <c r="R81" i="18" s="1"/>
  <c r="X34" i="33"/>
  <c r="X35" i="33" s="1"/>
  <c r="E64" i="18"/>
  <c r="E59" i="18"/>
  <c r="J59" i="18"/>
  <c r="O59" i="18"/>
  <c r="Q64" i="18" l="1"/>
  <c r="Q61" i="18" s="1"/>
  <c r="R61" i="18" s="1"/>
  <c r="M37" i="18"/>
  <c r="O37" i="18" s="1"/>
  <c r="H37" i="18"/>
  <c r="J37" i="18" s="1"/>
  <c r="C37" i="18"/>
  <c r="E37" i="18" s="1"/>
  <c r="D4" i="18" l="1"/>
  <c r="M34" i="18" l="1"/>
  <c r="O34" i="18" s="1"/>
  <c r="M35" i="18"/>
  <c r="O35" i="18" s="1"/>
  <c r="M36" i="18"/>
  <c r="O36" i="18" s="1"/>
  <c r="H36" i="18"/>
  <c r="J36" i="18" s="1"/>
  <c r="C36" i="18"/>
  <c r="E36" i="18" s="1"/>
  <c r="C32" i="18"/>
  <c r="E31" i="18"/>
  <c r="H34" i="18"/>
  <c r="J34" i="18" s="1"/>
  <c r="E32" i="18" l="1"/>
  <c r="C34" i="18"/>
  <c r="E34" i="18" s="1"/>
  <c r="C33" i="18"/>
  <c r="H35" i="18"/>
  <c r="J35" i="18" s="1"/>
  <c r="H33" i="18"/>
  <c r="J33" i="18" s="1"/>
  <c r="H32" i="18"/>
  <c r="J32" i="18" s="1"/>
  <c r="M33" i="18"/>
  <c r="O33" i="18" s="1"/>
  <c r="M32" i="18"/>
  <c r="O32" i="18" s="1"/>
  <c r="E33" i="18" l="1"/>
  <c r="C35" i="18"/>
  <c r="C38" i="18" s="1"/>
  <c r="C44" i="18" s="1"/>
  <c r="E35" i="18" l="1"/>
  <c r="E38" i="18" s="1"/>
  <c r="C45" i="18" l="1"/>
  <c r="E44" i="18"/>
  <c r="E45" i="18" s="1"/>
  <c r="E2" i="16"/>
  <c r="K6" i="16"/>
  <c r="B4" i="7"/>
  <c r="F30" i="1"/>
  <c r="F31" i="1"/>
  <c r="F34" i="1"/>
  <c r="F36" i="1"/>
  <c r="E36" i="16" l="1"/>
  <c r="E19" i="16"/>
  <c r="E37" i="16"/>
  <c r="Q37" i="16" s="1"/>
  <c r="E22" i="16"/>
  <c r="E38" i="16"/>
  <c r="Q38" i="16" s="1"/>
  <c r="T40" i="50" s="1"/>
  <c r="E23" i="16"/>
  <c r="E24" i="16"/>
  <c r="E25" i="16"/>
  <c r="E26" i="16"/>
  <c r="E27" i="16"/>
  <c r="E28" i="16"/>
  <c r="E29" i="16"/>
  <c r="E30" i="16"/>
  <c r="E17" i="16"/>
  <c r="T112" i="23"/>
  <c r="S123" i="23"/>
  <c r="Q39" i="16"/>
  <c r="C99" i="18"/>
  <c r="E98" i="18"/>
  <c r="E99" i="18" s="1"/>
  <c r="F4" i="7"/>
  <c r="F52" i="7" s="1"/>
  <c r="E24" i="1"/>
  <c r="D7" i="17" s="1"/>
  <c r="D55" i="17" s="1"/>
  <c r="F41" i="1"/>
  <c r="F27" i="1"/>
  <c r="F45" i="1"/>
  <c r="F44" i="1"/>
  <c r="F37" i="1"/>
  <c r="F33" i="1"/>
  <c r="F29" i="1"/>
  <c r="F46" i="1"/>
  <c r="F35" i="1"/>
  <c r="F40" i="1"/>
  <c r="F26" i="1"/>
  <c r="F47" i="1"/>
  <c r="F43" i="1"/>
  <c r="F32" i="1"/>
  <c r="F28" i="1"/>
  <c r="N19" i="27"/>
  <c r="N42" i="27"/>
  <c r="N31" i="27"/>
  <c r="N23" i="27"/>
  <c r="N41" i="27"/>
  <c r="N22" i="27"/>
  <c r="N40" i="27"/>
  <c r="N35" i="27"/>
  <c r="N29" i="27"/>
  <c r="N38" i="27"/>
  <c r="N27" i="27"/>
  <c r="N37" i="27"/>
  <c r="N26" i="27"/>
  <c r="N39" i="27"/>
  <c r="N34" i="27"/>
  <c r="N20" i="27"/>
  <c r="CC54" i="9"/>
  <c r="N28" i="27"/>
  <c r="N25" i="27"/>
  <c r="N30" i="27"/>
  <c r="N24" i="27"/>
  <c r="M6" i="16"/>
  <c r="S124" i="23" s="1"/>
  <c r="S125" i="23" l="1"/>
  <c r="T114" i="23"/>
  <c r="T124" i="23"/>
  <c r="U124" i="23"/>
  <c r="T123" i="23"/>
  <c r="U123" i="23"/>
  <c r="T113" i="23"/>
  <c r="E7" i="17"/>
  <c r="T41" i="50"/>
  <c r="R19" i="27"/>
  <c r="N61" i="27"/>
  <c r="F24" i="1"/>
  <c r="Q36" i="16"/>
  <c r="Q28" i="16"/>
  <c r="T29" i="50" s="1"/>
  <c r="Q15" i="16"/>
  <c r="T16" i="50" s="1"/>
  <c r="Q18" i="16"/>
  <c r="T19" i="50" s="1"/>
  <c r="Q24" i="16"/>
  <c r="T25" i="50" s="1"/>
  <c r="Q30" i="16"/>
  <c r="T31" i="50" s="1"/>
  <c r="Q17" i="16"/>
  <c r="T18" i="50" s="1"/>
  <c r="Q13" i="16"/>
  <c r="T14" i="50" s="1"/>
  <c r="Q25" i="16"/>
  <c r="T26" i="50" s="1"/>
  <c r="Q29" i="16"/>
  <c r="T30" i="50" s="1"/>
  <c r="Q23" i="16"/>
  <c r="T24" i="50" s="1"/>
  <c r="Q27" i="16"/>
  <c r="T28" i="50" s="1"/>
  <c r="T32" i="50"/>
  <c r="Q12" i="16"/>
  <c r="T13" i="50" s="1"/>
  <c r="Q19" i="16"/>
  <c r="T20" i="50" s="1"/>
  <c r="Q11" i="16"/>
  <c r="T12" i="50" s="1"/>
  <c r="Q16" i="16"/>
  <c r="T17" i="50" s="1"/>
  <c r="Q14" i="16"/>
  <c r="T15" i="50" s="1"/>
  <c r="Q22" i="16"/>
  <c r="T23" i="50" s="1"/>
  <c r="Q26" i="16"/>
  <c r="T27" i="50" s="1"/>
  <c r="R39" i="16"/>
  <c r="Q6" i="16"/>
  <c r="Q9" i="16"/>
  <c r="T10" i="50" s="1"/>
  <c r="S38" i="16"/>
  <c r="Q8" i="16"/>
  <c r="T9" i="50" s="1"/>
  <c r="R34" i="27"/>
  <c r="R26" i="27"/>
  <c r="R27" i="27"/>
  <c r="R35" i="27"/>
  <c r="R41" i="27"/>
  <c r="R31" i="27"/>
  <c r="CD54" i="9"/>
  <c r="R20" i="27"/>
  <c r="R39" i="27"/>
  <c r="R37" i="27"/>
  <c r="R38" i="27"/>
  <c r="R29" i="27"/>
  <c r="R40" i="27"/>
  <c r="R22" i="27"/>
  <c r="R23" i="27"/>
  <c r="R42" i="27"/>
  <c r="R30" i="27"/>
  <c r="R28" i="27"/>
  <c r="R24" i="27"/>
  <c r="R25" i="27"/>
  <c r="CE54" i="9"/>
  <c r="O57" i="7" s="1"/>
  <c r="M54" i="16"/>
  <c r="O54" i="16"/>
  <c r="I54" i="16"/>
  <c r="E105" i="18"/>
  <c r="Q103" i="18" s="1"/>
  <c r="R103" i="18" s="1"/>
  <c r="H106" i="18"/>
  <c r="J106" i="18"/>
  <c r="U125" i="23" l="1"/>
  <c r="T125" i="23"/>
  <c r="E106" i="18"/>
  <c r="Q106" i="18" s="1"/>
  <c r="E55" i="17"/>
  <c r="F7" i="17"/>
  <c r="T7" i="50"/>
  <c r="T38" i="50"/>
  <c r="T39" i="50"/>
  <c r="S28" i="16"/>
  <c r="S15" i="16"/>
  <c r="V16" i="50" s="1"/>
  <c r="R18" i="16"/>
  <c r="U19" i="50" s="1"/>
  <c r="R24" i="16"/>
  <c r="U25" i="50" s="1"/>
  <c r="S30" i="16"/>
  <c r="V31" i="50" s="1"/>
  <c r="R17" i="16"/>
  <c r="U18" i="50" s="1"/>
  <c r="S13" i="16"/>
  <c r="V14" i="50" s="1"/>
  <c r="S25" i="16"/>
  <c r="S29" i="16"/>
  <c r="V30" i="50" s="1"/>
  <c r="R23" i="16"/>
  <c r="U24" i="50" s="1"/>
  <c r="S27" i="16"/>
  <c r="V28" i="50" s="1"/>
  <c r="U32" i="50"/>
  <c r="S12" i="16"/>
  <c r="V13" i="50" s="1"/>
  <c r="S19" i="16"/>
  <c r="S16" i="16"/>
  <c r="V17" i="50" s="1"/>
  <c r="S14" i="16"/>
  <c r="V15" i="50" s="1"/>
  <c r="S22" i="16"/>
  <c r="S26" i="16"/>
  <c r="D37" i="7"/>
  <c r="S9" i="16"/>
  <c r="V10" i="50" s="1"/>
  <c r="S8" i="16"/>
  <c r="S11" i="16"/>
  <c r="V12" i="50" s="1"/>
  <c r="S6" i="16"/>
  <c r="R61" i="27"/>
  <c r="S39" i="16"/>
  <c r="R38" i="16"/>
  <c r="U41" i="50" s="1"/>
  <c r="Q10" i="16"/>
  <c r="S37" i="16"/>
  <c r="V40" i="50" s="1"/>
  <c r="R37" i="16"/>
  <c r="S36" i="16"/>
  <c r="V38" i="50" s="1"/>
  <c r="R36" i="16"/>
  <c r="U38" i="50" s="1"/>
  <c r="J46" i="1"/>
  <c r="I46" i="1"/>
  <c r="I37" i="1"/>
  <c r="J37" i="1"/>
  <c r="I35" i="1"/>
  <c r="J35" i="1"/>
  <c r="I27" i="1"/>
  <c r="J27" i="1"/>
  <c r="J30" i="1"/>
  <c r="I30" i="1"/>
  <c r="I34" i="1"/>
  <c r="J34" i="1"/>
  <c r="I43" i="1"/>
  <c r="J43" i="1"/>
  <c r="J32" i="1"/>
  <c r="I32" i="1"/>
  <c r="I40" i="1"/>
  <c r="J40" i="1"/>
  <c r="J28" i="1"/>
  <c r="I28" i="1"/>
  <c r="I26" i="1"/>
  <c r="J26" i="1"/>
  <c r="J47" i="1"/>
  <c r="I47" i="1"/>
  <c r="I33" i="1"/>
  <c r="J33" i="1"/>
  <c r="J36" i="1"/>
  <c r="I36" i="1"/>
  <c r="I29" i="1"/>
  <c r="J29" i="1"/>
  <c r="J44" i="1"/>
  <c r="I44" i="1"/>
  <c r="I45" i="1"/>
  <c r="J45" i="1"/>
  <c r="I41" i="1"/>
  <c r="J41" i="1"/>
  <c r="J31" i="1"/>
  <c r="I31" i="1"/>
  <c r="C106" i="18"/>
  <c r="R25" i="16"/>
  <c r="U26" i="50" s="1"/>
  <c r="S23" i="16"/>
  <c r="V24" i="50" s="1"/>
  <c r="R6" i="16"/>
  <c r="U7" i="50" s="1"/>
  <c r="R12" i="16"/>
  <c r="U13" i="50" s="1"/>
  <c r="S17" i="16"/>
  <c r="V18" i="50" s="1"/>
  <c r="R19" i="16"/>
  <c r="U20" i="50" s="1"/>
  <c r="S24" i="16"/>
  <c r="S18" i="16"/>
  <c r="V19" i="50" s="1"/>
  <c r="R15" i="16"/>
  <c r="U16" i="50" s="1"/>
  <c r="R22" i="16"/>
  <c r="R8" i="16"/>
  <c r="U9" i="50" s="1"/>
  <c r="R13" i="16"/>
  <c r="U14" i="50" s="1"/>
  <c r="R26" i="16"/>
  <c r="U27" i="50" s="1"/>
  <c r="R30" i="16"/>
  <c r="U31" i="50" s="1"/>
  <c r="R14" i="16"/>
  <c r="U15" i="50" s="1"/>
  <c r="R9" i="16"/>
  <c r="U10" i="50" s="1"/>
  <c r="R16" i="16"/>
  <c r="U17" i="50" s="1"/>
  <c r="R11" i="16"/>
  <c r="U12" i="50" s="1"/>
  <c r="R27" i="16"/>
  <c r="U28" i="50" s="1"/>
  <c r="R29" i="16"/>
  <c r="U30" i="50" s="1"/>
  <c r="V32" i="50"/>
  <c r="X32" i="50" s="1"/>
  <c r="R28" i="16"/>
  <c r="U29" i="50" s="1"/>
  <c r="E86" i="1" l="1"/>
  <c r="T30" i="16"/>
  <c r="Y30" i="16" s="1"/>
  <c r="V23" i="50"/>
  <c r="X23" i="50" s="1"/>
  <c r="Y23" i="50" s="1"/>
  <c r="E84" i="1"/>
  <c r="U23" i="50"/>
  <c r="D20" i="7"/>
  <c r="V20" i="50"/>
  <c r="X20" i="50" s="1"/>
  <c r="Y20" i="50" s="1"/>
  <c r="F55" i="17"/>
  <c r="J6" i="17"/>
  <c r="V9" i="50"/>
  <c r="V7" i="50"/>
  <c r="T11" i="50"/>
  <c r="V27" i="50"/>
  <c r="V25" i="50"/>
  <c r="U39" i="50"/>
  <c r="U40" i="50"/>
  <c r="V39" i="50"/>
  <c r="V41" i="50"/>
  <c r="W40" i="50"/>
  <c r="X40" i="50"/>
  <c r="Y40" i="50" s="1"/>
  <c r="V29" i="50"/>
  <c r="V26" i="50"/>
  <c r="X16" i="50"/>
  <c r="Y16" i="50" s="1"/>
  <c r="W16" i="50"/>
  <c r="X31" i="50"/>
  <c r="Y31" i="50" s="1"/>
  <c r="W31" i="50"/>
  <c r="X14" i="50"/>
  <c r="Y14" i="50" s="1"/>
  <c r="W14" i="50"/>
  <c r="X30" i="50"/>
  <c r="Y30" i="50" s="1"/>
  <c r="W30" i="50"/>
  <c r="X28" i="50"/>
  <c r="Y28" i="50" s="1"/>
  <c r="W28" i="50"/>
  <c r="X13" i="50"/>
  <c r="Y13" i="50" s="1"/>
  <c r="W13" i="50"/>
  <c r="X17" i="50"/>
  <c r="Y17" i="50" s="1"/>
  <c r="W17" i="50"/>
  <c r="X15" i="50"/>
  <c r="Y15" i="50" s="1"/>
  <c r="W15" i="50"/>
  <c r="X10" i="50"/>
  <c r="Y10" i="50" s="1"/>
  <c r="W10" i="50"/>
  <c r="X12" i="50"/>
  <c r="Y12" i="50" s="1"/>
  <c r="W12" i="50"/>
  <c r="X38" i="50"/>
  <c r="Y38" i="50" s="1"/>
  <c r="W38" i="50"/>
  <c r="X24" i="50"/>
  <c r="Y24" i="50" s="1"/>
  <c r="W24" i="50"/>
  <c r="X18" i="50"/>
  <c r="Y18" i="50" s="1"/>
  <c r="W18" i="50"/>
  <c r="X19" i="50"/>
  <c r="Y19" i="50" s="1"/>
  <c r="W19" i="50"/>
  <c r="Y32" i="50"/>
  <c r="W32" i="50"/>
  <c r="D16" i="7"/>
  <c r="D22" i="7"/>
  <c r="H22" i="7" s="1"/>
  <c r="D15" i="7"/>
  <c r="D21" i="7"/>
  <c r="D36" i="7"/>
  <c r="D35" i="7"/>
  <c r="D34" i="7"/>
  <c r="D23" i="7"/>
  <c r="D4" i="7"/>
  <c r="D10" i="7"/>
  <c r="D17" i="7"/>
  <c r="T18" i="16"/>
  <c r="U18" i="16" s="1"/>
  <c r="C51" i="18" s="1"/>
  <c r="D13" i="7"/>
  <c r="D6" i="7"/>
  <c r="D11" i="7"/>
  <c r="D24" i="7"/>
  <c r="D28" i="7"/>
  <c r="D12" i="7"/>
  <c r="D7" i="7"/>
  <c r="D14" i="7"/>
  <c r="D9" i="7"/>
  <c r="D25" i="7"/>
  <c r="D27" i="7"/>
  <c r="D26" i="7"/>
  <c r="E89" i="1"/>
  <c r="E90" i="1"/>
  <c r="E91" i="1"/>
  <c r="E92" i="1"/>
  <c r="E87" i="1"/>
  <c r="H37" i="7"/>
  <c r="I37" i="7" s="1"/>
  <c r="O37" i="7"/>
  <c r="S10" i="16"/>
  <c r="R10" i="16"/>
  <c r="U11" i="50" s="1"/>
  <c r="W23" i="50" l="1"/>
  <c r="W20" i="50"/>
  <c r="C52" i="18"/>
  <c r="Z22" i="16"/>
  <c r="X9" i="50"/>
  <c r="Y9" i="50" s="1"/>
  <c r="W9" i="50"/>
  <c r="X7" i="50"/>
  <c r="Y7" i="50" s="1"/>
  <c r="W7" i="50"/>
  <c r="V11" i="50"/>
  <c r="X27" i="50"/>
  <c r="Y27" i="50" s="1"/>
  <c r="W27" i="50"/>
  <c r="W25" i="50"/>
  <c r="X25" i="50"/>
  <c r="Y25" i="50" s="1"/>
  <c r="X41" i="50"/>
  <c r="Y41" i="50" s="1"/>
  <c r="W41" i="50"/>
  <c r="X39" i="50"/>
  <c r="Y39" i="50" s="1"/>
  <c r="W39" i="50"/>
  <c r="W29" i="50"/>
  <c r="X29" i="50"/>
  <c r="Y29" i="50" s="1"/>
  <c r="W26" i="50"/>
  <c r="X26" i="50"/>
  <c r="Y26" i="50" s="1"/>
  <c r="H51" i="18"/>
  <c r="E51" i="18"/>
  <c r="E52" i="18" s="1"/>
  <c r="O16" i="7"/>
  <c r="H16" i="7"/>
  <c r="I16" i="7" s="1"/>
  <c r="O4" i="7"/>
  <c r="H4" i="7"/>
  <c r="H13" i="7"/>
  <c r="I13" i="7" s="1"/>
  <c r="O13" i="7"/>
  <c r="H20" i="7"/>
  <c r="I20" i="7" s="1"/>
  <c r="O20" i="7"/>
  <c r="O11" i="7"/>
  <c r="H11" i="7"/>
  <c r="I11" i="7" s="1"/>
  <c r="H24" i="7"/>
  <c r="I24" i="7" s="1"/>
  <c r="O24" i="7"/>
  <c r="H28" i="7"/>
  <c r="I28" i="7" s="1"/>
  <c r="O28" i="7"/>
  <c r="H12" i="7"/>
  <c r="I12" i="7" s="1"/>
  <c r="O12" i="7"/>
  <c r="H14" i="7"/>
  <c r="I14" i="7" s="1"/>
  <c r="O14" i="7"/>
  <c r="H9" i="7"/>
  <c r="I9" i="7" s="1"/>
  <c r="O9" i="7"/>
  <c r="O25" i="7"/>
  <c r="H25" i="7"/>
  <c r="I25" i="7" s="1"/>
  <c r="H27" i="7"/>
  <c r="I27" i="7" s="1"/>
  <c r="O27" i="7"/>
  <c r="O26" i="7"/>
  <c r="H26" i="7"/>
  <c r="I26" i="7" s="1"/>
  <c r="O36" i="7"/>
  <c r="H36" i="7"/>
  <c r="I36" i="7" s="1"/>
  <c r="O35" i="7"/>
  <c r="H35" i="7"/>
  <c r="I35" i="7" s="1"/>
  <c r="O34" i="7"/>
  <c r="H34" i="7"/>
  <c r="I34" i="7" s="1"/>
  <c r="I22" i="7"/>
  <c r="O22" i="7"/>
  <c r="H15" i="7"/>
  <c r="I15" i="7" s="1"/>
  <c r="O15" i="7"/>
  <c r="H21" i="7"/>
  <c r="I21" i="7" s="1"/>
  <c r="O21" i="7"/>
  <c r="O23" i="7"/>
  <c r="H23" i="7"/>
  <c r="I23" i="7" s="1"/>
  <c r="O10" i="7"/>
  <c r="H10" i="7"/>
  <c r="I10" i="7" s="1"/>
  <c r="O17" i="7"/>
  <c r="H17" i="7"/>
  <c r="I17" i="7" s="1"/>
  <c r="D8" i="7"/>
  <c r="T13" i="16"/>
  <c r="O6" i="7"/>
  <c r="H6" i="7"/>
  <c r="I6" i="7" s="1"/>
  <c r="H5" i="7"/>
  <c r="I5" i="7" s="1"/>
  <c r="O5" i="7"/>
  <c r="O7" i="7"/>
  <c r="H7" i="7"/>
  <c r="I7" i="7" s="1"/>
  <c r="J37" i="7"/>
  <c r="Z18" i="16"/>
  <c r="I4" i="7" l="1"/>
  <c r="AA22" i="16"/>
  <c r="Z33" i="16"/>
  <c r="Z35" i="16"/>
  <c r="X11" i="50"/>
  <c r="W11" i="50"/>
  <c r="J51" i="18"/>
  <c r="J52" i="18" s="1"/>
  <c r="H52" i="18"/>
  <c r="J16" i="7"/>
  <c r="J13" i="7"/>
  <c r="J20" i="7"/>
  <c r="J11" i="7"/>
  <c r="J24" i="7"/>
  <c r="J28" i="7"/>
  <c r="J12" i="7"/>
  <c r="J14" i="7"/>
  <c r="J9" i="7"/>
  <c r="J25" i="7"/>
  <c r="J27" i="7"/>
  <c r="J26" i="7"/>
  <c r="J36" i="7"/>
  <c r="J35" i="7"/>
  <c r="J34" i="7"/>
  <c r="J22" i="7"/>
  <c r="J15" i="7"/>
  <c r="J21" i="7"/>
  <c r="J23" i="7"/>
  <c r="J10" i="7"/>
  <c r="J17" i="7"/>
  <c r="J6" i="7"/>
  <c r="J5" i="7"/>
  <c r="J7" i="7"/>
  <c r="O8" i="7"/>
  <c r="H8" i="7"/>
  <c r="I8" i="7" s="1"/>
  <c r="AA18" i="16"/>
  <c r="Q49" i="18" l="1"/>
  <c r="R49" i="18" s="1"/>
  <c r="Y11" i="50"/>
  <c r="Q52" i="18"/>
  <c r="J8" i="7"/>
  <c r="C75" i="18" l="1"/>
  <c r="E75" i="18" l="1"/>
  <c r="E76" i="18" s="1"/>
  <c r="Q76" i="18" s="1"/>
  <c r="C76" i="18"/>
  <c r="Q73" i="18" l="1"/>
  <c r="R73" i="18" s="1"/>
  <c r="CZ56" i="12"/>
  <c r="CO56" i="14" l="1"/>
  <c r="CM56" i="65"/>
  <c r="CE56" i="9"/>
  <c r="CU56" i="29"/>
  <c r="AF56" i="29"/>
  <c r="S32" i="23" s="1"/>
  <c r="BL20" i="50"/>
  <c r="AG13" i="31"/>
  <c r="AG20" i="31" s="1"/>
  <c r="H31" i="18"/>
  <c r="M31" i="18"/>
  <c r="O31" i="18" s="1"/>
  <c r="J31" i="18" l="1"/>
  <c r="H38" i="18"/>
  <c r="M38" i="18"/>
  <c r="M44" i="18" s="1"/>
  <c r="D18" i="18"/>
  <c r="H44" i="18" l="1"/>
  <c r="F18" i="18"/>
  <c r="O44" i="18"/>
  <c r="O45" i="18" s="1"/>
  <c r="M45" i="18"/>
  <c r="J38" i="18"/>
  <c r="Q34" i="18" s="1"/>
  <c r="R34" i="18" s="1"/>
  <c r="O38" i="18"/>
  <c r="Q16" i="18" l="1"/>
  <c r="R16" i="18" s="1"/>
  <c r="H45" i="18"/>
  <c r="J44" i="18"/>
  <c r="J45" i="18" s="1"/>
  <c r="Q38" i="18"/>
  <c r="E72" i="1"/>
  <c r="J4" i="7"/>
  <c r="E11" i="1"/>
  <c r="BD11" i="50" s="1"/>
  <c r="Q42" i="18" l="1"/>
  <c r="R42" i="18" s="1"/>
  <c r="J98" i="18"/>
  <c r="J99" i="18" s="1"/>
  <c r="H99" i="18"/>
  <c r="Q45" i="18"/>
  <c r="Q97" i="18" l="1"/>
  <c r="R97" i="18" s="1"/>
  <c r="Q99" i="18"/>
  <c r="Q115" i="18" l="1"/>
  <c r="CI56" i="30" l="1"/>
  <c r="F56" i="7"/>
  <c r="C18" i="1" l="1"/>
  <c r="BB18" i="50" s="1"/>
  <c r="F72" i="1" l="1"/>
  <c r="E88" i="1" l="1"/>
  <c r="G24" i="1"/>
  <c r="G4" i="7"/>
  <c r="G52" i="7" l="1"/>
  <c r="L4" i="7"/>
  <c r="H24" i="1"/>
  <c r="H72" i="1" s="1"/>
  <c r="G72" i="1"/>
  <c r="J24" i="1"/>
  <c r="J72" i="1" s="1"/>
  <c r="BE56" i="28"/>
  <c r="P4" i="7"/>
  <c r="P52" i="7" s="1"/>
  <c r="P53" i="7" s="1"/>
  <c r="I24" i="1"/>
  <c r="E83" i="1" s="1"/>
  <c r="F54" i="7" l="1"/>
  <c r="M4" i="7"/>
  <c r="I72" i="1"/>
  <c r="N4" i="7"/>
  <c r="E78" i="1" l="1"/>
  <c r="F13" i="1"/>
  <c r="E12" i="1"/>
  <c r="BD12" i="50" s="1"/>
  <c r="B89" i="18"/>
  <c r="G89" i="18" s="1"/>
  <c r="B63" i="18" l="1"/>
  <c r="B98" i="18"/>
  <c r="G98" i="18" s="1"/>
  <c r="K8" i="18"/>
  <c r="G105" i="18"/>
  <c r="G112" i="18" s="1"/>
  <c r="G58" i="18"/>
  <c r="G82" i="18"/>
  <c r="U34" i="33" s="1"/>
  <c r="B82" i="18"/>
  <c r="U33" i="33" s="1"/>
  <c r="B75" i="18"/>
  <c r="B58" i="18"/>
  <c r="B44" i="18"/>
  <c r="L58" i="18"/>
  <c r="G63" i="18"/>
  <c r="B105" i="18"/>
  <c r="B112" i="18" s="1"/>
  <c r="G44" i="18" l="1"/>
  <c r="B51" i="18"/>
  <c r="L44" i="18"/>
  <c r="L51" i="18" l="1"/>
  <c r="G51" i="18"/>
  <c r="K9" i="18"/>
  <c r="M73" i="12" l="1"/>
  <c r="R62" i="12" s="1"/>
  <c r="R63" i="12" s="1"/>
  <c r="R64" i="12" s="1"/>
  <c r="E31" i="16"/>
  <c r="Q31" i="16" s="1"/>
  <c r="E32" i="16"/>
  <c r="Q32" i="16" s="1"/>
  <c r="E33" i="16"/>
  <c r="Q33" i="16" s="1"/>
  <c r="E34" i="16"/>
  <c r="Q34" i="16" s="1"/>
  <c r="E35" i="16"/>
  <c r="Q35" i="16" s="1"/>
  <c r="E41" i="16"/>
  <c r="Q41" i="16" s="1"/>
  <c r="E20" i="16"/>
  <c r="E42" i="16"/>
  <c r="Q42" i="16" s="1"/>
  <c r="E53" i="16"/>
  <c r="Q53" i="16" s="1"/>
  <c r="E40" i="16"/>
  <c r="Q40" i="16" s="1"/>
  <c r="E46" i="16"/>
  <c r="Q46" i="16" s="1"/>
  <c r="E47" i="16"/>
  <c r="Q47" i="16" s="1"/>
  <c r="E51" i="16"/>
  <c r="Q51" i="16" s="1"/>
  <c r="E45" i="16"/>
  <c r="Q45" i="16" s="1"/>
  <c r="T36" i="50" l="1"/>
  <c r="R34" i="16"/>
  <c r="S34" i="16"/>
  <c r="V36" i="50" s="1"/>
  <c r="T48" i="50"/>
  <c r="R46" i="16"/>
  <c r="S46" i="16"/>
  <c r="V48" i="50" s="1"/>
  <c r="S35" i="16"/>
  <c r="V37" i="50" s="1"/>
  <c r="R35" i="16"/>
  <c r="T37" i="50"/>
  <c r="T35" i="50"/>
  <c r="S33" i="16"/>
  <c r="V35" i="50" s="1"/>
  <c r="R33" i="16"/>
  <c r="S40" i="16"/>
  <c r="V42" i="50" s="1"/>
  <c r="R40" i="16"/>
  <c r="T42" i="50"/>
  <c r="CD56" i="10"/>
  <c r="AR18" i="10"/>
  <c r="AR27" i="10"/>
  <c r="AR17" i="10"/>
  <c r="AR16" i="10"/>
  <c r="AR23" i="10"/>
  <c r="AR14" i="10"/>
  <c r="AR21" i="10"/>
  <c r="AR13" i="10"/>
  <c r="AR22" i="10"/>
  <c r="AR26" i="10"/>
  <c r="AR12" i="10"/>
  <c r="AR24" i="10"/>
  <c r="AR11" i="10"/>
  <c r="AR19" i="10"/>
  <c r="AR10" i="10"/>
  <c r="AR20" i="10"/>
  <c r="AR25" i="10"/>
  <c r="AR7" i="10"/>
  <c r="AR8" i="10"/>
  <c r="AR6" i="10"/>
  <c r="AR15" i="10"/>
  <c r="AR9" i="10"/>
  <c r="T54" i="50"/>
  <c r="S53" i="16"/>
  <c r="V54" i="50" s="1"/>
  <c r="R53" i="16"/>
  <c r="S45" i="16"/>
  <c r="V47" i="50" s="1"/>
  <c r="R45" i="16"/>
  <c r="T47" i="50"/>
  <c r="T44" i="50"/>
  <c r="R42" i="16"/>
  <c r="S42" i="16"/>
  <c r="T34" i="50"/>
  <c r="R32" i="16"/>
  <c r="S32" i="16"/>
  <c r="V34" i="50" s="1"/>
  <c r="S51" i="16"/>
  <c r="R51" i="16"/>
  <c r="D49" i="7" s="1"/>
  <c r="T33" i="50"/>
  <c r="R31" i="16"/>
  <c r="S31" i="16"/>
  <c r="S47" i="16"/>
  <c r="V49" i="50" s="1"/>
  <c r="R47" i="16"/>
  <c r="T49" i="50"/>
  <c r="Q20" i="16"/>
  <c r="AD23" i="16" s="1"/>
  <c r="S120" i="23"/>
  <c r="T109" i="23"/>
  <c r="T115" i="23" s="1"/>
  <c r="T43" i="50"/>
  <c r="R41" i="16"/>
  <c r="S41" i="16"/>
  <c r="AD16" i="16" l="1"/>
  <c r="AL16" i="16" s="1"/>
  <c r="AD15" i="16"/>
  <c r="AK15" i="16" s="1"/>
  <c r="AD7" i="16"/>
  <c r="AF7" i="16" s="1"/>
  <c r="AD20" i="16"/>
  <c r="AF20" i="16" s="1"/>
  <c r="AD9" i="16"/>
  <c r="AJ9" i="16" s="1"/>
  <c r="AD25" i="16"/>
  <c r="AN25" i="16" s="1"/>
  <c r="AD27" i="16"/>
  <c r="AM27" i="16" s="1"/>
  <c r="AD22" i="16"/>
  <c r="AH22" i="16" s="1"/>
  <c r="AD24" i="16"/>
  <c r="AG24" i="16" s="1"/>
  <c r="AD21" i="16"/>
  <c r="AE21" i="16" s="1"/>
  <c r="AD14" i="16"/>
  <c r="AJ14" i="16" s="1"/>
  <c r="AD12" i="16"/>
  <c r="AG12" i="16" s="1"/>
  <c r="AD8" i="16"/>
  <c r="AE8" i="16" s="1"/>
  <c r="AD18" i="16"/>
  <c r="AG18" i="16" s="1"/>
  <c r="AD17" i="16"/>
  <c r="AJ17" i="16" s="1"/>
  <c r="AD13" i="16"/>
  <c r="AK13" i="16" s="1"/>
  <c r="AD19" i="16"/>
  <c r="AL19" i="16" s="1"/>
  <c r="AD11" i="16"/>
  <c r="AJ11" i="16" s="1"/>
  <c r="AD10" i="16"/>
  <c r="AL10" i="16" s="1"/>
  <c r="AD26" i="16"/>
  <c r="AE26" i="16" s="1"/>
  <c r="AD6" i="16"/>
  <c r="AF6" i="16" s="1"/>
  <c r="AU11" i="10"/>
  <c r="AS11" i="10"/>
  <c r="AT11" i="10"/>
  <c r="W42" i="50"/>
  <c r="X42" i="50"/>
  <c r="Y42" i="50" s="1"/>
  <c r="AS10" i="10"/>
  <c r="AT10" i="10"/>
  <c r="AU10" i="10"/>
  <c r="D40" i="7"/>
  <c r="U44" i="50"/>
  <c r="D38" i="7"/>
  <c r="U42" i="50"/>
  <c r="S126" i="23"/>
  <c r="T120" i="23"/>
  <c r="T126" i="23" s="1"/>
  <c r="U120" i="23"/>
  <c r="U126" i="23" s="1"/>
  <c r="AU24" i="10"/>
  <c r="AT24" i="10"/>
  <c r="AS24" i="10"/>
  <c r="U35" i="50"/>
  <c r="D31" i="7"/>
  <c r="T21" i="50"/>
  <c r="R20" i="16"/>
  <c r="R54" i="16" s="1"/>
  <c r="S20" i="16"/>
  <c r="S54" i="16" s="1"/>
  <c r="M57" i="7" s="1"/>
  <c r="O58" i="7" s="1"/>
  <c r="D43" i="7"/>
  <c r="U47" i="50"/>
  <c r="AT12" i="10"/>
  <c r="AU12" i="10"/>
  <c r="AS12" i="10"/>
  <c r="X35" i="50"/>
  <c r="Y35" i="50" s="1"/>
  <c r="W35" i="50"/>
  <c r="AS19" i="10"/>
  <c r="AT19" i="10"/>
  <c r="AU19" i="10"/>
  <c r="X47" i="50"/>
  <c r="Y47" i="50" s="1"/>
  <c r="W47" i="50"/>
  <c r="AU26" i="10"/>
  <c r="AT26" i="10"/>
  <c r="AS26" i="10"/>
  <c r="D45" i="7"/>
  <c r="U49" i="50"/>
  <c r="D51" i="7"/>
  <c r="U54" i="50"/>
  <c r="AT22" i="10"/>
  <c r="AS22" i="10"/>
  <c r="AU22" i="10"/>
  <c r="AU13" i="10"/>
  <c r="AS13" i="10"/>
  <c r="AT13" i="10"/>
  <c r="U37" i="50"/>
  <c r="D33" i="7"/>
  <c r="W49" i="50"/>
  <c r="X49" i="50"/>
  <c r="Y49" i="50" s="1"/>
  <c r="V33" i="50"/>
  <c r="T31" i="16"/>
  <c r="Z21" i="16"/>
  <c r="AA21" i="16" s="1"/>
  <c r="AU21" i="10"/>
  <c r="AS21" i="10"/>
  <c r="AT21" i="10"/>
  <c r="X37" i="50"/>
  <c r="Y37" i="50" s="1"/>
  <c r="W37" i="50"/>
  <c r="U33" i="50"/>
  <c r="D29" i="7"/>
  <c r="AU9" i="10"/>
  <c r="AS9" i="10"/>
  <c r="AT9" i="10"/>
  <c r="AU14" i="10"/>
  <c r="AT14" i="10"/>
  <c r="AS14" i="10"/>
  <c r="W48" i="50"/>
  <c r="X48" i="50"/>
  <c r="Y48" i="50" s="1"/>
  <c r="V44" i="50"/>
  <c r="T42" i="16"/>
  <c r="AT15" i="10"/>
  <c r="AS15" i="10"/>
  <c r="AU15" i="10"/>
  <c r="AU23" i="10"/>
  <c r="AT23" i="10"/>
  <c r="AS23" i="10"/>
  <c r="D44" i="7"/>
  <c r="U48" i="50"/>
  <c r="O49" i="7"/>
  <c r="H49" i="7"/>
  <c r="AU6" i="10"/>
  <c r="AT6" i="10"/>
  <c r="AS6" i="10"/>
  <c r="AT28" i="10"/>
  <c r="AS16" i="10"/>
  <c r="AT16" i="10"/>
  <c r="AU16" i="10"/>
  <c r="AS8" i="10"/>
  <c r="AT8" i="10"/>
  <c r="AU8" i="10"/>
  <c r="AU17" i="10"/>
  <c r="AS17" i="10"/>
  <c r="AT17" i="10"/>
  <c r="W34" i="50"/>
  <c r="X34" i="50"/>
  <c r="Y34" i="50" s="1"/>
  <c r="AT7" i="10"/>
  <c r="AS7" i="10"/>
  <c r="AU7" i="10"/>
  <c r="AU27" i="10"/>
  <c r="AS27" i="10"/>
  <c r="AT27" i="10"/>
  <c r="W36" i="50"/>
  <c r="X36" i="50"/>
  <c r="Y36" i="50" s="1"/>
  <c r="D30" i="7"/>
  <c r="U34" i="50"/>
  <c r="AU25" i="10"/>
  <c r="AS25" i="10"/>
  <c r="AT25" i="10"/>
  <c r="AS18" i="10"/>
  <c r="AT18" i="10"/>
  <c r="AU18" i="10"/>
  <c r="D32" i="7"/>
  <c r="U36" i="50"/>
  <c r="X54" i="50"/>
  <c r="Y54" i="50" s="1"/>
  <c r="W54" i="50"/>
  <c r="Q54" i="16"/>
  <c r="AS20" i="10"/>
  <c r="AU20" i="10"/>
  <c r="AT20" i="10"/>
  <c r="AH16" i="16"/>
  <c r="AG16" i="16"/>
  <c r="AE16" i="16"/>
  <c r="AK16" i="16"/>
  <c r="AI16" i="16"/>
  <c r="AJ16" i="16"/>
  <c r="AI15" i="16"/>
  <c r="AL15" i="16"/>
  <c r="AK7" i="16"/>
  <c r="AJ7" i="16"/>
  <c r="AE7" i="16"/>
  <c r="AI7" i="16"/>
  <c r="AH7" i="16"/>
  <c r="AL7" i="16"/>
  <c r="AG7" i="16"/>
  <c r="AG23" i="16"/>
  <c r="AI23" i="16"/>
  <c r="AH23" i="16"/>
  <c r="AL23" i="16"/>
  <c r="AE23" i="16"/>
  <c r="AJ23" i="16"/>
  <c r="AF23" i="16"/>
  <c r="AK23" i="16"/>
  <c r="V43" i="50"/>
  <c r="Z19" i="16"/>
  <c r="U43" i="50"/>
  <c r="D39" i="7"/>
  <c r="AL20" i="16" l="1"/>
  <c r="AJ20" i="16"/>
  <c r="AF16" i="16"/>
  <c r="AI25" i="16"/>
  <c r="AK25" i="16"/>
  <c r="AF25" i="16"/>
  <c r="AH10" i="16"/>
  <c r="AL11" i="16"/>
  <c r="AE19" i="16"/>
  <c r="AE20" i="16"/>
  <c r="AI9" i="16"/>
  <c r="AH20" i="16"/>
  <c r="AK20" i="16"/>
  <c r="AI20" i="16"/>
  <c r="AH25" i="16"/>
  <c r="AE25" i="16"/>
  <c r="AG20" i="16"/>
  <c r="AH9" i="16"/>
  <c r="AG9" i="16"/>
  <c r="AE9" i="16"/>
  <c r="AH11" i="16"/>
  <c r="AI10" i="16"/>
  <c r="AE10" i="16"/>
  <c r="AJ10" i="16"/>
  <c r="AG25" i="16"/>
  <c r="AK10" i="16"/>
  <c r="AG10" i="16"/>
  <c r="AH6" i="16"/>
  <c r="AK6" i="16"/>
  <c r="AL6" i="16"/>
  <c r="AJ6" i="16"/>
  <c r="AF9" i="16"/>
  <c r="AI6" i="16"/>
  <c r="AO25" i="16"/>
  <c r="AP25" i="16" s="1"/>
  <c r="AM25" i="16"/>
  <c r="AL9" i="16"/>
  <c r="AE6" i="16"/>
  <c r="AK9" i="16"/>
  <c r="AJ25" i="16"/>
  <c r="AL25" i="16"/>
  <c r="AF10" i="16"/>
  <c r="AE24" i="16"/>
  <c r="AK24" i="16"/>
  <c r="AI22" i="16"/>
  <c r="AH15" i="16"/>
  <c r="AF11" i="16"/>
  <c r="AE15" i="16"/>
  <c r="AG15" i="16"/>
  <c r="AK11" i="16"/>
  <c r="AI11" i="16"/>
  <c r="AI21" i="16"/>
  <c r="AF22" i="16"/>
  <c r="AG22" i="16"/>
  <c r="AF15" i="16"/>
  <c r="AL27" i="16"/>
  <c r="AK27" i="16"/>
  <c r="AH27" i="16"/>
  <c r="AJ27" i="16"/>
  <c r="AG27" i="16"/>
  <c r="AF27" i="16"/>
  <c r="AE27" i="16"/>
  <c r="AI27" i="16"/>
  <c r="AO27" i="16"/>
  <c r="AP27" i="16" s="1"/>
  <c r="AN27" i="16"/>
  <c r="AJ22" i="16"/>
  <c r="AJ15" i="16"/>
  <c r="AG11" i="16"/>
  <c r="AE11" i="16"/>
  <c r="AL22" i="16"/>
  <c r="AE14" i="16"/>
  <c r="AI14" i="16"/>
  <c r="AG6" i="16"/>
  <c r="AH14" i="16"/>
  <c r="AE22" i="16"/>
  <c r="AF14" i="16"/>
  <c r="AK22" i="16"/>
  <c r="AK21" i="16"/>
  <c r="AF21" i="16"/>
  <c r="AG21" i="16"/>
  <c r="AL21" i="16"/>
  <c r="AH21" i="16"/>
  <c r="AL24" i="16"/>
  <c r="AJ21" i="16"/>
  <c r="AJ24" i="16"/>
  <c r="AF24" i="16"/>
  <c r="AH24" i="16"/>
  <c r="AI24" i="16"/>
  <c r="AE17" i="16"/>
  <c r="AI17" i="16"/>
  <c r="AF17" i="16"/>
  <c r="AK17" i="16"/>
  <c r="AH18" i="16"/>
  <c r="AG17" i="16"/>
  <c r="AE18" i="16"/>
  <c r="AF18" i="16"/>
  <c r="AJ18" i="16"/>
  <c r="AH17" i="16"/>
  <c r="AL17" i="16"/>
  <c r="AI18" i="16"/>
  <c r="AK18" i="16"/>
  <c r="AL18" i="16"/>
  <c r="AO26" i="16"/>
  <c r="AP26" i="16" s="1"/>
  <c r="AK14" i="16"/>
  <c r="AI8" i="16"/>
  <c r="AL12" i="16"/>
  <c r="AG14" i="16"/>
  <c r="AG8" i="16"/>
  <c r="AJ12" i="16"/>
  <c r="AF8" i="16"/>
  <c r="AF12" i="16"/>
  <c r="AK8" i="16"/>
  <c r="AI12" i="16"/>
  <c r="AJ8" i="16"/>
  <c r="AH12" i="16"/>
  <c r="AL8" i="16"/>
  <c r="AK12" i="16"/>
  <c r="AH8" i="16"/>
  <c r="AE12" i="16"/>
  <c r="AL14" i="16"/>
  <c r="AJ13" i="16"/>
  <c r="AL13" i="16"/>
  <c r="AH13" i="16"/>
  <c r="AF13" i="16"/>
  <c r="AE13" i="16"/>
  <c r="AG13" i="16"/>
  <c r="AI13" i="16"/>
  <c r="AN26" i="16"/>
  <c r="AK19" i="16"/>
  <c r="AM26" i="16"/>
  <c r="AJ19" i="16"/>
  <c r="AF19" i="16"/>
  <c r="AI19" i="16"/>
  <c r="AL26" i="16"/>
  <c r="AF26" i="16"/>
  <c r="AJ26" i="16"/>
  <c r="AG26" i="16"/>
  <c r="AK26" i="16"/>
  <c r="AI26" i="16"/>
  <c r="AH26" i="16"/>
  <c r="AH19" i="16"/>
  <c r="AG19" i="16"/>
  <c r="O29" i="7"/>
  <c r="H29" i="7"/>
  <c r="O38" i="7"/>
  <c r="H38" i="7"/>
  <c r="H30" i="7"/>
  <c r="O30" i="7"/>
  <c r="H51" i="7"/>
  <c r="O51" i="7"/>
  <c r="H40" i="7"/>
  <c r="O40" i="7"/>
  <c r="H43" i="7"/>
  <c r="O43" i="7"/>
  <c r="W44" i="50"/>
  <c r="X44" i="50"/>
  <c r="Y44" i="50" s="1"/>
  <c r="H45" i="7"/>
  <c r="O45" i="7"/>
  <c r="V21" i="50"/>
  <c r="AA29" i="50" s="1"/>
  <c r="T24" i="16"/>
  <c r="Z20" i="16" s="1"/>
  <c r="AA20" i="16" s="1"/>
  <c r="AS9" i="16"/>
  <c r="AS8" i="16"/>
  <c r="AS27" i="16"/>
  <c r="AS13" i="16"/>
  <c r="AS14" i="16"/>
  <c r="AS16" i="16"/>
  <c r="AS25" i="16"/>
  <c r="AS23" i="16"/>
  <c r="AS19" i="16"/>
  <c r="AS6" i="16"/>
  <c r="AS26" i="16"/>
  <c r="AS10" i="16"/>
  <c r="AS18" i="16"/>
  <c r="AS7" i="16"/>
  <c r="AS24" i="16"/>
  <c r="AS22" i="16"/>
  <c r="AS15" i="16"/>
  <c r="AS11" i="16"/>
  <c r="AS17" i="16"/>
  <c r="AS21" i="16"/>
  <c r="AS20" i="16"/>
  <c r="AS12" i="16"/>
  <c r="O44" i="7"/>
  <c r="H44" i="7"/>
  <c r="T54" i="16"/>
  <c r="D18" i="7"/>
  <c r="D52" i="7" s="1"/>
  <c r="D54" i="7" s="1"/>
  <c r="D55" i="7" s="1"/>
  <c r="U21" i="50"/>
  <c r="W33" i="50"/>
  <c r="X33" i="50"/>
  <c r="Y33" i="50" s="1"/>
  <c r="H31" i="7"/>
  <c r="O31" i="7"/>
  <c r="O32" i="7"/>
  <c r="H32" i="7"/>
  <c r="J49" i="7"/>
  <c r="I49" i="7"/>
  <c r="O33" i="7"/>
  <c r="H33" i="7"/>
  <c r="AM24" i="16"/>
  <c r="AN24" i="16"/>
  <c r="AO24" i="16"/>
  <c r="AP24" i="16" s="1"/>
  <c r="AM16" i="16"/>
  <c r="AN16" i="16" s="1"/>
  <c r="AM10" i="16"/>
  <c r="AO10" i="16" s="1"/>
  <c r="AP10" i="16" s="1"/>
  <c r="AM7" i="16"/>
  <c r="AN7" i="16" s="1"/>
  <c r="AM20" i="16"/>
  <c r="AN20" i="16" s="1"/>
  <c r="AM23" i="16"/>
  <c r="AO23" i="16" s="1"/>
  <c r="AP23" i="16" s="1"/>
  <c r="S56" i="23"/>
  <c r="S27" i="23"/>
  <c r="R57" i="16"/>
  <c r="AA19" i="16"/>
  <c r="X43" i="50"/>
  <c r="W43" i="50"/>
  <c r="H39" i="7"/>
  <c r="O39" i="7"/>
  <c r="AM9" i="16" l="1"/>
  <c r="AO9" i="16" s="1"/>
  <c r="AP9" i="16" s="1"/>
  <c r="AM6" i="16"/>
  <c r="AO6" i="16" s="1"/>
  <c r="AM11" i="16"/>
  <c r="AN11" i="16" s="1"/>
  <c r="AM15" i="16"/>
  <c r="AN15" i="16" s="1"/>
  <c r="AM22" i="16"/>
  <c r="AN22" i="16" s="1"/>
  <c r="AM21" i="16"/>
  <c r="AN21" i="16" s="1"/>
  <c r="AG28" i="16"/>
  <c r="AM13" i="16"/>
  <c r="AN13" i="16" s="1"/>
  <c r="AM14" i="16"/>
  <c r="AO14" i="16" s="1"/>
  <c r="AP14" i="16" s="1"/>
  <c r="AL28" i="16"/>
  <c r="AM17" i="16"/>
  <c r="AN17" i="16" s="1"/>
  <c r="AK28" i="16"/>
  <c r="AM18" i="16"/>
  <c r="AN18" i="16" s="1"/>
  <c r="AM12" i="16"/>
  <c r="AN12" i="16" s="1"/>
  <c r="AH28" i="16"/>
  <c r="AM19" i="16"/>
  <c r="AO19" i="16" s="1"/>
  <c r="AP19" i="16" s="1"/>
  <c r="AI28" i="16"/>
  <c r="AJ28" i="16"/>
  <c r="AA23" i="16"/>
  <c r="Z23" i="16"/>
  <c r="Z25" i="16" s="1"/>
  <c r="Z37" i="16" s="1"/>
  <c r="AF28" i="16"/>
  <c r="AM8" i="16"/>
  <c r="AO8" i="16" s="1"/>
  <c r="AP8" i="16" s="1"/>
  <c r="AA40" i="50"/>
  <c r="AJ40" i="50" s="1"/>
  <c r="AA18" i="50"/>
  <c r="AB18" i="50" s="1"/>
  <c r="AH18" i="50" s="1"/>
  <c r="AA9" i="50"/>
  <c r="AG9" i="50" s="1"/>
  <c r="AA34" i="50"/>
  <c r="AE34" i="50" s="1"/>
  <c r="AA7" i="50"/>
  <c r="AB7" i="50" s="1"/>
  <c r="AH7" i="50" s="1"/>
  <c r="AA20" i="50"/>
  <c r="AC20" i="50" s="1"/>
  <c r="AI20" i="50" s="1"/>
  <c r="AA49" i="50"/>
  <c r="AJ49" i="50" s="1"/>
  <c r="AA17" i="50"/>
  <c r="AG17" i="50" s="1"/>
  <c r="AA42" i="50"/>
  <c r="AJ42" i="50" s="1"/>
  <c r="AA52" i="50"/>
  <c r="AC52" i="50" s="1"/>
  <c r="AA38" i="50"/>
  <c r="AC38" i="50" s="1"/>
  <c r="AA37" i="50"/>
  <c r="AH37" i="50" s="1"/>
  <c r="AA11" i="50"/>
  <c r="AG11" i="50" s="1"/>
  <c r="AA48" i="50"/>
  <c r="AH48" i="50" s="1"/>
  <c r="AA53" i="50"/>
  <c r="AC53" i="50" s="1"/>
  <c r="AA36" i="50"/>
  <c r="AC36" i="50" s="1"/>
  <c r="AA27" i="50"/>
  <c r="AD27" i="50" s="1"/>
  <c r="AJ27" i="50" s="1"/>
  <c r="AA45" i="50"/>
  <c r="AG45" i="50" s="1"/>
  <c r="AA21" i="50"/>
  <c r="AC21" i="50" s="1"/>
  <c r="AI21" i="50" s="1"/>
  <c r="AA47" i="50"/>
  <c r="AG47" i="50" s="1"/>
  <c r="AA19" i="50"/>
  <c r="AG19" i="50" s="1"/>
  <c r="AA26" i="50"/>
  <c r="AC26" i="50" s="1"/>
  <c r="AI26" i="50" s="1"/>
  <c r="AA28" i="50"/>
  <c r="AC28" i="50" s="1"/>
  <c r="AA30" i="50"/>
  <c r="AH30" i="50" s="1"/>
  <c r="AA51" i="50"/>
  <c r="AG51" i="50" s="1"/>
  <c r="AA25" i="50"/>
  <c r="AC25" i="50" s="1"/>
  <c r="AA12" i="50"/>
  <c r="AD12" i="50" s="1"/>
  <c r="AJ12" i="50" s="1"/>
  <c r="AA55" i="50"/>
  <c r="AH55" i="50" s="1"/>
  <c r="AA54" i="50"/>
  <c r="AE54" i="50" s="1"/>
  <c r="AA13" i="50"/>
  <c r="AG13" i="50" s="1"/>
  <c r="AA46" i="50"/>
  <c r="AG46" i="50" s="1"/>
  <c r="AA15" i="50"/>
  <c r="AG15" i="50" s="1"/>
  <c r="AA31" i="50"/>
  <c r="AJ31" i="50" s="1"/>
  <c r="AA8" i="50"/>
  <c r="AG8" i="50" s="1"/>
  <c r="AA41" i="50"/>
  <c r="AI41" i="50" s="1"/>
  <c r="AA43" i="50"/>
  <c r="AI43" i="50" s="1"/>
  <c r="AA23" i="50"/>
  <c r="AD23" i="50" s="1"/>
  <c r="AJ23" i="50" s="1"/>
  <c r="AA50" i="50"/>
  <c r="AJ50" i="50" s="1"/>
  <c r="AA14" i="50"/>
  <c r="AD14" i="50" s="1"/>
  <c r="AJ14" i="50" s="1"/>
  <c r="AA33" i="50"/>
  <c r="AG33" i="50" s="1"/>
  <c r="AA32" i="50"/>
  <c r="AB32" i="50" s="1"/>
  <c r="AA24" i="50"/>
  <c r="AE24" i="50" s="1"/>
  <c r="AA10" i="50"/>
  <c r="AG10" i="50" s="1"/>
  <c r="AA16" i="50"/>
  <c r="AC16" i="50" s="1"/>
  <c r="AI16" i="50" s="1"/>
  <c r="AA35" i="50"/>
  <c r="AC35" i="50" s="1"/>
  <c r="AA39" i="50"/>
  <c r="AH39" i="50" s="1"/>
  <c r="AA22" i="50"/>
  <c r="AE22" i="50" s="1"/>
  <c r="AA44" i="50"/>
  <c r="AH44" i="50" s="1"/>
  <c r="AW18" i="16"/>
  <c r="AV18" i="16"/>
  <c r="AT18" i="16"/>
  <c r="AU18" i="16"/>
  <c r="AW26" i="16"/>
  <c r="AT26" i="16"/>
  <c r="AU26" i="16"/>
  <c r="AV26" i="16"/>
  <c r="J45" i="7"/>
  <c r="I45" i="7"/>
  <c r="AW10" i="16"/>
  <c r="AT10" i="16"/>
  <c r="AU10" i="16"/>
  <c r="AV10" i="16"/>
  <c r="O18" i="7"/>
  <c r="O52" i="7" s="1"/>
  <c r="O53" i="7" s="1"/>
  <c r="H18" i="7"/>
  <c r="V16" i="7" s="1"/>
  <c r="AU28" i="16"/>
  <c r="AT6" i="16"/>
  <c r="AV6" i="16"/>
  <c r="AW6" i="16"/>
  <c r="AU6" i="16"/>
  <c r="AW19" i="16"/>
  <c r="AV19" i="16"/>
  <c r="AU19" i="16"/>
  <c r="AT19" i="16"/>
  <c r="J43" i="7"/>
  <c r="AB22" i="7" s="1"/>
  <c r="I43" i="7"/>
  <c r="I31" i="7"/>
  <c r="J31" i="7"/>
  <c r="J44" i="7"/>
  <c r="I44" i="7"/>
  <c r="AT23" i="16"/>
  <c r="AU23" i="16"/>
  <c r="AV23" i="16"/>
  <c r="AW23" i="16"/>
  <c r="AW25" i="16"/>
  <c r="AV25" i="16"/>
  <c r="AU25" i="16"/>
  <c r="AT25" i="16"/>
  <c r="I40" i="7"/>
  <c r="J40" i="7"/>
  <c r="AW12" i="16"/>
  <c r="AT12" i="16"/>
  <c r="AV12" i="16"/>
  <c r="AU12" i="16"/>
  <c r="AU16" i="16"/>
  <c r="AT16" i="16"/>
  <c r="AV16" i="16"/>
  <c r="AW16" i="16"/>
  <c r="I33" i="7"/>
  <c r="J33" i="7"/>
  <c r="AU20" i="16"/>
  <c r="AV20" i="16"/>
  <c r="AT20" i="16"/>
  <c r="AW20" i="16"/>
  <c r="AV14" i="16"/>
  <c r="AU14" i="16"/>
  <c r="AT14" i="16"/>
  <c r="AW14" i="16"/>
  <c r="J51" i="7"/>
  <c r="I51" i="7"/>
  <c r="AW21" i="16"/>
  <c r="AV21" i="16"/>
  <c r="AU21" i="16"/>
  <c r="AT21" i="16"/>
  <c r="AW13" i="16"/>
  <c r="AU13" i="16"/>
  <c r="AV13" i="16"/>
  <c r="AT13" i="16"/>
  <c r="AW17" i="16"/>
  <c r="AU17" i="16"/>
  <c r="AT17" i="16"/>
  <c r="AV17" i="16"/>
  <c r="AT27" i="16"/>
  <c r="AV27" i="16"/>
  <c r="AU27" i="16"/>
  <c r="AW27" i="16"/>
  <c r="I30" i="7"/>
  <c r="J30" i="7"/>
  <c r="AU11" i="16"/>
  <c r="AV11" i="16"/>
  <c r="AT11" i="16"/>
  <c r="AW11" i="16"/>
  <c r="AT8" i="16"/>
  <c r="AV8" i="16"/>
  <c r="AW8" i="16"/>
  <c r="AU8" i="16"/>
  <c r="I38" i="7"/>
  <c r="J38" i="7"/>
  <c r="AV7" i="16"/>
  <c r="AT7" i="16"/>
  <c r="AU7" i="16"/>
  <c r="AW7" i="16"/>
  <c r="I32" i="7"/>
  <c r="J32" i="7"/>
  <c r="AW15" i="16"/>
  <c r="AU15" i="16"/>
  <c r="AT15" i="16"/>
  <c r="AV15" i="16"/>
  <c r="AW9" i="16"/>
  <c r="AU9" i="16"/>
  <c r="AV9" i="16"/>
  <c r="AT9" i="16"/>
  <c r="AW22" i="16"/>
  <c r="AU22" i="16"/>
  <c r="AV22" i="16"/>
  <c r="AT22" i="16"/>
  <c r="I29" i="7"/>
  <c r="J29" i="7"/>
  <c r="AU24" i="16"/>
  <c r="AV24" i="16"/>
  <c r="AT24" i="16"/>
  <c r="AW24" i="16"/>
  <c r="X21" i="50"/>
  <c r="Y21" i="50" s="1"/>
  <c r="W21" i="50"/>
  <c r="AO22" i="16"/>
  <c r="AP22" i="16" s="1"/>
  <c r="AO16" i="16"/>
  <c r="AP16" i="16" s="1"/>
  <c r="AN8" i="16"/>
  <c r="AO15" i="16"/>
  <c r="AP15" i="16" s="1"/>
  <c r="AO21" i="16"/>
  <c r="AP21" i="16" s="1"/>
  <c r="AO7" i="16"/>
  <c r="AP7" i="16" s="1"/>
  <c r="AN9" i="16"/>
  <c r="AO20" i="16"/>
  <c r="AP20" i="16" s="1"/>
  <c r="AO11" i="16"/>
  <c r="AP11" i="16" s="1"/>
  <c r="AN10" i="16"/>
  <c r="AN6" i="16"/>
  <c r="AN14" i="16"/>
  <c r="AN23" i="16"/>
  <c r="AP6" i="16"/>
  <c r="Y43" i="50"/>
  <c r="AB29" i="50"/>
  <c r="AH29" i="50" s="1"/>
  <c r="AE29" i="50"/>
  <c r="AG29" i="50"/>
  <c r="AC29" i="50"/>
  <c r="AI29" i="50" s="1"/>
  <c r="AD29" i="50"/>
  <c r="AJ29" i="50" s="1"/>
  <c r="S31" i="23"/>
  <c r="S33" i="23" s="1"/>
  <c r="D56" i="7"/>
  <c r="AG36" i="50"/>
  <c r="I39" i="7"/>
  <c r="J39" i="7"/>
  <c r="AG36" i="7"/>
  <c r="Y48" i="7"/>
  <c r="AC37" i="7"/>
  <c r="AC40" i="7"/>
  <c r="T41" i="7"/>
  <c r="AH41" i="7" s="1"/>
  <c r="AD53" i="7"/>
  <c r="AE7" i="7"/>
  <c r="AF23" i="7"/>
  <c r="AF8" i="7"/>
  <c r="AG42" i="7"/>
  <c r="W6" i="7"/>
  <c r="Z53" i="7"/>
  <c r="T11" i="7"/>
  <c r="T32" i="7"/>
  <c r="AH32" i="7" s="1"/>
  <c r="AG30" i="7"/>
  <c r="Y8" i="7"/>
  <c r="U5" i="7"/>
  <c r="U7" i="7"/>
  <c r="W8" i="7"/>
  <c r="AA41" i="7"/>
  <c r="Z26" i="7"/>
  <c r="X44" i="7"/>
  <c r="Y7" i="7"/>
  <c r="Z6" i="7"/>
  <c r="W10" i="7"/>
  <c r="Y17" i="7"/>
  <c r="Z35" i="7"/>
  <c r="V43" i="7"/>
  <c r="AE50" i="7"/>
  <c r="Z32" i="7"/>
  <c r="AC33" i="7"/>
  <c r="AG53" i="7"/>
  <c r="AF31" i="7"/>
  <c r="AA43" i="7"/>
  <c r="Y41" i="7"/>
  <c r="AB40" i="7"/>
  <c r="AF6" i="7"/>
  <c r="W25" i="7"/>
  <c r="Y14" i="7"/>
  <c r="AF52" i="7"/>
  <c r="Y38" i="7"/>
  <c r="T25" i="7"/>
  <c r="AG10" i="7"/>
  <c r="AA53" i="7"/>
  <c r="AC31" i="7"/>
  <c r="AC7" i="7"/>
  <c r="AC34" i="7"/>
  <c r="Z7" i="7"/>
  <c r="AA22" i="7"/>
  <c r="AC20" i="7"/>
  <c r="U38" i="7"/>
  <c r="AE11" i="7"/>
  <c r="AD10" i="7"/>
  <c r="AD52" i="7"/>
  <c r="AF44" i="7"/>
  <c r="AC46" i="7"/>
  <c r="X16" i="7"/>
  <c r="X42" i="7"/>
  <c r="X56" i="7"/>
  <c r="W11" i="7"/>
  <c r="Y42" i="7"/>
  <c r="AB30" i="7"/>
  <c r="Z20" i="7"/>
  <c r="AD17" i="7"/>
  <c r="Z8" i="7"/>
  <c r="AG55" i="7"/>
  <c r="V5" i="7"/>
  <c r="Z15" i="7"/>
  <c r="AG50" i="7"/>
  <c r="X19" i="7"/>
  <c r="V30" i="7"/>
  <c r="U44" i="7"/>
  <c r="W9" i="7"/>
  <c r="AA35" i="7"/>
  <c r="U11" i="7"/>
  <c r="Y12" i="7"/>
  <c r="AF22" i="7"/>
  <c r="AF10" i="7"/>
  <c r="AD37" i="7"/>
  <c r="V48" i="7"/>
  <c r="V12" i="7"/>
  <c r="AC10" i="7"/>
  <c r="U19" i="7"/>
  <c r="T26" i="7"/>
  <c r="U54" i="7"/>
  <c r="U12" i="7"/>
  <c r="W19" i="7"/>
  <c r="T38" i="7"/>
  <c r="AH38" i="7" s="1"/>
  <c r="W37" i="7"/>
  <c r="Z54" i="7"/>
  <c r="AC15" i="7"/>
  <c r="V38" i="7"/>
  <c r="AA10" i="7"/>
  <c r="AE42" i="7"/>
  <c r="V42" i="7"/>
  <c r="X37" i="7"/>
  <c r="T24" i="7"/>
  <c r="AF48" i="7"/>
  <c r="AF7" i="7"/>
  <c r="AG34" i="7"/>
  <c r="AD50" i="7"/>
  <c r="T23" i="7"/>
  <c r="V29" i="7"/>
  <c r="V55" i="7"/>
  <c r="W28" i="7"/>
  <c r="AE27" i="7"/>
  <c r="AA9" i="7"/>
  <c r="V25" i="7"/>
  <c r="X47" i="7"/>
  <c r="Z37" i="7"/>
  <c r="T27" i="7"/>
  <c r="AD44" i="7"/>
  <c r="T45" i="7"/>
  <c r="AH45" i="7" s="1"/>
  <c r="W17" i="7"/>
  <c r="Y31" i="7"/>
  <c r="T22" i="7"/>
  <c r="Z38" i="7"/>
  <c r="T8" i="7"/>
  <c r="Z50" i="7"/>
  <c r="U36" i="7"/>
  <c r="AB49" i="7"/>
  <c r="AG47" i="7"/>
  <c r="X43" i="7"/>
  <c r="AE55" i="7"/>
  <c r="AB26" i="7"/>
  <c r="T33" i="7"/>
  <c r="AH33" i="7" s="1"/>
  <c r="T28" i="7"/>
  <c r="AH28" i="7" s="1"/>
  <c r="Y5" i="7"/>
  <c r="AG38" i="7"/>
  <c r="AE19" i="7"/>
  <c r="Y32" i="7"/>
  <c r="AE15" i="7"/>
  <c r="AF47" i="7"/>
  <c r="T19" i="7"/>
  <c r="V23" i="7"/>
  <c r="AC42" i="7"/>
  <c r="AF37" i="7"/>
  <c r="U18" i="7"/>
  <c r="AA31" i="7"/>
  <c r="W41" i="7"/>
  <c r="V14" i="7"/>
  <c r="U17" i="7"/>
  <c r="X25" i="7"/>
  <c r="Y44" i="7"/>
  <c r="AB18" i="7"/>
  <c r="AE20" i="7"/>
  <c r="V10" i="7"/>
  <c r="V44" i="7"/>
  <c r="V47" i="7"/>
  <c r="W40" i="7"/>
  <c r="V31" i="7"/>
  <c r="V50" i="7"/>
  <c r="Y47" i="7"/>
  <c r="V41" i="7"/>
  <c r="AD12" i="7"/>
  <c r="W51" i="7"/>
  <c r="U20" i="7"/>
  <c r="W15" i="7"/>
  <c r="Y56" i="7"/>
  <c r="AC27" i="7"/>
  <c r="AB36" i="7"/>
  <c r="V37" i="7"/>
  <c r="AF34" i="7"/>
  <c r="AG35" i="7"/>
  <c r="Y21" i="7"/>
  <c r="AD23" i="7"/>
  <c r="W29" i="7"/>
  <c r="Y18" i="7"/>
  <c r="X18" i="7"/>
  <c r="T53" i="7"/>
  <c r="AH53" i="7" s="1"/>
  <c r="Z47" i="7"/>
  <c r="AF17" i="7"/>
  <c r="AG22" i="7"/>
  <c r="AE24" i="7"/>
  <c r="Z24" i="7"/>
  <c r="AB46" i="7"/>
  <c r="AF40" i="7"/>
  <c r="Z25" i="7"/>
  <c r="Y55" i="7"/>
  <c r="AE31" i="7"/>
  <c r="T46" i="7"/>
  <c r="AH46" i="7" s="1"/>
  <c r="Z52" i="7"/>
  <c r="T55" i="7"/>
  <c r="AH55" i="7" s="1"/>
  <c r="X48" i="7"/>
  <c r="AC38" i="7"/>
  <c r="U55" i="7"/>
  <c r="W47" i="7"/>
  <c r="Z19" i="7"/>
  <c r="T5" i="7"/>
  <c r="T42" i="7"/>
  <c r="AH42" i="7" s="1"/>
  <c r="AD11" i="7"/>
  <c r="AD24" i="7"/>
  <c r="Y45" i="7"/>
  <c r="AF50" i="7"/>
  <c r="Y33" i="7"/>
  <c r="V51" i="7"/>
  <c r="AA28" i="7"/>
  <c r="AE28" i="7"/>
  <c r="X7" i="7"/>
  <c r="AG33" i="7"/>
  <c r="X30" i="7"/>
  <c r="W38" i="7"/>
  <c r="AF30" i="7"/>
  <c r="U35" i="7"/>
  <c r="AF12" i="7"/>
  <c r="U39" i="7"/>
  <c r="AF29" i="7"/>
  <c r="AF5" i="7"/>
  <c r="X6" i="7"/>
  <c r="AG9" i="7"/>
  <c r="AD34" i="7"/>
  <c r="AD47" i="7"/>
  <c r="V54" i="7"/>
  <c r="AC32" i="7"/>
  <c r="AA37" i="7"/>
  <c r="Y39" i="7"/>
  <c r="AG18" i="7"/>
  <c r="W26" i="7"/>
  <c r="AE49" i="7"/>
  <c r="V19" i="7"/>
  <c r="W32" i="7"/>
  <c r="AF21" i="7"/>
  <c r="AG32" i="7"/>
  <c r="AD56" i="7"/>
  <c r="T18" i="7"/>
  <c r="Z23" i="7"/>
  <c r="X55" i="7"/>
  <c r="Y6" i="7"/>
  <c r="Z18" i="7"/>
  <c r="U45" i="7"/>
  <c r="AB38" i="7"/>
  <c r="V18" i="7"/>
  <c r="U40" i="7"/>
  <c r="AG52" i="7"/>
  <c r="AB52" i="7"/>
  <c r="AC49" i="7"/>
  <c r="AF36" i="7"/>
  <c r="AF20" i="7"/>
  <c r="AA32" i="7"/>
  <c r="U34" i="7"/>
  <c r="AA45" i="7"/>
  <c r="AB29" i="7"/>
  <c r="U29" i="7"/>
  <c r="W21" i="7"/>
  <c r="Y23" i="7"/>
  <c r="AD22" i="7"/>
  <c r="AD19" i="7"/>
  <c r="AB50" i="7"/>
  <c r="U46" i="7"/>
  <c r="AF26" i="7"/>
  <c r="AG39" i="7"/>
  <c r="AD43" i="7"/>
  <c r="Z46" i="7"/>
  <c r="V11" i="7"/>
  <c r="U41" i="7"/>
  <c r="AC35" i="7"/>
  <c r="AG16" i="7"/>
  <c r="W27" i="7"/>
  <c r="AE38" i="7"/>
  <c r="X53" i="7"/>
  <c r="AA12" i="7"/>
  <c r="AE23" i="7"/>
  <c r="AE37" i="7"/>
  <c r="T56" i="7"/>
  <c r="AH56" i="7" s="1"/>
  <c r="W53" i="7"/>
  <c r="AE35" i="7"/>
  <c r="T49" i="7"/>
  <c r="AH49" i="7" s="1"/>
  <c r="AF42" i="7"/>
  <c r="X8" i="7"/>
  <c r="AG31" i="7"/>
  <c r="AA11" i="7"/>
  <c r="AG29" i="7"/>
  <c r="AA50" i="7"/>
  <c r="AD9" i="7"/>
  <c r="W52" i="7"/>
  <c r="W30" i="7"/>
  <c r="U53" i="7"/>
  <c r="W50" i="7"/>
  <c r="W31" i="7"/>
  <c r="AC21" i="7"/>
  <c r="AC9" i="7"/>
  <c r="AD7" i="7"/>
  <c r="X33" i="7"/>
  <c r="T13" i="7"/>
  <c r="W14" i="7"/>
  <c r="Y15" i="7"/>
  <c r="AG25" i="7"/>
  <c r="T10" i="7"/>
  <c r="AA25" i="7"/>
  <c r="W12" i="7"/>
  <c r="AC8" i="7"/>
  <c r="AE39" i="7"/>
  <c r="AG44" i="7"/>
  <c r="U25" i="7"/>
  <c r="AB48" i="7"/>
  <c r="W22" i="7"/>
  <c r="W56" i="7"/>
  <c r="AF41" i="7"/>
  <c r="Y13" i="7"/>
  <c r="T30" i="7"/>
  <c r="AH30" i="7" s="1"/>
  <c r="AE16" i="7"/>
  <c r="T43" i="7"/>
  <c r="AH43" i="7" s="1"/>
  <c r="AD14" i="7"/>
  <c r="AE12" i="7"/>
  <c r="X21" i="7"/>
  <c r="U14" i="7"/>
  <c r="AC30" i="7"/>
  <c r="AG11" i="7"/>
  <c r="AC11" i="7"/>
  <c r="T20" i="7"/>
  <c r="AA24" i="7"/>
  <c r="Y50" i="7"/>
  <c r="AD30" i="7"/>
  <c r="AC14" i="7"/>
  <c r="Y28" i="7"/>
  <c r="AF18" i="7"/>
  <c r="AA52" i="7"/>
  <c r="AG46" i="7"/>
  <c r="AC41" i="7"/>
  <c r="AE17" i="7"/>
  <c r="X22" i="7"/>
  <c r="AG20" i="7"/>
  <c r="AF55" i="7"/>
  <c r="AE34" i="7"/>
  <c r="T51" i="7"/>
  <c r="AH51" i="7" s="1"/>
  <c r="W43" i="7"/>
  <c r="T39" i="7"/>
  <c r="AH39" i="7" s="1"/>
  <c r="AB45" i="7"/>
  <c r="AF39" i="7"/>
  <c r="Z31" i="7"/>
  <c r="AB34" i="7"/>
  <c r="AD27" i="7"/>
  <c r="AF51" i="7"/>
  <c r="X31" i="7"/>
  <c r="Y43" i="7"/>
  <c r="AA48" i="7"/>
  <c r="X50" i="7"/>
  <c r="AF43" i="7"/>
  <c r="X10" i="7"/>
  <c r="U31" i="7"/>
  <c r="AG19" i="7"/>
  <c r="AG15" i="7"/>
  <c r="X24" i="7"/>
  <c r="U48" i="7"/>
  <c r="AE48" i="7"/>
  <c r="AE44" i="7"/>
  <c r="AC26" i="7"/>
  <c r="U28" i="7"/>
  <c r="AG56" i="7"/>
  <c r="W24" i="7"/>
  <c r="W13" i="7"/>
  <c r="AA29" i="7"/>
  <c r="Z45" i="7"/>
  <c r="AD33" i="7"/>
  <c r="AC19" i="7"/>
  <c r="AB53" i="7"/>
  <c r="AD42" i="7"/>
  <c r="AB10" i="7"/>
  <c r="AG37" i="7"/>
  <c r="T7" i="7"/>
  <c r="AF13" i="7"/>
  <c r="V28" i="7"/>
  <c r="Z14" i="7"/>
  <c r="V34" i="7"/>
  <c r="AF32" i="7"/>
  <c r="AF28" i="7"/>
  <c r="AB56" i="7"/>
  <c r="T35" i="7"/>
  <c r="AH35" i="7" s="1"/>
  <c r="Y22" i="7"/>
  <c r="AE52" i="7"/>
  <c r="W7" i="7"/>
  <c r="AD8" i="7"/>
  <c r="AC54" i="7"/>
  <c r="AF27" i="7"/>
  <c r="U13" i="7"/>
  <c r="AC6" i="7"/>
  <c r="Z51" i="7"/>
  <c r="AC45" i="7"/>
  <c r="W48" i="7"/>
  <c r="X40" i="7"/>
  <c r="U23" i="7"/>
  <c r="U47" i="7"/>
  <c r="AD39" i="7"/>
  <c r="AA27" i="7"/>
  <c r="U49" i="7"/>
  <c r="AE46" i="7"/>
  <c r="Z5" i="7"/>
  <c r="AC52" i="7"/>
  <c r="AA26" i="7"/>
  <c r="W23" i="7"/>
  <c r="AD35" i="7"/>
  <c r="Z12" i="7"/>
  <c r="AG14" i="7"/>
  <c r="Z36" i="7"/>
  <c r="Z21" i="7"/>
  <c r="AE56" i="7"/>
  <c r="AE36" i="7"/>
  <c r="AB11" i="7"/>
  <c r="W44" i="7"/>
  <c r="X49" i="7"/>
  <c r="AG43" i="7"/>
  <c r="Y52" i="7"/>
  <c r="W34" i="7"/>
  <c r="AC22" i="7"/>
  <c r="AF56" i="7"/>
  <c r="V7" i="7"/>
  <c r="Y40" i="7"/>
  <c r="AC23" i="7"/>
  <c r="Z10" i="7"/>
  <c r="AA34" i="7"/>
  <c r="X11" i="7"/>
  <c r="U51" i="7"/>
  <c r="T9" i="7"/>
  <c r="X28" i="7"/>
  <c r="U6" i="7"/>
  <c r="AE32" i="7"/>
  <c r="AD49" i="7"/>
  <c r="AA44" i="7"/>
  <c r="V35" i="7"/>
  <c r="AC50" i="7"/>
  <c r="Z28" i="7"/>
  <c r="Y27" i="7"/>
  <c r="W36" i="7"/>
  <c r="AC17" i="7"/>
  <c r="U27" i="7"/>
  <c r="AG45" i="7"/>
  <c r="X54" i="7"/>
  <c r="W20" i="7"/>
  <c r="W55" i="7"/>
  <c r="Y25" i="7"/>
  <c r="W54" i="7"/>
  <c r="AE18" i="7"/>
  <c r="AA5" i="7"/>
  <c r="AD16" i="7"/>
  <c r="Y29" i="7"/>
  <c r="W33" i="7"/>
  <c r="AG41" i="7"/>
  <c r="AF16" i="7"/>
  <c r="AA18" i="7"/>
  <c r="W18" i="7"/>
  <c r="AD32" i="7"/>
  <c r="AG8" i="7"/>
  <c r="AC24" i="7"/>
  <c r="AE21" i="7"/>
  <c r="AC5" i="7"/>
  <c r="AB27" i="7"/>
  <c r="AA8" i="7"/>
  <c r="V45" i="7"/>
  <c r="U26" i="7"/>
  <c r="Y51" i="7"/>
  <c r="AD38" i="7"/>
  <c r="AA39" i="7"/>
  <c r="AB32" i="7"/>
  <c r="AC25" i="7"/>
  <c r="AB41" i="7"/>
  <c r="Y24" i="7"/>
  <c r="AE51" i="7"/>
  <c r="V53" i="7"/>
  <c r="Y9" i="7"/>
  <c r="X5" i="7"/>
  <c r="AB42" i="7"/>
  <c r="AE26" i="7"/>
  <c r="U10" i="7"/>
  <c r="Z56" i="7"/>
  <c r="X12" i="7"/>
  <c r="AB7" i="7"/>
  <c r="Z34" i="7"/>
  <c r="AE10" i="7"/>
  <c r="X45" i="7"/>
  <c r="AC47" i="7"/>
  <c r="T34" i="7"/>
  <c r="AH34" i="7" s="1"/>
  <c r="AG13" i="7"/>
  <c r="AD26" i="7"/>
  <c r="T36" i="7"/>
  <c r="AH36" i="7" s="1"/>
  <c r="U8" i="7"/>
  <c r="X9" i="7"/>
  <c r="X34" i="7"/>
  <c r="AB47" i="7"/>
  <c r="V8" i="7"/>
  <c r="AD28" i="7"/>
  <c r="AE22" i="7"/>
  <c r="X13" i="7"/>
  <c r="V32" i="7"/>
  <c r="Y46" i="7"/>
  <c r="AB54" i="7"/>
  <c r="U56" i="7"/>
  <c r="AA47" i="7"/>
  <c r="V13" i="7"/>
  <c r="AD41" i="7"/>
  <c r="X35" i="7"/>
  <c r="AC55" i="7"/>
  <c r="AB5" i="7"/>
  <c r="X52" i="7"/>
  <c r="U24" i="7"/>
  <c r="AE30" i="7"/>
  <c r="Z17" i="7"/>
  <c r="AE9" i="7"/>
  <c r="AD55" i="7"/>
  <c r="X46" i="7"/>
  <c r="X20" i="7"/>
  <c r="AA56" i="7"/>
  <c r="Y26" i="7"/>
  <c r="Z22" i="7"/>
  <c r="AC43" i="7"/>
  <c r="T31" i="7"/>
  <c r="AH31" i="7" s="1"/>
  <c r="AC39" i="7"/>
  <c r="AB43" i="7"/>
  <c r="T44" i="7"/>
  <c r="AH44" i="7" s="1"/>
  <c r="AG40" i="7"/>
  <c r="U42" i="7"/>
  <c r="AC53" i="7"/>
  <c r="AD54" i="7"/>
  <c r="T21" i="7"/>
  <c r="AD51" i="7"/>
  <c r="AF45" i="7"/>
  <c r="AF38" i="7"/>
  <c r="AG49" i="7"/>
  <c r="W46" i="7"/>
  <c r="AG12" i="7"/>
  <c r="AA16" i="7"/>
  <c r="AA55" i="7"/>
  <c r="AD45" i="7"/>
  <c r="T52" i="7"/>
  <c r="AH52" i="7" s="1"/>
  <c r="Y54" i="7"/>
  <c r="Y36" i="7"/>
  <c r="V15" i="7"/>
  <c r="AC56" i="7"/>
  <c r="AA33" i="7"/>
  <c r="V52" i="7"/>
  <c r="AD18" i="7"/>
  <c r="AB8" i="7"/>
  <c r="AB14" i="7"/>
  <c r="AA36" i="7"/>
  <c r="AF46" i="7"/>
  <c r="Y35" i="7"/>
  <c r="AA23" i="7"/>
  <c r="Z40" i="7"/>
  <c r="AC48" i="7"/>
  <c r="AB23" i="7"/>
  <c r="AA40" i="7"/>
  <c r="W39" i="7"/>
  <c r="Y19" i="7"/>
  <c r="AG48" i="7"/>
  <c r="AE47" i="7"/>
  <c r="T40" i="7"/>
  <c r="AH40" i="7" s="1"/>
  <c r="AC51" i="7"/>
  <c r="AC12" i="7"/>
  <c r="V21" i="7"/>
  <c r="X26" i="7"/>
  <c r="V26" i="7"/>
  <c r="Z29" i="7"/>
  <c r="V33" i="7"/>
  <c r="AF35" i="7"/>
  <c r="AG27" i="7"/>
  <c r="Z42" i="7"/>
  <c r="X36" i="7"/>
  <c r="AF14" i="7"/>
  <c r="X51" i="7"/>
  <c r="AC44" i="7"/>
  <c r="AE8" i="7"/>
  <c r="AF11" i="7"/>
  <c r="AC29" i="7"/>
  <c r="AE25" i="7"/>
  <c r="AD13" i="7"/>
  <c r="U9" i="7"/>
  <c r="AB35" i="7"/>
  <c r="AA38" i="7"/>
  <c r="X32" i="7"/>
  <c r="AD48" i="7"/>
  <c r="Z9" i="7"/>
  <c r="AF15" i="7"/>
  <c r="U21" i="7"/>
  <c r="AG51" i="7"/>
  <c r="T48" i="7"/>
  <c r="AH48" i="7" s="1"/>
  <c r="T17" i="7"/>
  <c r="X14" i="7"/>
  <c r="Z33" i="7"/>
  <c r="Y53" i="7"/>
  <c r="V9" i="7"/>
  <c r="W45" i="7"/>
  <c r="Z41" i="7"/>
  <c r="AF54" i="7"/>
  <c r="AD21" i="7"/>
  <c r="Z43" i="7"/>
  <c r="AB17" i="7"/>
  <c r="AD20" i="7"/>
  <c r="T29" i="7"/>
  <c r="AH29" i="7" s="1"/>
  <c r="T12" i="7"/>
  <c r="Z27" i="7"/>
  <c r="V39" i="7"/>
  <c r="AD36" i="7"/>
  <c r="AB44" i="7"/>
  <c r="AB9" i="7"/>
  <c r="U43" i="7"/>
  <c r="AF33" i="7"/>
  <c r="AG54" i="7"/>
  <c r="U37" i="7"/>
  <c r="W5" i="7"/>
  <c r="AB55" i="7"/>
  <c r="W35" i="7"/>
  <c r="T15" i="7"/>
  <c r="T6" i="7"/>
  <c r="T54" i="7"/>
  <c r="AH54" i="7" s="1"/>
  <c r="Y16" i="7"/>
  <c r="AB39" i="7"/>
  <c r="Y37" i="7"/>
  <c r="AC28" i="7"/>
  <c r="AB37" i="7"/>
  <c r="AE43" i="7"/>
  <c r="X41" i="7"/>
  <c r="AB51" i="7"/>
  <c r="Z55" i="7"/>
  <c r="X17" i="7"/>
  <c r="AE41" i="7"/>
  <c r="X27" i="7"/>
  <c r="AE5" i="7"/>
  <c r="AD5" i="7"/>
  <c r="AG27" i="50"/>
  <c r="AB27" i="50"/>
  <c r="AH27" i="50" s="1"/>
  <c r="AC27" i="50"/>
  <c r="AI27" i="50" s="1"/>
  <c r="AE27" i="50"/>
  <c r="AD45" i="50"/>
  <c r="AC45" i="50"/>
  <c r="AB45" i="50"/>
  <c r="X15" i="7" l="1"/>
  <c r="AG23" i="7"/>
  <c r="AF19" i="7"/>
  <c r="X29" i="7"/>
  <c r="U22" i="7"/>
  <c r="AD25" i="7"/>
  <c r="AB24" i="7"/>
  <c r="Z39" i="7"/>
  <c r="AD46" i="7"/>
  <c r="U50" i="7"/>
  <c r="AA7" i="7"/>
  <c r="Y30" i="7"/>
  <c r="AB33" i="7"/>
  <c r="Z13" i="7"/>
  <c r="AE54" i="7"/>
  <c r="AC13" i="7"/>
  <c r="AA54" i="7"/>
  <c r="V49" i="7"/>
  <c r="AE13" i="7"/>
  <c r="T37" i="7"/>
  <c r="AH37" i="7" s="1"/>
  <c r="X39" i="7"/>
  <c r="AG26" i="7"/>
  <c r="U30" i="7"/>
  <c r="AE53" i="7"/>
  <c r="AC36" i="7"/>
  <c r="T47" i="7"/>
  <c r="AH47" i="7" s="1"/>
  <c r="AB31" i="7"/>
  <c r="AE29" i="7"/>
  <c r="Y20" i="7"/>
  <c r="AC16" i="7"/>
  <c r="AA14" i="7"/>
  <c r="Z16" i="7"/>
  <c r="V27" i="7"/>
  <c r="AC18" i="7"/>
  <c r="AD6" i="7"/>
  <c r="AA46" i="7"/>
  <c r="AA30" i="7"/>
  <c r="AG7" i="7"/>
  <c r="AF24" i="7"/>
  <c r="AG17" i="7"/>
  <c r="AG6" i="7"/>
  <c r="W16" i="7"/>
  <c r="V6" i="7"/>
  <c r="T16" i="7"/>
  <c r="Z48" i="7"/>
  <c r="AE14" i="7"/>
  <c r="X23" i="7"/>
  <c r="AF25" i="7"/>
  <c r="AB12" i="7"/>
  <c r="W42" i="7"/>
  <c r="AB25" i="7"/>
  <c r="AE45" i="7"/>
  <c r="W49" i="7"/>
  <c r="AD29" i="7"/>
  <c r="V40" i="7"/>
  <c r="Y10" i="7"/>
  <c r="V17" i="7"/>
  <c r="U32" i="7"/>
  <c r="AB9" i="50"/>
  <c r="AH9" i="50" s="1"/>
  <c r="T50" i="7"/>
  <c r="AH50" i="7" s="1"/>
  <c r="AF53" i="7"/>
  <c r="Z49" i="7"/>
  <c r="V56" i="7"/>
  <c r="AA6" i="7"/>
  <c r="AA20" i="7"/>
  <c r="AO13" i="16"/>
  <c r="AP13" i="16" s="1"/>
  <c r="AG21" i="50"/>
  <c r="AN21" i="50" s="1"/>
  <c r="AB21" i="50"/>
  <c r="AH21" i="50" s="1"/>
  <c r="AD21" i="50"/>
  <c r="AJ21" i="50" s="1"/>
  <c r="AJ45" i="50"/>
  <c r="AI45" i="50"/>
  <c r="AH45" i="50"/>
  <c r="AE45" i="50"/>
  <c r="AC9" i="50"/>
  <c r="AI9" i="50" s="1"/>
  <c r="AB36" i="50"/>
  <c r="AD9" i="50"/>
  <c r="AJ9" i="50" s="1"/>
  <c r="AJ36" i="50"/>
  <c r="AE36" i="50"/>
  <c r="AD36" i="50"/>
  <c r="AH36" i="50"/>
  <c r="AB19" i="7"/>
  <c r="AA19" i="7"/>
  <c r="AH19" i="7" s="1"/>
  <c r="AD31" i="7"/>
  <c r="AF49" i="7"/>
  <c r="V22" i="7"/>
  <c r="U33" i="7"/>
  <c r="Y49" i="7"/>
  <c r="U52" i="7"/>
  <c r="AG28" i="7"/>
  <c r="AG5" i="7"/>
  <c r="AA17" i="7"/>
  <c r="AH17" i="7" s="1"/>
  <c r="AA13" i="7"/>
  <c r="AH13" i="7" s="1"/>
  <c r="AG21" i="7"/>
  <c r="Y11" i="7"/>
  <c r="AE6" i="7"/>
  <c r="U16" i="7"/>
  <c r="V46" i="7"/>
  <c r="U15" i="7"/>
  <c r="AO17" i="16"/>
  <c r="AP17" i="16" s="1"/>
  <c r="AA51" i="7"/>
  <c r="AA49" i="7"/>
  <c r="AB28" i="7"/>
  <c r="AD15" i="7"/>
  <c r="AE40" i="7"/>
  <c r="Z11" i="7"/>
  <c r="AE33" i="7"/>
  <c r="AM28" i="16"/>
  <c r="AB6" i="7"/>
  <c r="B35" i="50"/>
  <c r="M35" i="50" s="1"/>
  <c r="AG24" i="7"/>
  <c r="AI36" i="50"/>
  <c r="AG20" i="50"/>
  <c r="AQ20" i="50" s="1"/>
  <c r="AB20" i="50"/>
  <c r="AH20" i="50" s="1"/>
  <c r="AH27" i="7"/>
  <c r="AG18" i="50"/>
  <c r="AM18" i="50" s="1"/>
  <c r="AD18" i="50"/>
  <c r="AJ18" i="50" s="1"/>
  <c r="AD20" i="50"/>
  <c r="AJ20" i="50" s="1"/>
  <c r="AA42" i="7"/>
  <c r="V36" i="7"/>
  <c r="X38" i="7"/>
  <c r="C10" i="50"/>
  <c r="A23" i="50"/>
  <c r="Y34" i="7"/>
  <c r="AD26" i="50"/>
  <c r="AJ26" i="50" s="1"/>
  <c r="V24" i="7"/>
  <c r="AG26" i="50"/>
  <c r="AO26" i="50" s="1"/>
  <c r="AC18" i="50"/>
  <c r="AI18" i="50" s="1"/>
  <c r="AG41" i="50"/>
  <c r="AT41" i="50" s="1"/>
  <c r="AE26" i="50"/>
  <c r="AH42" i="50"/>
  <c r="AI49" i="50"/>
  <c r="AG49" i="50"/>
  <c r="AT49" i="50" s="1"/>
  <c r="AC7" i="50"/>
  <c r="AI7" i="50" s="1"/>
  <c r="AD7" i="50"/>
  <c r="AJ7" i="50" s="1"/>
  <c r="AG52" i="50"/>
  <c r="AR52" i="50" s="1"/>
  <c r="AG7" i="50"/>
  <c r="AN7" i="50" s="1"/>
  <c r="AB26" i="50"/>
  <c r="AH26" i="50" s="1"/>
  <c r="AH52" i="50"/>
  <c r="AE42" i="50"/>
  <c r="AG42" i="50"/>
  <c r="AR42" i="50" s="1"/>
  <c r="AD25" i="50"/>
  <c r="AJ25" i="50" s="1"/>
  <c r="AI32" i="50"/>
  <c r="I35" i="50"/>
  <c r="AD51" i="50"/>
  <c r="AC51" i="50"/>
  <c r="AJ48" i="50"/>
  <c r="AN19" i="16"/>
  <c r="AN28" i="16" s="1"/>
  <c r="AI48" i="50"/>
  <c r="AG48" i="50"/>
  <c r="AQ48" i="50" s="1"/>
  <c r="AE48" i="50"/>
  <c r="AD48" i="50"/>
  <c r="AB48" i="50"/>
  <c r="AC48" i="50"/>
  <c r="AB11" i="50"/>
  <c r="AH11" i="50" s="1"/>
  <c r="AJ44" i="50"/>
  <c r="AG44" i="50"/>
  <c r="AP44" i="50" s="1"/>
  <c r="AG25" i="50"/>
  <c r="AU25" i="50" s="1"/>
  <c r="AI44" i="50"/>
  <c r="A16" i="50"/>
  <c r="D36" i="50"/>
  <c r="D48" i="50"/>
  <c r="I36" i="50"/>
  <c r="I24" i="50"/>
  <c r="G18" i="50"/>
  <c r="I14" i="50"/>
  <c r="F31" i="50"/>
  <c r="D49" i="50"/>
  <c r="I53" i="50"/>
  <c r="B54" i="50"/>
  <c r="L54" i="50" s="1"/>
  <c r="A54" i="50"/>
  <c r="G38" i="50"/>
  <c r="A35" i="50"/>
  <c r="B27" i="50"/>
  <c r="A13" i="50"/>
  <c r="G20" i="50"/>
  <c r="D13" i="50"/>
  <c r="AJ53" i="50"/>
  <c r="A21" i="50"/>
  <c r="D29" i="50"/>
  <c r="A42" i="50"/>
  <c r="B29" i="50"/>
  <c r="J29" i="50" s="1"/>
  <c r="AI55" i="50"/>
  <c r="AB41" i="50"/>
  <c r="AJ37" i="50"/>
  <c r="AI38" i="50"/>
  <c r="AE53" i="50"/>
  <c r="AD53" i="50"/>
  <c r="AI22" i="50"/>
  <c r="AD22" i="50"/>
  <c r="AJ22" i="50" s="1"/>
  <c r="AJ46" i="50"/>
  <c r="AE44" i="50"/>
  <c r="AD15" i="50"/>
  <c r="AJ15" i="50" s="1"/>
  <c r="AQ15" i="50" s="1"/>
  <c r="AF9" i="7"/>
  <c r="AB15" i="50"/>
  <c r="AH15" i="50" s="1"/>
  <c r="T14" i="7"/>
  <c r="AH14" i="7" s="1"/>
  <c r="Z30" i="7"/>
  <c r="Z44" i="7"/>
  <c r="AC44" i="50"/>
  <c r="AO18" i="16"/>
  <c r="AP18" i="16" s="1"/>
  <c r="V20" i="7"/>
  <c r="AB44" i="50"/>
  <c r="AO12" i="16"/>
  <c r="AP12" i="16" s="1"/>
  <c r="AD40" i="7"/>
  <c r="AD44" i="50"/>
  <c r="G49" i="50"/>
  <c r="G11" i="50"/>
  <c r="G8" i="50"/>
  <c r="I28" i="50"/>
  <c r="I13" i="50"/>
  <c r="C20" i="50"/>
  <c r="I19" i="50"/>
  <c r="C19" i="50"/>
  <c r="C49" i="50"/>
  <c r="D23" i="50"/>
  <c r="F36" i="50"/>
  <c r="B37" i="50"/>
  <c r="L37" i="50" s="1"/>
  <c r="F13" i="50"/>
  <c r="D39" i="50"/>
  <c r="C38" i="50"/>
  <c r="G19" i="50"/>
  <c r="C43" i="50"/>
  <c r="C29" i="50"/>
  <c r="C27" i="50"/>
  <c r="C24" i="50"/>
  <c r="D18" i="50"/>
  <c r="D25" i="50"/>
  <c r="D14" i="50"/>
  <c r="F38" i="50"/>
  <c r="D34" i="50"/>
  <c r="B21" i="50"/>
  <c r="I27" i="50"/>
  <c r="B43" i="50"/>
  <c r="J43" i="50" s="1"/>
  <c r="AB13" i="7"/>
  <c r="F42" i="50"/>
  <c r="A47" i="50"/>
  <c r="A43" i="50"/>
  <c r="D22" i="50"/>
  <c r="B9" i="50"/>
  <c r="I41" i="50"/>
  <c r="B49" i="50"/>
  <c r="E49" i="50" s="1"/>
  <c r="D11" i="50"/>
  <c r="I51" i="50"/>
  <c r="D50" i="50"/>
  <c r="F43" i="50"/>
  <c r="B34" i="50"/>
  <c r="E34" i="50" s="1"/>
  <c r="I52" i="50"/>
  <c r="D38" i="50"/>
  <c r="I26" i="50"/>
  <c r="A27" i="50"/>
  <c r="G30" i="50"/>
  <c r="F33" i="50"/>
  <c r="G41" i="50"/>
  <c r="D30" i="50"/>
  <c r="D53" i="50"/>
  <c r="B48" i="50"/>
  <c r="E48" i="50" s="1"/>
  <c r="A19" i="50"/>
  <c r="G29" i="50"/>
  <c r="A38" i="50"/>
  <c r="F26" i="50"/>
  <c r="F8" i="50"/>
  <c r="B19" i="50"/>
  <c r="D24" i="50"/>
  <c r="G13" i="50"/>
  <c r="I23" i="50"/>
  <c r="I46" i="50"/>
  <c r="A36" i="50"/>
  <c r="AG31" i="50"/>
  <c r="AO31" i="50" s="1"/>
  <c r="F39" i="50"/>
  <c r="F34" i="50"/>
  <c r="D21" i="50"/>
  <c r="B23" i="50"/>
  <c r="G22" i="50"/>
  <c r="D8" i="50"/>
  <c r="D43" i="50"/>
  <c r="A52" i="50"/>
  <c r="A55" i="50"/>
  <c r="G28" i="50"/>
  <c r="A30" i="50"/>
  <c r="C48" i="50"/>
  <c r="A40" i="50"/>
  <c r="B41" i="50"/>
  <c r="K41" i="50" s="1"/>
  <c r="G26" i="50"/>
  <c r="F20" i="50"/>
  <c r="G31" i="50"/>
  <c r="G15" i="50"/>
  <c r="B13" i="50"/>
  <c r="D12" i="50"/>
  <c r="G52" i="50"/>
  <c r="I15" i="50"/>
  <c r="C15" i="50"/>
  <c r="G25" i="50"/>
  <c r="D31" i="50"/>
  <c r="D26" i="50"/>
  <c r="C21" i="50"/>
  <c r="F47" i="50"/>
  <c r="B44" i="50"/>
  <c r="J44" i="50" s="1"/>
  <c r="I43" i="50"/>
  <c r="C9" i="50"/>
  <c r="C32" i="50"/>
  <c r="B24" i="50"/>
  <c r="F40" i="50"/>
  <c r="F14" i="50"/>
  <c r="A37" i="50"/>
  <c r="I22" i="50"/>
  <c r="F46" i="50"/>
  <c r="F18" i="50"/>
  <c r="I25" i="50"/>
  <c r="G12" i="50"/>
  <c r="D32" i="50"/>
  <c r="C46" i="50"/>
  <c r="I47" i="50"/>
  <c r="B14" i="50"/>
  <c r="F35" i="50"/>
  <c r="F24" i="50"/>
  <c r="B15" i="50"/>
  <c r="A15" i="50"/>
  <c r="C26" i="50"/>
  <c r="A22" i="50"/>
  <c r="A18" i="50"/>
  <c r="B39" i="50"/>
  <c r="H39" i="50" s="1"/>
  <c r="B47" i="50"/>
  <c r="L47" i="50" s="1"/>
  <c r="C52" i="50"/>
  <c r="I38" i="50"/>
  <c r="G35" i="50"/>
  <c r="D35" i="50"/>
  <c r="G14" i="50"/>
  <c r="A32" i="50"/>
  <c r="F22" i="50"/>
  <c r="A46" i="50"/>
  <c r="A33" i="50"/>
  <c r="A50" i="50"/>
  <c r="C53" i="50"/>
  <c r="A14" i="50"/>
  <c r="D51" i="50"/>
  <c r="I10" i="50"/>
  <c r="G55" i="50"/>
  <c r="D55" i="50"/>
  <c r="G42" i="50"/>
  <c r="B22" i="50"/>
  <c r="F32" i="50"/>
  <c r="B8" i="50"/>
  <c r="G37" i="50"/>
  <c r="C17" i="50"/>
  <c r="D52" i="50"/>
  <c r="C7" i="50"/>
  <c r="I16" i="50"/>
  <c r="C25" i="50"/>
  <c r="F55" i="50"/>
  <c r="A25" i="50"/>
  <c r="F7" i="50"/>
  <c r="A51" i="50"/>
  <c r="A39" i="50"/>
  <c r="B53" i="50"/>
  <c r="L53" i="50" s="1"/>
  <c r="C37" i="50"/>
  <c r="A7" i="50"/>
  <c r="AB22" i="50"/>
  <c r="AH22" i="50" s="1"/>
  <c r="C31" i="50"/>
  <c r="AI31" i="50"/>
  <c r="AI34" i="50"/>
  <c r="AC22" i="50"/>
  <c r="AB34" i="50"/>
  <c r="AC34" i="50"/>
  <c r="AH53" i="50"/>
  <c r="AG22" i="50"/>
  <c r="AV22" i="50" s="1"/>
  <c r="A34" i="50"/>
  <c r="A9" i="50"/>
  <c r="AC46" i="50"/>
  <c r="AD34" i="50"/>
  <c r="AG34" i="50"/>
  <c r="AQ34" i="50" s="1"/>
  <c r="AH43" i="50"/>
  <c r="AJ34" i="50"/>
  <c r="AG53" i="50"/>
  <c r="AO53" i="50" s="1"/>
  <c r="A45" i="50"/>
  <c r="I40" i="50"/>
  <c r="AH34" i="50"/>
  <c r="AC40" i="50"/>
  <c r="AI53" i="50"/>
  <c r="F30" i="50"/>
  <c r="AI47" i="50"/>
  <c r="AB40" i="50"/>
  <c r="AB53" i="50"/>
  <c r="D40" i="50"/>
  <c r="A53" i="50"/>
  <c r="F53" i="50"/>
  <c r="D20" i="50"/>
  <c r="B17" i="50"/>
  <c r="B16" i="50"/>
  <c r="I12" i="50"/>
  <c r="F45" i="50"/>
  <c r="G36" i="50"/>
  <c r="C13" i="50"/>
  <c r="AD8" i="50"/>
  <c r="AJ8" i="50" s="1"/>
  <c r="AQ8" i="50" s="1"/>
  <c r="AH47" i="50"/>
  <c r="AD40" i="50"/>
  <c r="A12" i="50"/>
  <c r="G24" i="50"/>
  <c r="D42" i="50"/>
  <c r="G54" i="50"/>
  <c r="D44" i="50"/>
  <c r="C23" i="50"/>
  <c r="I55" i="50"/>
  <c r="D33" i="50"/>
  <c r="B26" i="50"/>
  <c r="I54" i="50"/>
  <c r="B38" i="50"/>
  <c r="L38" i="50" s="1"/>
  <c r="I39" i="50"/>
  <c r="F9" i="50"/>
  <c r="G33" i="50"/>
  <c r="D41" i="50"/>
  <c r="C44" i="50"/>
  <c r="AC8" i="50"/>
  <c r="AI8" i="50" s="1"/>
  <c r="AP8" i="50" s="1"/>
  <c r="AC47" i="50"/>
  <c r="AE40" i="50"/>
  <c r="G40" i="50"/>
  <c r="B42" i="50"/>
  <c r="E42" i="50" s="1"/>
  <c r="F16" i="50"/>
  <c r="G46" i="50"/>
  <c r="C8" i="50"/>
  <c r="I18" i="50"/>
  <c r="I45" i="50"/>
  <c r="I37" i="50"/>
  <c r="I21" i="50"/>
  <c r="C41" i="50"/>
  <c r="B51" i="50"/>
  <c r="J51" i="50" s="1"/>
  <c r="A11" i="50"/>
  <c r="F23" i="50"/>
  <c r="G44" i="50"/>
  <c r="B40" i="50"/>
  <c r="H40" i="50" s="1"/>
  <c r="B18" i="50"/>
  <c r="AB8" i="50"/>
  <c r="AH8" i="50" s="1"/>
  <c r="AB47" i="50"/>
  <c r="AI40" i="50"/>
  <c r="C35" i="50"/>
  <c r="B45" i="50"/>
  <c r="E45" i="50" s="1"/>
  <c r="G43" i="50"/>
  <c r="G16" i="50"/>
  <c r="D45" i="50"/>
  <c r="B31" i="50"/>
  <c r="E31" i="50" s="1"/>
  <c r="AE31" i="50"/>
  <c r="AE47" i="50"/>
  <c r="AG40" i="50"/>
  <c r="AM40" i="50" s="1"/>
  <c r="F29" i="50"/>
  <c r="F11" i="50"/>
  <c r="G32" i="50"/>
  <c r="AD31" i="50"/>
  <c r="AJ47" i="50"/>
  <c r="AH40" i="50"/>
  <c r="D16" i="50"/>
  <c r="F10" i="50"/>
  <c r="A17" i="50"/>
  <c r="I11" i="50"/>
  <c r="C11" i="50"/>
  <c r="A10" i="50"/>
  <c r="AB31" i="50"/>
  <c r="F49" i="50"/>
  <c r="C34" i="50"/>
  <c r="F41" i="50"/>
  <c r="C33" i="50"/>
  <c r="B20" i="50"/>
  <c r="C40" i="50"/>
  <c r="A28" i="50"/>
  <c r="G23" i="50"/>
  <c r="A44" i="50"/>
  <c r="I30" i="50"/>
  <c r="D27" i="50"/>
  <c r="C39" i="50"/>
  <c r="A41" i="50"/>
  <c r="G17" i="50"/>
  <c r="I32" i="50"/>
  <c r="G27" i="50"/>
  <c r="AH31" i="50"/>
  <c r="C36" i="50"/>
  <c r="F27" i="50"/>
  <c r="B36" i="50"/>
  <c r="E36" i="50" s="1"/>
  <c r="C45" i="50"/>
  <c r="AH49" i="50"/>
  <c r="G50" i="50"/>
  <c r="F52" i="50"/>
  <c r="I31" i="50"/>
  <c r="C50" i="50"/>
  <c r="AB16" i="7"/>
  <c r="AA21" i="7"/>
  <c r="AH21" i="7" s="1"/>
  <c r="I8" i="50"/>
  <c r="F21" i="50"/>
  <c r="C18" i="50"/>
  <c r="A49" i="50"/>
  <c r="F12" i="50"/>
  <c r="C16" i="50"/>
  <c r="I7" i="50"/>
  <c r="F50" i="50"/>
  <c r="AC31" i="50"/>
  <c r="AD47" i="50"/>
  <c r="F37" i="50"/>
  <c r="B30" i="50"/>
  <c r="M30" i="50" s="1"/>
  <c r="A8" i="50"/>
  <c r="F51" i="50"/>
  <c r="C14" i="50"/>
  <c r="I9" i="50"/>
  <c r="AH50" i="50"/>
  <c r="AG50" i="50"/>
  <c r="AP50" i="50" s="1"/>
  <c r="B7" i="50"/>
  <c r="AI50" i="50"/>
  <c r="C22" i="50"/>
  <c r="F28" i="50"/>
  <c r="AB20" i="7"/>
  <c r="D17" i="50"/>
  <c r="I44" i="50"/>
  <c r="C28" i="50"/>
  <c r="C51" i="50"/>
  <c r="A31" i="50"/>
  <c r="D47" i="50"/>
  <c r="G48" i="50"/>
  <c r="AB21" i="7"/>
  <c r="AD41" i="50"/>
  <c r="AJ41" i="50"/>
  <c r="AH41" i="50"/>
  <c r="AE41" i="50"/>
  <c r="AJ39" i="50"/>
  <c r="AB17" i="50"/>
  <c r="AH17" i="50" s="1"/>
  <c r="AE49" i="50"/>
  <c r="AC50" i="50"/>
  <c r="AE50" i="50"/>
  <c r="AH46" i="50"/>
  <c r="AB50" i="50"/>
  <c r="AD19" i="50"/>
  <c r="AJ19" i="50" s="1"/>
  <c r="AQ19" i="50" s="1"/>
  <c r="AI46" i="50"/>
  <c r="AB49" i="50"/>
  <c r="AC49" i="50"/>
  <c r="AD49" i="50"/>
  <c r="AD50" i="50"/>
  <c r="AB19" i="50"/>
  <c r="AH19" i="50" s="1"/>
  <c r="AD13" i="50"/>
  <c r="AJ13" i="50" s="1"/>
  <c r="AQ13" i="50" s="1"/>
  <c r="AE23" i="50"/>
  <c r="AC19" i="50"/>
  <c r="AI19" i="50" s="1"/>
  <c r="AP19" i="50" s="1"/>
  <c r="AB13" i="50"/>
  <c r="AH13" i="50" s="1"/>
  <c r="AC23" i="50"/>
  <c r="AE51" i="50"/>
  <c r="AB23" i="50"/>
  <c r="AH23" i="50" s="1"/>
  <c r="AC14" i="50"/>
  <c r="AI14" i="50" s="1"/>
  <c r="AG14" i="50"/>
  <c r="AM14" i="50" s="1"/>
  <c r="AI39" i="50"/>
  <c r="AC17" i="50"/>
  <c r="AI17" i="50" s="1"/>
  <c r="AO17" i="50" s="1"/>
  <c r="AB14" i="50"/>
  <c r="AH14" i="50" s="1"/>
  <c r="AD17" i="50"/>
  <c r="AJ17" i="50" s="1"/>
  <c r="AQ17" i="50" s="1"/>
  <c r="AJ28" i="50"/>
  <c r="AI28" i="50"/>
  <c r="AD28" i="50"/>
  <c r="AI23" i="50"/>
  <c r="AB28" i="50"/>
  <c r="AH28" i="50" s="1"/>
  <c r="AG23" i="50"/>
  <c r="AP23" i="50" s="1"/>
  <c r="AE28" i="50"/>
  <c r="AG28" i="50"/>
  <c r="AR28" i="50" s="1"/>
  <c r="AD32" i="50"/>
  <c r="AA15" i="7"/>
  <c r="AG12" i="50"/>
  <c r="AQ12" i="50" s="1"/>
  <c r="AB52" i="50"/>
  <c r="AD24" i="50"/>
  <c r="AJ24" i="50" s="1"/>
  <c r="AG43" i="50"/>
  <c r="AS43" i="50" s="1"/>
  <c r="AJ38" i="50"/>
  <c r="AI25" i="50"/>
  <c r="AE52" i="50"/>
  <c r="AC24" i="50"/>
  <c r="AJ51" i="50"/>
  <c r="AG38" i="50"/>
  <c r="AR38" i="50" s="1"/>
  <c r="AE25" i="50"/>
  <c r="AD52" i="50"/>
  <c r="AG24" i="50"/>
  <c r="AV24" i="50" s="1"/>
  <c r="AI51" i="50"/>
  <c r="AB38" i="50"/>
  <c r="AB25" i="50"/>
  <c r="AH25" i="50" s="1"/>
  <c r="AJ52" i="50"/>
  <c r="AJ32" i="50"/>
  <c r="AB51" i="50"/>
  <c r="AJ33" i="50"/>
  <c r="AH51" i="50"/>
  <c r="AG32" i="50"/>
  <c r="AV32" i="50" s="1"/>
  <c r="AI42" i="50"/>
  <c r="AC42" i="50"/>
  <c r="AB42" i="50"/>
  <c r="G10" i="50"/>
  <c r="I29" i="50"/>
  <c r="I42" i="50"/>
  <c r="AI33" i="50"/>
  <c r="AC41" i="50"/>
  <c r="AI52" i="50"/>
  <c r="AD42" i="50"/>
  <c r="AH33" i="50"/>
  <c r="AE30" i="50"/>
  <c r="AC33" i="50"/>
  <c r="AD30" i="50"/>
  <c r="AE33" i="50"/>
  <c r="AB30" i="50"/>
  <c r="AB33" i="50"/>
  <c r="AE43" i="50"/>
  <c r="AC30" i="50"/>
  <c r="AD33" i="50"/>
  <c r="AC43" i="50"/>
  <c r="AJ30" i="50"/>
  <c r="AD38" i="50"/>
  <c r="AD43" i="50"/>
  <c r="AI30" i="50"/>
  <c r="D28" i="50"/>
  <c r="AI24" i="50"/>
  <c r="AJ43" i="50"/>
  <c r="AG30" i="50"/>
  <c r="AP30" i="50" s="1"/>
  <c r="AD11" i="50"/>
  <c r="AJ11" i="50" s="1"/>
  <c r="AQ11" i="50" s="1"/>
  <c r="AJ55" i="50"/>
  <c r="B55" i="50"/>
  <c r="L55" i="50" s="1"/>
  <c r="D54" i="50"/>
  <c r="F54" i="50"/>
  <c r="C55" i="50"/>
  <c r="AC15" i="50"/>
  <c r="AI15" i="50" s="1"/>
  <c r="AO15" i="50" s="1"/>
  <c r="G53" i="50"/>
  <c r="C30" i="50"/>
  <c r="G34" i="50"/>
  <c r="C54" i="50"/>
  <c r="D15" i="50"/>
  <c r="B46" i="50"/>
  <c r="J46" i="50" s="1"/>
  <c r="I48" i="50"/>
  <c r="F44" i="50"/>
  <c r="B10" i="50"/>
  <c r="AB24" i="50"/>
  <c r="AH24" i="50" s="1"/>
  <c r="AE46" i="50"/>
  <c r="G47" i="50"/>
  <c r="C42" i="50"/>
  <c r="I17" i="50"/>
  <c r="AB46" i="50"/>
  <c r="B11" i="50"/>
  <c r="B50" i="50"/>
  <c r="E50" i="50" s="1"/>
  <c r="F15" i="50"/>
  <c r="B52" i="50"/>
  <c r="E52" i="50" s="1"/>
  <c r="A48" i="50"/>
  <c r="D19" i="50"/>
  <c r="AG39" i="50"/>
  <c r="AT39" i="50" s="1"/>
  <c r="AE32" i="50"/>
  <c r="AD46" i="50"/>
  <c r="AB15" i="7"/>
  <c r="I50" i="50"/>
  <c r="G45" i="50"/>
  <c r="F19" i="50"/>
  <c r="AC39" i="50"/>
  <c r="A29" i="50"/>
  <c r="I20" i="50"/>
  <c r="A26" i="50"/>
  <c r="G39" i="50"/>
  <c r="C12" i="50"/>
  <c r="G51" i="50"/>
  <c r="B32" i="50"/>
  <c r="K32" i="50" s="1"/>
  <c r="B25" i="50"/>
  <c r="AH32" i="50"/>
  <c r="AC13" i="50"/>
  <c r="AI13" i="50" s="1"/>
  <c r="AO13" i="50" s="1"/>
  <c r="AB16" i="50"/>
  <c r="AH16" i="50" s="1"/>
  <c r="AB54" i="50"/>
  <c r="AC11" i="50"/>
  <c r="AI11" i="50" s="1"/>
  <c r="AP11" i="50" s="1"/>
  <c r="AH38" i="50"/>
  <c r="AD55" i="50"/>
  <c r="AD16" i="50"/>
  <c r="AJ16" i="50" s="1"/>
  <c r="AC54" i="50"/>
  <c r="AB55" i="50"/>
  <c r="AG55" i="50"/>
  <c r="AT55" i="50" s="1"/>
  <c r="AE38" i="50"/>
  <c r="AE55" i="50"/>
  <c r="AE35" i="50"/>
  <c r="AE39" i="50"/>
  <c r="AC10" i="50"/>
  <c r="AI10" i="50" s="1"/>
  <c r="AO10" i="50" s="1"/>
  <c r="AD37" i="50"/>
  <c r="AC37" i="50"/>
  <c r="AC55" i="50"/>
  <c r="AH35" i="50"/>
  <c r="AD39" i="50"/>
  <c r="AB10" i="50"/>
  <c r="AH10" i="50" s="1"/>
  <c r="D9" i="50"/>
  <c r="D46" i="50"/>
  <c r="AJ35" i="50"/>
  <c r="AB39" i="50"/>
  <c r="AC32" i="50"/>
  <c r="AD10" i="50"/>
  <c r="AJ10" i="50" s="1"/>
  <c r="AQ10" i="50" s="1"/>
  <c r="AI37" i="50"/>
  <c r="AI35" i="50"/>
  <c r="F17" i="50"/>
  <c r="AG35" i="50"/>
  <c r="AQ35" i="50" s="1"/>
  <c r="AB43" i="50"/>
  <c r="AD54" i="50"/>
  <c r="AE37" i="50"/>
  <c r="AB37" i="50"/>
  <c r="AG37" i="50"/>
  <c r="AU37" i="50" s="1"/>
  <c r="AC12" i="50"/>
  <c r="AI12" i="50" s="1"/>
  <c r="AB35" i="50"/>
  <c r="AG54" i="50"/>
  <c r="AR54" i="50" s="1"/>
  <c r="AD35" i="50"/>
  <c r="AJ54" i="50"/>
  <c r="AB12" i="50"/>
  <c r="AH12" i="50" s="1"/>
  <c r="AH54" i="50"/>
  <c r="AG16" i="50"/>
  <c r="AI54" i="50"/>
  <c r="D10" i="50"/>
  <c r="G9" i="50"/>
  <c r="I49" i="50"/>
  <c r="F48" i="50"/>
  <c r="I34" i="50"/>
  <c r="G21" i="50"/>
  <c r="B33" i="50"/>
  <c r="K33" i="50" s="1"/>
  <c r="A24" i="50"/>
  <c r="C47" i="50"/>
  <c r="G7" i="50"/>
  <c r="D7" i="50"/>
  <c r="B12" i="50"/>
  <c r="A20" i="50"/>
  <c r="F25" i="50"/>
  <c r="I33" i="50"/>
  <c r="B28" i="50"/>
  <c r="D37" i="50"/>
  <c r="I18" i="7"/>
  <c r="J18" i="7"/>
  <c r="AE21" i="50"/>
  <c r="AE20" i="50"/>
  <c r="AH6" i="7"/>
  <c r="AE19" i="50"/>
  <c r="AH7" i="7"/>
  <c r="AR27" i="50"/>
  <c r="AH9" i="7"/>
  <c r="AH10" i="7"/>
  <c r="AH24" i="7"/>
  <c r="AH12" i="7"/>
  <c r="AH22" i="7"/>
  <c r="AH26" i="7"/>
  <c r="AH18" i="7"/>
  <c r="AM15" i="50"/>
  <c r="AN15" i="50"/>
  <c r="AM11" i="50"/>
  <c r="AN11" i="50"/>
  <c r="AO46" i="50"/>
  <c r="AV46" i="50"/>
  <c r="AU46" i="50"/>
  <c r="AR46" i="50"/>
  <c r="AQ46" i="50"/>
  <c r="AP46" i="50"/>
  <c r="AN46" i="50"/>
  <c r="AM46" i="50"/>
  <c r="AT46" i="50"/>
  <c r="AS46" i="50"/>
  <c r="AN19" i="50"/>
  <c r="AM19" i="50"/>
  <c r="AH5" i="7"/>
  <c r="AU45" i="50"/>
  <c r="AS45" i="50"/>
  <c r="AN45" i="50"/>
  <c r="AQ45" i="50"/>
  <c r="AP45" i="50"/>
  <c r="AR45" i="50"/>
  <c r="AT45" i="50"/>
  <c r="AM45" i="50"/>
  <c r="AV45" i="50"/>
  <c r="AO45" i="50"/>
  <c r="AN17" i="50"/>
  <c r="AM17" i="50"/>
  <c r="AH11" i="7"/>
  <c r="AE9" i="50"/>
  <c r="AM10" i="50"/>
  <c r="AN10" i="50"/>
  <c r="AR21" i="50"/>
  <c r="AO21" i="50"/>
  <c r="AP21" i="50"/>
  <c r="AH16" i="7"/>
  <c r="AH20" i="7"/>
  <c r="AM36" i="50"/>
  <c r="AV36" i="50"/>
  <c r="AT36" i="50"/>
  <c r="AS36" i="50"/>
  <c r="AQ36" i="50"/>
  <c r="AP36" i="50"/>
  <c r="AN36" i="50"/>
  <c r="AO36" i="50"/>
  <c r="AR36" i="50"/>
  <c r="AU36" i="50"/>
  <c r="AT33" i="50"/>
  <c r="AS33" i="50"/>
  <c r="AR33" i="50"/>
  <c r="AQ33" i="50"/>
  <c r="AV33" i="50"/>
  <c r="AM33" i="50"/>
  <c r="AN33" i="50"/>
  <c r="AU33" i="50"/>
  <c r="AO33" i="50"/>
  <c r="AP33" i="50"/>
  <c r="AH25" i="7"/>
  <c r="AM9" i="50"/>
  <c r="AN9" i="50"/>
  <c r="AO9" i="50"/>
  <c r="AP9" i="50"/>
  <c r="AR9" i="50"/>
  <c r="AQ9" i="50"/>
  <c r="AN8" i="50"/>
  <c r="AM8" i="50"/>
  <c r="AH8" i="7"/>
  <c r="AH23" i="7"/>
  <c r="AM13" i="50"/>
  <c r="AN13" i="50"/>
  <c r="AN27" i="50"/>
  <c r="AM27" i="50"/>
  <c r="AQ27" i="50"/>
  <c r="AT27" i="50" s="1"/>
  <c r="AP27" i="50"/>
  <c r="AO27" i="50"/>
  <c r="AS27" i="50" s="1"/>
  <c r="AU27" i="50"/>
  <c r="AV27" i="50"/>
  <c r="AN29" i="50"/>
  <c r="AT29" i="50" s="1"/>
  <c r="AM29" i="50"/>
  <c r="AS29" i="50" s="1"/>
  <c r="AU29" i="50" s="1"/>
  <c r="AO29" i="50"/>
  <c r="AR29" i="50"/>
  <c r="AQ29" i="50"/>
  <c r="AV29" i="50" s="1"/>
  <c r="AP29" i="50"/>
  <c r="AT51" i="50"/>
  <c r="AP51" i="50"/>
  <c r="AS51" i="50"/>
  <c r="AQ51" i="50"/>
  <c r="AV51" i="50"/>
  <c r="AU51" i="50"/>
  <c r="AR51" i="50"/>
  <c r="AO51" i="50"/>
  <c r="AN51" i="50"/>
  <c r="AM51" i="50"/>
  <c r="AP47" i="50"/>
  <c r="AO47" i="50"/>
  <c r="AN47" i="50"/>
  <c r="AQ47" i="50"/>
  <c r="AR47" i="50"/>
  <c r="AU47" i="50"/>
  <c r="AT47" i="50"/>
  <c r="AM47" i="50"/>
  <c r="AS47" i="50"/>
  <c r="AV47" i="50"/>
  <c r="AM21" i="50" l="1"/>
  <c r="AQ21" i="50"/>
  <c r="AV52" i="50"/>
  <c r="AT52" i="50"/>
  <c r="AR19" i="50"/>
  <c r="AS26" i="50"/>
  <c r="J35" i="50"/>
  <c r="K35" i="50"/>
  <c r="AP26" i="50"/>
  <c r="AQ26" i="50"/>
  <c r="AT26" i="50" s="1"/>
  <c r="L35" i="50"/>
  <c r="E35" i="50"/>
  <c r="H35" i="50"/>
  <c r="J28" i="50"/>
  <c r="AR18" i="50"/>
  <c r="AP18" i="50"/>
  <c r="AN18" i="50"/>
  <c r="AM49" i="50"/>
  <c r="L18" i="50"/>
  <c r="AE18" i="50"/>
  <c r="AV49" i="50"/>
  <c r="AO18" i="50"/>
  <c r="AS18" i="50" s="1"/>
  <c r="AP17" i="50"/>
  <c r="AH15" i="7"/>
  <c r="AE17" i="50"/>
  <c r="AR17" i="50"/>
  <c r="AP20" i="50"/>
  <c r="AO20" i="50"/>
  <c r="AP49" i="50"/>
  <c r="AQ49" i="50"/>
  <c r="AQ18" i="50"/>
  <c r="AN49" i="50"/>
  <c r="AO49" i="50"/>
  <c r="AR49" i="50"/>
  <c r="AR53" i="50"/>
  <c r="AU49" i="50"/>
  <c r="AU53" i="50"/>
  <c r="AS49" i="50"/>
  <c r="AR48" i="50"/>
  <c r="AP28" i="16"/>
  <c r="AO28" i="16"/>
  <c r="AS53" i="50"/>
  <c r="H41" i="50"/>
  <c r="K54" i="50"/>
  <c r="M54" i="50"/>
  <c r="H54" i="50"/>
  <c r="J54" i="50"/>
  <c r="E54" i="50"/>
  <c r="AM41" i="50"/>
  <c r="AN20" i="50"/>
  <c r="AM20" i="50"/>
  <c r="AV41" i="50"/>
  <c r="AN41" i="50"/>
  <c r="AR20" i="50"/>
  <c r="AP41" i="50"/>
  <c r="AQ41" i="50"/>
  <c r="AR41" i="50"/>
  <c r="AR15" i="50"/>
  <c r="AU41" i="50"/>
  <c r="AO41" i="50"/>
  <c r="AU26" i="50"/>
  <c r="AS41" i="50"/>
  <c r="AV26" i="50"/>
  <c r="AT44" i="50"/>
  <c r="AU31" i="50"/>
  <c r="AV31" i="50"/>
  <c r="AM31" i="50"/>
  <c r="AU44" i="50"/>
  <c r="AQ44" i="50"/>
  <c r="AE16" i="50"/>
  <c r="AM26" i="50"/>
  <c r="AN26" i="50"/>
  <c r="AR26" i="50"/>
  <c r="AV25" i="50"/>
  <c r="AO25" i="50"/>
  <c r="AS25" i="50" s="1"/>
  <c r="J17" i="50"/>
  <c r="L21" i="50"/>
  <c r="L22" i="50"/>
  <c r="AR34" i="50"/>
  <c r="K25" i="50"/>
  <c r="AS52" i="50"/>
  <c r="E14" i="50"/>
  <c r="AS48" i="50"/>
  <c r="AT48" i="50"/>
  <c r="E26" i="50"/>
  <c r="M34" i="50"/>
  <c r="L29" i="50"/>
  <c r="H34" i="50"/>
  <c r="M29" i="50"/>
  <c r="AP13" i="50"/>
  <c r="J45" i="50"/>
  <c r="K34" i="50"/>
  <c r="AN48" i="50"/>
  <c r="K29" i="50"/>
  <c r="AE7" i="50"/>
  <c r="J34" i="50"/>
  <c r="L34" i="50"/>
  <c r="AU48" i="50"/>
  <c r="AR13" i="50"/>
  <c r="AV48" i="50"/>
  <c r="E29" i="50"/>
  <c r="AM48" i="50"/>
  <c r="H29" i="50"/>
  <c r="AO48" i="50"/>
  <c r="AP48" i="50"/>
  <c r="M43" i="50"/>
  <c r="H43" i="50"/>
  <c r="AP7" i="50"/>
  <c r="BJ31" i="50" s="1"/>
  <c r="AE12" i="50"/>
  <c r="AQ52" i="50"/>
  <c r="AO7" i="50"/>
  <c r="AM7" i="50"/>
  <c r="AQ7" i="50"/>
  <c r="AT7" i="50" s="1"/>
  <c r="BE28" i="50" s="1"/>
  <c r="BF28" i="50" s="1"/>
  <c r="AR7" i="50"/>
  <c r="BI28" i="50" s="1"/>
  <c r="K21" i="50"/>
  <c r="AN52" i="50"/>
  <c r="E24" i="50"/>
  <c r="AP52" i="50"/>
  <c r="AO52" i="50"/>
  <c r="E44" i="50"/>
  <c r="E37" i="50"/>
  <c r="AU52" i="50"/>
  <c r="H37" i="50"/>
  <c r="AM52" i="50"/>
  <c r="J27" i="50"/>
  <c r="AM42" i="50"/>
  <c r="AN25" i="50"/>
  <c r="AQ42" i="50"/>
  <c r="AQ25" i="50"/>
  <c r="AQ14" i="50"/>
  <c r="AM25" i="50"/>
  <c r="AU42" i="50"/>
  <c r="AO42" i="50"/>
  <c r="L27" i="50"/>
  <c r="AO44" i="50"/>
  <c r="H27" i="50"/>
  <c r="AN42" i="50"/>
  <c r="AV42" i="50"/>
  <c r="K24" i="50"/>
  <c r="E27" i="50"/>
  <c r="AT25" i="50"/>
  <c r="AP42" i="50"/>
  <c r="AT42" i="50"/>
  <c r="AS42" i="50"/>
  <c r="AE14" i="50"/>
  <c r="AS22" i="50"/>
  <c r="AP25" i="50"/>
  <c r="AR25" i="50"/>
  <c r="AM44" i="50"/>
  <c r="AR22" i="50"/>
  <c r="AR44" i="50"/>
  <c r="J23" i="50"/>
  <c r="AT34" i="50"/>
  <c r="AU34" i="50"/>
  <c r="AV34" i="50"/>
  <c r="H47" i="50"/>
  <c r="AS34" i="50"/>
  <c r="J47" i="50"/>
  <c r="AM34" i="50"/>
  <c r="M47" i="50"/>
  <c r="K53" i="50"/>
  <c r="AN34" i="50"/>
  <c r="K27" i="50"/>
  <c r="AP34" i="50"/>
  <c r="E47" i="50"/>
  <c r="J53" i="50"/>
  <c r="K47" i="50"/>
  <c r="AO34" i="50"/>
  <c r="E53" i="50"/>
  <c r="H53" i="50"/>
  <c r="M53" i="50"/>
  <c r="AE13" i="50"/>
  <c r="AT22" i="50"/>
  <c r="E40" i="50"/>
  <c r="AP22" i="50"/>
  <c r="M40" i="50"/>
  <c r="AO22" i="50"/>
  <c r="AQ22" i="50"/>
  <c r="K40" i="50"/>
  <c r="J24" i="50"/>
  <c r="AN22" i="50"/>
  <c r="AO14" i="50"/>
  <c r="L24" i="50"/>
  <c r="AM22" i="50"/>
  <c r="AP14" i="50"/>
  <c r="H24" i="50"/>
  <c r="L19" i="50"/>
  <c r="AN14" i="50"/>
  <c r="AE15" i="50"/>
  <c r="AV44" i="50"/>
  <c r="AN44" i="50"/>
  <c r="AU22" i="50"/>
  <c r="AS44" i="50"/>
  <c r="J40" i="50"/>
  <c r="AR14" i="50"/>
  <c r="BI53" i="50" s="1"/>
  <c r="K22" i="50"/>
  <c r="AE11" i="50"/>
  <c r="H19" i="50"/>
  <c r="J8" i="50"/>
  <c r="J10" i="50"/>
  <c r="H55" i="50"/>
  <c r="J18" i="50"/>
  <c r="H22" i="50"/>
  <c r="K55" i="50"/>
  <c r="J39" i="50"/>
  <c r="K12" i="50"/>
  <c r="M55" i="50"/>
  <c r="L39" i="50"/>
  <c r="E55" i="50"/>
  <c r="K39" i="50"/>
  <c r="J48" i="50"/>
  <c r="J49" i="50"/>
  <c r="M42" i="50"/>
  <c r="M48" i="50"/>
  <c r="K49" i="50"/>
  <c r="J42" i="50"/>
  <c r="K48" i="50"/>
  <c r="AR11" i="50"/>
  <c r="H49" i="50"/>
  <c r="H20" i="50"/>
  <c r="J55" i="50"/>
  <c r="K13" i="50"/>
  <c r="H42" i="50"/>
  <c r="L48" i="50"/>
  <c r="L23" i="50"/>
  <c r="L49" i="50"/>
  <c r="L42" i="50"/>
  <c r="H48" i="50"/>
  <c r="AO32" i="50"/>
  <c r="K23" i="50"/>
  <c r="M49" i="50"/>
  <c r="K42" i="50"/>
  <c r="AP32" i="50"/>
  <c r="AQ32" i="50"/>
  <c r="H23" i="50"/>
  <c r="E23" i="50"/>
  <c r="M39" i="50"/>
  <c r="AT32" i="50"/>
  <c r="K18" i="50"/>
  <c r="H8" i="50"/>
  <c r="E39" i="50"/>
  <c r="AU32" i="50"/>
  <c r="AM32" i="50"/>
  <c r="H11" i="50"/>
  <c r="L16" i="50"/>
  <c r="AM53" i="50"/>
  <c r="AM50" i="50"/>
  <c r="AQ53" i="50"/>
  <c r="AS31" i="50"/>
  <c r="AP53" i="50"/>
  <c r="AQ31" i="50"/>
  <c r="AV53" i="50"/>
  <c r="AT31" i="50"/>
  <c r="AT53" i="50"/>
  <c r="AN31" i="50"/>
  <c r="AP31" i="50"/>
  <c r="AR31" i="50"/>
  <c r="J9" i="50"/>
  <c r="AN53" i="50"/>
  <c r="L36" i="50"/>
  <c r="E16" i="50"/>
  <c r="H13" i="50"/>
  <c r="AR32" i="50"/>
  <c r="AS32" i="50"/>
  <c r="AN50" i="50"/>
  <c r="J22" i="50"/>
  <c r="H31" i="50"/>
  <c r="E18" i="50"/>
  <c r="E22" i="50"/>
  <c r="H18" i="50"/>
  <c r="AO8" i="50"/>
  <c r="AV8" i="50" s="1"/>
  <c r="E13" i="50"/>
  <c r="L13" i="50"/>
  <c r="L26" i="50"/>
  <c r="K26" i="50"/>
  <c r="E8" i="50"/>
  <c r="L9" i="50"/>
  <c r="L8" i="50"/>
  <c r="AV43" i="50"/>
  <c r="AQ43" i="50"/>
  <c r="H16" i="50"/>
  <c r="AN32" i="50"/>
  <c r="L20" i="50"/>
  <c r="H38" i="50"/>
  <c r="M38" i="50"/>
  <c r="M45" i="50"/>
  <c r="J38" i="50"/>
  <c r="H45" i="50"/>
  <c r="K45" i="50"/>
  <c r="L45" i="50"/>
  <c r="H26" i="50"/>
  <c r="AU30" i="50"/>
  <c r="K38" i="50"/>
  <c r="J15" i="50"/>
  <c r="J30" i="50"/>
  <c r="AR23" i="50"/>
  <c r="K31" i="50"/>
  <c r="E20" i="50"/>
  <c r="E19" i="50"/>
  <c r="K15" i="50"/>
  <c r="J7" i="50"/>
  <c r="L31" i="50"/>
  <c r="K20" i="50"/>
  <c r="J21" i="50"/>
  <c r="E38" i="50"/>
  <c r="L17" i="50"/>
  <c r="J19" i="50"/>
  <c r="AN43" i="50"/>
  <c r="AO43" i="50"/>
  <c r="J13" i="50"/>
  <c r="L7" i="50"/>
  <c r="K7" i="50"/>
  <c r="AM43" i="50"/>
  <c r="J26" i="50"/>
  <c r="K9" i="50"/>
  <c r="K30" i="50"/>
  <c r="AT23" i="50"/>
  <c r="AO23" i="50"/>
  <c r="AN30" i="50"/>
  <c r="L30" i="50"/>
  <c r="K8" i="50"/>
  <c r="AM23" i="50"/>
  <c r="M50" i="50"/>
  <c r="AN23" i="50"/>
  <c r="AE8" i="50"/>
  <c r="AS30" i="50"/>
  <c r="H30" i="50"/>
  <c r="J31" i="50"/>
  <c r="E17" i="50"/>
  <c r="AV40" i="50"/>
  <c r="AQ23" i="50"/>
  <c r="M41" i="50"/>
  <c r="AR30" i="50"/>
  <c r="E30" i="50"/>
  <c r="M31" i="50"/>
  <c r="J41" i="50"/>
  <c r="E41" i="50"/>
  <c r="J16" i="50"/>
  <c r="AP43" i="50"/>
  <c r="K44" i="50"/>
  <c r="AN12" i="50"/>
  <c r="AT12" i="50" s="1"/>
  <c r="L41" i="50"/>
  <c r="K43" i="50"/>
  <c r="AR40" i="50"/>
  <c r="AR43" i="50"/>
  <c r="H44" i="50"/>
  <c r="AR12" i="50"/>
  <c r="K16" i="50"/>
  <c r="AV30" i="50"/>
  <c r="L43" i="50"/>
  <c r="AP40" i="50"/>
  <c r="AP37" i="50"/>
  <c r="AR50" i="50"/>
  <c r="J14" i="50"/>
  <c r="M44" i="50"/>
  <c r="AR8" i="50"/>
  <c r="BI36" i="50" s="1"/>
  <c r="AM12" i="50"/>
  <c r="E43" i="50"/>
  <c r="AQ40" i="50"/>
  <c r="AR37" i="50"/>
  <c r="L14" i="50"/>
  <c r="AQ37" i="50"/>
  <c r="AU43" i="50"/>
  <c r="H15" i="50"/>
  <c r="H51" i="50"/>
  <c r="E21" i="50"/>
  <c r="M37" i="50"/>
  <c r="AQ30" i="50"/>
  <c r="AT40" i="50"/>
  <c r="AN37" i="50"/>
  <c r="K14" i="50"/>
  <c r="E51" i="50"/>
  <c r="AT43" i="50"/>
  <c r="AO30" i="50"/>
  <c r="H17" i="50"/>
  <c r="L44" i="50"/>
  <c r="L51" i="50"/>
  <c r="AS40" i="50"/>
  <c r="H14" i="50"/>
  <c r="AV23" i="50"/>
  <c r="K51" i="50"/>
  <c r="K37" i="50"/>
  <c r="AM30" i="50"/>
  <c r="AU40" i="50"/>
  <c r="AO40" i="50"/>
  <c r="J20" i="50"/>
  <c r="L15" i="50"/>
  <c r="AT37" i="50"/>
  <c r="AS23" i="50"/>
  <c r="AU23" i="50" s="1"/>
  <c r="M51" i="50"/>
  <c r="J37" i="50"/>
  <c r="AT30" i="50"/>
  <c r="AN40" i="50"/>
  <c r="AM37" i="50"/>
  <c r="L40" i="50"/>
  <c r="J36" i="50"/>
  <c r="K36" i="50"/>
  <c r="H36" i="50"/>
  <c r="K17" i="50"/>
  <c r="M36" i="50"/>
  <c r="H7" i="50"/>
  <c r="J33" i="50"/>
  <c r="AO37" i="50"/>
  <c r="AS37" i="50"/>
  <c r="E7" i="50"/>
  <c r="E9" i="50"/>
  <c r="AV37" i="50"/>
  <c r="K11" i="50"/>
  <c r="AN28" i="50"/>
  <c r="AM28" i="50"/>
  <c r="AO50" i="50"/>
  <c r="AT50" i="50"/>
  <c r="AM54" i="50"/>
  <c r="AV50" i="50"/>
  <c r="AN54" i="50"/>
  <c r="AS50" i="50"/>
  <c r="AQ50" i="50"/>
  <c r="AU50" i="50"/>
  <c r="L33" i="50"/>
  <c r="AQ28" i="50"/>
  <c r="J12" i="50"/>
  <c r="AP28" i="50"/>
  <c r="E12" i="50"/>
  <c r="AO24" i="50"/>
  <c r="AU28" i="50"/>
  <c r="AS28" i="50"/>
  <c r="K19" i="50"/>
  <c r="M19" i="50" s="1"/>
  <c r="AO28" i="50"/>
  <c r="AV28" i="50" s="1"/>
  <c r="AT28" i="50"/>
  <c r="M33" i="50"/>
  <c r="E33" i="50"/>
  <c r="AM55" i="50"/>
  <c r="AO55" i="50"/>
  <c r="AN55" i="50"/>
  <c r="K10" i="50"/>
  <c r="AP55" i="50"/>
  <c r="AO54" i="50"/>
  <c r="E11" i="50"/>
  <c r="H33" i="50"/>
  <c r="AU55" i="50"/>
  <c r="AV55" i="50"/>
  <c r="AV54" i="50"/>
  <c r="AP54" i="50"/>
  <c r="H12" i="50"/>
  <c r="AQ54" i="50"/>
  <c r="AT54" i="50"/>
  <c r="L12" i="50"/>
  <c r="AS54" i="50"/>
  <c r="AQ55" i="50"/>
  <c r="AU54" i="50"/>
  <c r="E15" i="50"/>
  <c r="M46" i="50"/>
  <c r="BG61" i="50"/>
  <c r="BH61" i="50" s="1"/>
  <c r="L46" i="50"/>
  <c r="H46" i="50"/>
  <c r="AP10" i="50"/>
  <c r="BJ51" i="50" s="1"/>
  <c r="AM39" i="50"/>
  <c r="AU39" i="50"/>
  <c r="H25" i="50"/>
  <c r="L10" i="50"/>
  <c r="AV39" i="50"/>
  <c r="J25" i="50"/>
  <c r="AN39" i="50"/>
  <c r="L25" i="50"/>
  <c r="M25" i="50" s="1"/>
  <c r="AO39" i="50"/>
  <c r="E25" i="50"/>
  <c r="AM35" i="50"/>
  <c r="M32" i="50"/>
  <c r="AP39" i="50"/>
  <c r="AQ39" i="50"/>
  <c r="AR39" i="50"/>
  <c r="BJ36" i="50"/>
  <c r="E32" i="50"/>
  <c r="K52" i="50"/>
  <c r="H50" i="50"/>
  <c r="AT38" i="50"/>
  <c r="AS24" i="50"/>
  <c r="AU24" i="50" s="1"/>
  <c r="L52" i="50"/>
  <c r="K50" i="50"/>
  <c r="AT24" i="50"/>
  <c r="AQ24" i="50"/>
  <c r="J50" i="50"/>
  <c r="BI45" i="50"/>
  <c r="AP24" i="50"/>
  <c r="BE71" i="50"/>
  <c r="BF71" i="50" s="1"/>
  <c r="J11" i="50"/>
  <c r="BI61" i="50"/>
  <c r="BE59" i="50"/>
  <c r="BF59" i="50" s="1"/>
  <c r="AV38" i="50"/>
  <c r="I3" i="50"/>
  <c r="BE27" i="50"/>
  <c r="BF27" i="50" s="1"/>
  <c r="AR24" i="50"/>
  <c r="E28" i="50"/>
  <c r="AN38" i="50"/>
  <c r="AN24" i="50"/>
  <c r="H10" i="50"/>
  <c r="H28" i="50"/>
  <c r="AR10" i="50"/>
  <c r="BI42" i="50" s="1"/>
  <c r="AO38" i="50"/>
  <c r="J32" i="50"/>
  <c r="AM38" i="50"/>
  <c r="AP38" i="50"/>
  <c r="BG64" i="50"/>
  <c r="BH64" i="50" s="1"/>
  <c r="BI69" i="50"/>
  <c r="H32" i="50"/>
  <c r="H52" i="50"/>
  <c r="K46" i="50"/>
  <c r="AQ38" i="50"/>
  <c r="L32" i="50"/>
  <c r="AJ56" i="50"/>
  <c r="D3" i="50"/>
  <c r="L11" i="50"/>
  <c r="AM24" i="50"/>
  <c r="AR55" i="50"/>
  <c r="J52" i="50"/>
  <c r="AS38" i="50"/>
  <c r="AS55" i="50"/>
  <c r="AS39" i="50"/>
  <c r="M52" i="50"/>
  <c r="L50" i="50"/>
  <c r="E46" i="50"/>
  <c r="AU38" i="50"/>
  <c r="BJ24" i="50"/>
  <c r="BG60" i="50"/>
  <c r="BH60" i="50" s="1"/>
  <c r="BE65" i="50"/>
  <c r="BF65" i="50" s="1"/>
  <c r="BI41" i="50"/>
  <c r="AP16" i="50"/>
  <c r="BG62" i="50"/>
  <c r="BH62" i="50" s="1"/>
  <c r="BE60" i="50"/>
  <c r="BF60" i="50" s="1"/>
  <c r="BI59" i="50"/>
  <c r="BI49" i="50"/>
  <c r="AO16" i="50"/>
  <c r="BJ49" i="50"/>
  <c r="BI65" i="50"/>
  <c r="AR35" i="50"/>
  <c r="AE10" i="50"/>
  <c r="AM16" i="50"/>
  <c r="BG55" i="50"/>
  <c r="BH55" i="50" s="1"/>
  <c r="BI64" i="50"/>
  <c r="BI55" i="50"/>
  <c r="G3" i="50"/>
  <c r="AR16" i="50"/>
  <c r="BG65" i="50"/>
  <c r="BH65" i="50" s="1"/>
  <c r="BE33" i="50"/>
  <c r="BF33" i="50" s="1"/>
  <c r="BI44" i="50"/>
  <c r="AQ16" i="50"/>
  <c r="BG27" i="50"/>
  <c r="BH27" i="50" s="1"/>
  <c r="BG44" i="50"/>
  <c r="BH44" i="50" s="1"/>
  <c r="BI33" i="50"/>
  <c r="BE32" i="50"/>
  <c r="BF32" i="50" s="1"/>
  <c r="BG34" i="50"/>
  <c r="BH34" i="50" s="1"/>
  <c r="BJ35" i="50"/>
  <c r="BG25" i="50"/>
  <c r="BH25" i="50" s="1"/>
  <c r="BG26" i="50"/>
  <c r="BH26" i="50" s="1"/>
  <c r="BI60" i="50"/>
  <c r="H21" i="50"/>
  <c r="BE44" i="50"/>
  <c r="BF44" i="50" s="1"/>
  <c r="BI32" i="50"/>
  <c r="BE55" i="50"/>
  <c r="BF55" i="50" s="1"/>
  <c r="BG41" i="50"/>
  <c r="BH41" i="50" s="1"/>
  <c r="BE68" i="50"/>
  <c r="BF68" i="50" s="1"/>
  <c r="BG49" i="50"/>
  <c r="BH49" i="50" s="1"/>
  <c r="BI34" i="50"/>
  <c r="BG69" i="50"/>
  <c r="BH69" i="50" s="1"/>
  <c r="BI40" i="50"/>
  <c r="BG40" i="50"/>
  <c r="BH40" i="50" s="1"/>
  <c r="BJ32" i="50"/>
  <c r="BI26" i="50"/>
  <c r="BG33" i="50"/>
  <c r="BH33" i="50" s="1"/>
  <c r="BJ25" i="50"/>
  <c r="BE40" i="50"/>
  <c r="BF40" i="50" s="1"/>
  <c r="BE41" i="50"/>
  <c r="BF41" i="50" s="1"/>
  <c r="BJ40" i="50"/>
  <c r="BI71" i="50"/>
  <c r="K28" i="50"/>
  <c r="L28" i="50"/>
  <c r="BG59" i="50"/>
  <c r="BH59" i="50" s="1"/>
  <c r="BI62" i="50"/>
  <c r="BJ27" i="50"/>
  <c r="BE43" i="50"/>
  <c r="BF43" i="50" s="1"/>
  <c r="BI38" i="50"/>
  <c r="AN35" i="50"/>
  <c r="H9" i="50"/>
  <c r="E3" i="50"/>
  <c r="BE26" i="50"/>
  <c r="BF26" i="50" s="1"/>
  <c r="BG71" i="50"/>
  <c r="BH71" i="50" s="1"/>
  <c r="BE62" i="50"/>
  <c r="BF62" i="50" s="1"/>
  <c r="BE85" i="50" s="1"/>
  <c r="BI68" i="50"/>
  <c r="BI27" i="50"/>
  <c r="AS35" i="50"/>
  <c r="BJ33" i="50"/>
  <c r="BJ26" i="50"/>
  <c r="BI43" i="50"/>
  <c r="AT35" i="50"/>
  <c r="E10" i="50"/>
  <c r="BJ55" i="50"/>
  <c r="BE49" i="50"/>
  <c r="BF49" i="50" s="1"/>
  <c r="BI25" i="50"/>
  <c r="AU35" i="50"/>
  <c r="BJ41" i="50"/>
  <c r="BE25" i="50"/>
  <c r="BF25" i="50" s="1"/>
  <c r="BE69" i="50"/>
  <c r="BF69" i="50" s="1"/>
  <c r="AV35" i="50"/>
  <c r="BJ38" i="50"/>
  <c r="BG32" i="50"/>
  <c r="BH32" i="50" s="1"/>
  <c r="BE34" i="50"/>
  <c r="BF34" i="50" s="1"/>
  <c r="BJ34" i="50"/>
  <c r="BJ43" i="50"/>
  <c r="AO35" i="50"/>
  <c r="BG43" i="50"/>
  <c r="BH43" i="50" s="1"/>
  <c r="BG68" i="50"/>
  <c r="BH68" i="50" s="1"/>
  <c r="BE61" i="50"/>
  <c r="BF61" i="50" s="1"/>
  <c r="BE64" i="50"/>
  <c r="BF64" i="50" s="1"/>
  <c r="BE24" i="50"/>
  <c r="BF24" i="50" s="1"/>
  <c r="AP35" i="50"/>
  <c r="BI35" i="50"/>
  <c r="AN16" i="50"/>
  <c r="BE35" i="50"/>
  <c r="BF35" i="50" s="1"/>
  <c r="BG35" i="50"/>
  <c r="BH35" i="50" s="1"/>
  <c r="BE38" i="50"/>
  <c r="BF38" i="50" s="1"/>
  <c r="BJ44" i="50"/>
  <c r="BJ37" i="50"/>
  <c r="AS21" i="50"/>
  <c r="AT21" i="50"/>
  <c r="AV21" i="50"/>
  <c r="BI50" i="50"/>
  <c r="AV20" i="50"/>
  <c r="BI48" i="50"/>
  <c r="AS20" i="50"/>
  <c r="AT20" i="50"/>
  <c r="BJ30" i="50"/>
  <c r="BI29" i="50"/>
  <c r="BJ29" i="50"/>
  <c r="AO11" i="50"/>
  <c r="AV11" i="50" s="1"/>
  <c r="AV13" i="50"/>
  <c r="AT19" i="50"/>
  <c r="AT13" i="50"/>
  <c r="AT8" i="50"/>
  <c r="AT15" i="50"/>
  <c r="AS17" i="50"/>
  <c r="AI56" i="50"/>
  <c r="AV10" i="50"/>
  <c r="AT17" i="50"/>
  <c r="AV15" i="50"/>
  <c r="AT10" i="50"/>
  <c r="AT11" i="50"/>
  <c r="BE45" i="50" s="1"/>
  <c r="BF45" i="50" s="1"/>
  <c r="AO19" i="50"/>
  <c r="AV19" i="50" s="1"/>
  <c r="AV9" i="50"/>
  <c r="AS10" i="50"/>
  <c r="AS13" i="50"/>
  <c r="AT9" i="50"/>
  <c r="AS9" i="50"/>
  <c r="AO12" i="50"/>
  <c r="AV12" i="50" s="1"/>
  <c r="AP12" i="50"/>
  <c r="BJ46" i="50" s="1"/>
  <c r="AV17" i="50"/>
  <c r="AS15" i="50"/>
  <c r="BG38" i="50"/>
  <c r="BH38" i="50" s="1"/>
  <c r="BJ45" i="50"/>
  <c r="BI24" i="50"/>
  <c r="AP15" i="50"/>
  <c r="M18" i="50" l="1"/>
  <c r="BJ28" i="50"/>
  <c r="AV18" i="50"/>
  <c r="AT18" i="50"/>
  <c r="AU18" i="50" s="1"/>
  <c r="M28" i="50"/>
  <c r="BJ39" i="50"/>
  <c r="BI39" i="50"/>
  <c r="BE39" i="50"/>
  <c r="BF39" i="50" s="1"/>
  <c r="BI46" i="50"/>
  <c r="BI67" i="50"/>
  <c r="BI31" i="50"/>
  <c r="BJ42" i="50"/>
  <c r="BI30" i="50"/>
  <c r="M21" i="50"/>
  <c r="BJ48" i="50"/>
  <c r="BI56" i="50"/>
  <c r="AS7" i="50"/>
  <c r="AU7" i="50" s="1"/>
  <c r="BI51" i="50"/>
  <c r="M22" i="50"/>
  <c r="AV16" i="50"/>
  <c r="BI54" i="50"/>
  <c r="BJ54" i="50"/>
  <c r="M12" i="50"/>
  <c r="M27" i="50"/>
  <c r="M13" i="50"/>
  <c r="AV7" i="50"/>
  <c r="BI66" i="50"/>
  <c r="M23" i="50"/>
  <c r="AS8" i="50"/>
  <c r="BG36" i="50" s="1"/>
  <c r="BH36" i="50" s="1"/>
  <c r="AV14" i="50"/>
  <c r="AS14" i="50"/>
  <c r="AT14" i="50"/>
  <c r="BE66" i="50" s="1"/>
  <c r="BF66" i="50" s="1"/>
  <c r="M26" i="50"/>
  <c r="M24" i="50"/>
  <c r="BI37" i="50"/>
  <c r="BI52" i="50"/>
  <c r="M15" i="50"/>
  <c r="M16" i="50"/>
  <c r="BI58" i="50"/>
  <c r="M7" i="50"/>
  <c r="M20" i="50"/>
  <c r="M17" i="50"/>
  <c r="M14" i="50"/>
  <c r="M8" i="50"/>
  <c r="M9" i="50"/>
  <c r="BI70" i="50"/>
  <c r="BL64" i="50"/>
  <c r="M11" i="50"/>
  <c r="BL61" i="50"/>
  <c r="BL27" i="50"/>
  <c r="BI47" i="50"/>
  <c r="M10" i="50"/>
  <c r="BL59" i="50"/>
  <c r="BL32" i="50"/>
  <c r="K3" i="50"/>
  <c r="BL55" i="50"/>
  <c r="BL60" i="50"/>
  <c r="BL44" i="50"/>
  <c r="H3" i="50"/>
  <c r="BL25" i="50"/>
  <c r="BL69" i="50"/>
  <c r="BL49" i="50"/>
  <c r="F3" i="50"/>
  <c r="L3" i="50"/>
  <c r="AQ56" i="50"/>
  <c r="J3" i="50"/>
  <c r="BL41" i="50"/>
  <c r="BL33" i="50"/>
  <c r="BL65" i="50"/>
  <c r="BL26" i="50"/>
  <c r="BJ50" i="50"/>
  <c r="BL38" i="50"/>
  <c r="AM56" i="50"/>
  <c r="AR56" i="50"/>
  <c r="BL40" i="50"/>
  <c r="BL43" i="50"/>
  <c r="BL34" i="50"/>
  <c r="AT16" i="50"/>
  <c r="BE67" i="50" s="1"/>
  <c r="BF67" i="50" s="1"/>
  <c r="BL71" i="50"/>
  <c r="BL68" i="50"/>
  <c r="BL35" i="50"/>
  <c r="AS16" i="50"/>
  <c r="AN56" i="50"/>
  <c r="BL62" i="50"/>
  <c r="BG56" i="50"/>
  <c r="BH56" i="50" s="1"/>
  <c r="BJ52" i="50"/>
  <c r="BE37" i="50"/>
  <c r="BF37" i="50" s="1"/>
  <c r="AU21" i="50"/>
  <c r="AU20" i="50"/>
  <c r="AS19" i="50"/>
  <c r="BE50" i="50"/>
  <c r="BF50" i="50" s="1"/>
  <c r="BE56" i="50"/>
  <c r="BF56" i="50" s="1"/>
  <c r="BE54" i="50"/>
  <c r="BF54" i="50" s="1"/>
  <c r="BE30" i="50"/>
  <c r="BF30" i="50" s="1"/>
  <c r="BE29" i="50"/>
  <c r="BF29" i="50" s="1"/>
  <c r="BE42" i="50"/>
  <c r="BF42" i="50" s="1"/>
  <c r="BE31" i="50"/>
  <c r="BF31" i="50" s="1"/>
  <c r="BG31" i="50"/>
  <c r="BH31" i="50" s="1"/>
  <c r="BG29" i="50"/>
  <c r="BH29" i="50" s="1"/>
  <c r="BE51" i="50"/>
  <c r="BF51" i="50" s="1"/>
  <c r="BI63" i="50"/>
  <c r="AS11" i="50"/>
  <c r="BG45" i="50" s="1"/>
  <c r="BH45" i="50" s="1"/>
  <c r="BL45" i="50" s="1"/>
  <c r="BG66" i="50"/>
  <c r="BH66" i="50" s="1"/>
  <c r="BE47" i="50"/>
  <c r="BF47" i="50" s="1"/>
  <c r="BE46" i="50"/>
  <c r="BF46" i="50" s="1"/>
  <c r="BI57" i="50"/>
  <c r="BJ47" i="50"/>
  <c r="BJ53" i="50"/>
  <c r="AS12" i="50"/>
  <c r="BG53" i="50" s="1"/>
  <c r="BH53" i="50" s="1"/>
  <c r="AO56" i="50"/>
  <c r="AU9" i="50"/>
  <c r="AU17" i="50"/>
  <c r="BE36" i="50"/>
  <c r="BF36" i="50" s="1"/>
  <c r="AU10" i="50"/>
  <c r="AU13" i="50"/>
  <c r="BG24" i="50"/>
  <c r="AU15" i="50"/>
  <c r="AP56" i="50"/>
  <c r="BG57" i="50" l="1"/>
  <c r="BH57" i="50" s="1"/>
  <c r="BE53" i="50"/>
  <c r="BF53" i="50" s="1"/>
  <c r="BL53" i="50" s="1"/>
  <c r="BE48" i="50"/>
  <c r="BF48" i="50" s="1"/>
  <c r="BE57" i="50"/>
  <c r="BF57" i="50" s="1"/>
  <c r="BL57" i="50" s="1"/>
  <c r="BE52" i="50"/>
  <c r="BF52" i="50" s="1"/>
  <c r="BG30" i="50"/>
  <c r="BH30" i="50" s="1"/>
  <c r="BL30" i="50" s="1"/>
  <c r="BG28" i="50"/>
  <c r="BH28" i="50" s="1"/>
  <c r="BL28" i="50" s="1"/>
  <c r="BG39" i="50"/>
  <c r="BH39" i="50" s="1"/>
  <c r="BL39" i="50" s="1"/>
  <c r="BG50" i="50"/>
  <c r="BH50" i="50" s="1"/>
  <c r="BL50" i="50" s="1"/>
  <c r="BG67" i="50"/>
  <c r="BH67" i="50" s="1"/>
  <c r="BG37" i="50"/>
  <c r="BH37" i="50" s="1"/>
  <c r="BL37" i="50" s="1"/>
  <c r="AT56" i="50"/>
  <c r="BE58" i="50"/>
  <c r="BF58" i="50" s="1"/>
  <c r="AU8" i="50"/>
  <c r="AU14" i="50"/>
  <c r="BE63" i="50"/>
  <c r="BF63" i="50" s="1"/>
  <c r="BE70" i="50"/>
  <c r="BF70" i="50" s="1"/>
  <c r="BG52" i="50"/>
  <c r="BH52" i="50" s="1"/>
  <c r="AU16" i="50"/>
  <c r="BG58" i="50"/>
  <c r="BH58" i="50" s="1"/>
  <c r="BG54" i="50"/>
  <c r="BH54" i="50" s="1"/>
  <c r="BL54" i="50" s="1"/>
  <c r="BG70" i="50"/>
  <c r="BH70" i="50" s="1"/>
  <c r="BG48" i="50"/>
  <c r="BH48" i="50" s="1"/>
  <c r="AV56" i="50"/>
  <c r="BG63" i="50"/>
  <c r="BH63" i="50" s="1"/>
  <c r="BL56" i="50"/>
  <c r="BG51" i="50"/>
  <c r="BH51" i="50" s="1"/>
  <c r="BL51" i="50" s="1"/>
  <c r="AU19" i="50"/>
  <c r="BE93" i="50"/>
  <c r="BG42" i="50"/>
  <c r="BH42" i="50" s="1"/>
  <c r="BL42" i="50" s="1"/>
  <c r="BL31" i="50"/>
  <c r="BL29" i="50"/>
  <c r="BL36" i="50"/>
  <c r="BI72" i="50"/>
  <c r="AS56" i="50"/>
  <c r="AU11" i="50"/>
  <c r="BL66" i="50"/>
  <c r="BG47" i="50"/>
  <c r="BH47" i="50" s="1"/>
  <c r="BG46" i="50"/>
  <c r="BH46" i="50" s="1"/>
  <c r="BL46" i="50" s="1"/>
  <c r="AU12" i="50"/>
  <c r="BH24" i="50"/>
  <c r="BE87" i="50" l="1"/>
  <c r="BL48" i="50"/>
  <c r="BL52" i="50"/>
  <c r="BL58" i="50"/>
  <c r="BE88" i="50"/>
  <c r="BF72" i="50"/>
  <c r="BL70" i="50"/>
  <c r="BE90" i="50"/>
  <c r="BL67" i="50"/>
  <c r="BL63" i="50"/>
  <c r="BE72" i="50"/>
  <c r="BE84" i="50"/>
  <c r="BE91" i="50"/>
  <c r="AU56" i="50"/>
  <c r="BL47" i="50"/>
  <c r="BE86" i="50"/>
  <c r="BE89" i="50"/>
  <c r="BG72" i="50"/>
  <c r="BE92" i="50"/>
  <c r="BL24" i="50"/>
  <c r="BH72" i="50"/>
  <c r="BE83" i="50"/>
  <c r="BE78" i="50" l="1"/>
  <c r="BL72" i="50"/>
  <c r="BE13" i="5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M63" authorId="0" shapeId="0" xr:uid="{BFA4B795-3980-40FD-8D6F-54AD687D902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Ajustado según tabla GLOBAL de COLORES: TENTACULOS / 100-500gr/pz.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M45" authorId="0" shapeId="0" xr:uid="{D42EE117-093D-4185-A104-25140B5442A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Corregido: en el registro el segundo tentáculo 100-500 de R09 se lee como 09, no 39; R09 debe quedar en 50 bandejas para capacidad 6,000 kg.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10" authorId="0" shapeId="0" xr:uid="{4336B810-A9D5-4A02-8329-AD07165A1AB9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'ALETA 100-500' se cargó en ALETA ENTERA 100-500 por nomenclatura disponible.</t>
        </r>
      </text>
    </comment>
    <comment ref="D11" authorId="0" shapeId="0" xr:uid="{C92EBD27-5BC1-4A0F-88D7-8624DDF22E0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'ALETA 500-1000' se cargó en ALETA ENTERA 500-1000 por nomenclatura disponible.</t>
        </r>
      </text>
    </comment>
    <comment ref="D25" authorId="0" shapeId="0" xr:uid="{36C29055-157B-461F-8674-ECA737FEB1D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500-1000 / 0.5-1' se cargó en MANTO BLANCO C/M C/T 500-1000.</t>
        </r>
      </text>
    </comment>
    <comment ref="D26" authorId="0" shapeId="0" xr:uid="{D3DCDB1B-EEF1-4BC9-8245-8ABFCF8A1D0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1-2' se cargó en MANTO BLANCO C/M C/T 1.0-2.0.</t>
        </r>
      </text>
    </comment>
    <comment ref="D27" authorId="0" shapeId="0" xr:uid="{6E048B69-B600-456E-A1B0-45FDC6639849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2-4' se cargó en MANTO BLANCO C/M C/T 2.0-4.0.</t>
        </r>
      </text>
    </comment>
    <comment ref="D29" authorId="0" shapeId="0" xr:uid="{6866F554-5377-4565-950B-2748BD265DA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registros escritos como 'MANTO 1-2 LP' se cargaron en MANTO LP C/M C/T 1.0-2.0.</t>
        </r>
      </text>
    </comment>
    <comment ref="D30" authorId="0" shapeId="0" xr:uid="{ECAC89B6-8045-43F4-A8CF-FD7C6F99A5B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registros escritos como 'MANTO 2-4 LP' se cargaron en MANTO LP C/M C/T 2.0-4.0.</t>
        </r>
      </text>
    </comment>
    <comment ref="D45" authorId="0" shapeId="0" xr:uid="{0D63EA4B-85B2-42D5-8671-D50BA916047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100-500' se cargó en TENTACULO C/B C/V SR 100-500 g/pza (SUCIO).</t>
        </r>
      </text>
    </comment>
    <comment ref="D48" authorId="0" shapeId="0" xr:uid="{25137848-4D8B-479E-B491-C2528BAFF0E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500-1000' se cargó en TENTACULO C/B C/V SR 500-1000 g/pza (SUCIO).</t>
        </r>
      </text>
    </comment>
    <comment ref="D50" authorId="0" shapeId="0" xr:uid="{EABE5146-B3E4-477B-A909-BBF8DF480E8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1-2' se cargó en TENTACULO C/B C/V SR 1.0-2.0 Kg/pza (SUCIO).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10" authorId="0" shapeId="0" xr:uid="{4E39604D-9288-485E-AFA3-7EFC259508C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'ALETA 100-500' se cargó en ALETA ENTERA 100-500 por nomenclatura disponible.</t>
        </r>
      </text>
    </comment>
    <comment ref="D11" authorId="0" shapeId="0" xr:uid="{D34DE2ED-B5A5-40C3-AF40-759EF8D7E1A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'ALETA 500-1000' se cargó en ALETA ENTERA 500-1000 por nomenclatura disponible.</t>
        </r>
      </text>
    </comment>
    <comment ref="D25" authorId="0" shapeId="0" xr:uid="{BA716B90-CAAB-4765-BA0D-E420781A51D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500-1000 / 0.5-1' se cargó en MANTO BLANCO C/M C/T 500-1000.</t>
        </r>
      </text>
    </comment>
    <comment ref="D26" authorId="0" shapeId="0" xr:uid="{3A336376-EC06-4EA7-93B0-90F579991D8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1-2' se cargó en MANTO BLANCO C/M C/T 1.0-2.0.</t>
        </r>
      </text>
    </comment>
    <comment ref="D27" authorId="0" shapeId="0" xr:uid="{26137597-EACB-4527-835A-0F164A691AA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2-4' se cargó en MANTO BLANCO C/M C/T 2.0-4.0.</t>
        </r>
      </text>
    </comment>
    <comment ref="D29" authorId="0" shapeId="0" xr:uid="{E7A4F63B-C0F2-4A7D-8242-D9AEBAD0327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registros escritos como 'MANTO 1-2 LP' se cargaron en MANTO LP C/M C/T 1.0-2.0.</t>
        </r>
      </text>
    </comment>
    <comment ref="D30" authorId="0" shapeId="0" xr:uid="{C78FDC6A-ADEC-4053-9A24-70B1C4304EA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registros escritos como 'MANTO 2-4 LP' se cargaron en MANTO LP C/M C/T 2.0-4.0.</t>
        </r>
      </text>
    </comment>
    <comment ref="D45" authorId="0" shapeId="0" xr:uid="{7B4BE476-D3E3-4627-84C4-125BC842C47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100-500' se cargó en TENTACULO C/B C/V SR 100-500 g/pza (SUCIO).</t>
        </r>
      </text>
    </comment>
    <comment ref="D48" authorId="0" shapeId="0" xr:uid="{80D90F41-D9DE-4C7F-8F3E-CED588C831B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500-1000' se cargó en TENTACULO C/B C/V SR 500-1000 g/pza (SUCIO).</t>
        </r>
      </text>
    </comment>
    <comment ref="D50" authorId="0" shapeId="0" xr:uid="{D2E1E344-95F1-441D-9FDB-A717EC670A0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1-2' se cargó en TENTACULO C/B C/V SR 1.0-2.0 Kg/pza (SUCIO).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S25" authorId="0" shapeId="0" xr:uid="{D60F2611-E98E-429F-AE1A-E5723C232B0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R15 código 20 / Manto 500-1000</t>
        </r>
      </text>
    </comment>
    <comment ref="N26" authorId="0" shapeId="0" xr:uid="{3BA5F979-9AE1-4306-B31D-B7927B301EA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R10 código 21 / Manto 1-2</t>
        </r>
      </text>
    </comment>
    <comment ref="U26" authorId="0" shapeId="0" xr:uid="{2BA5E990-0D27-4384-B5A3-382A5C31888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R17 código 21 / Manto 1-2</t>
        </r>
      </text>
    </comment>
    <comment ref="W26" authorId="0" shapeId="0" xr:uid="{3D082E17-8E2C-4AA7-9C5D-808459867084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R19 código 21 / Manto 1-2</t>
        </r>
      </text>
    </comment>
    <comment ref="R27" authorId="0" shapeId="0" xr:uid="{E0D4063A-492D-4013-A28A-C6356452F43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R14 código 22 / Manto 2-4</t>
        </r>
      </text>
    </comment>
    <comment ref="Q29" authorId="0" shapeId="0" xr:uid="{929204A3-FE80-4E5C-B89D-2DEAF3F1904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 por revisión visual: el valor es 44, no 84; ajuste necesario para cerrar T4 en 9.5 TN.</t>
        </r>
      </text>
    </comment>
    <comment ref="Q32" authorId="0" shapeId="0" xr:uid="{B56E0FE6-4600-4AFB-8A09-A988F23875B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R13 código 27 / Nuca 100-300</t>
        </r>
      </text>
    </comment>
    <comment ref="V34" authorId="0" shapeId="0" xr:uid="{363CA2A3-5A7F-4AEF-81D7-34E0EC0194F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R18 código 29 / Nuca 500-1000</t>
        </r>
      </text>
    </comment>
    <comment ref="O48" authorId="0" shapeId="0" xr:uid="{2A4AE104-2FB0-4A84-8DB3-525220298869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R11 código 43 / Tentáculo 500-1000</t>
        </r>
      </text>
    </comment>
    <comment ref="T48" authorId="0" shapeId="0" xr:uid="{7D08879A-396D-4185-908E-0A4D11CFA77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R16 código 43 / Tentáculo 500-1000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S25" authorId="0" shapeId="0" xr:uid="{6CF7DAD7-B0CF-4FEF-8392-A0099C6A7CE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R15 código 20 / Manto 500-1000</t>
        </r>
      </text>
    </comment>
    <comment ref="N26" authorId="0" shapeId="0" xr:uid="{E2CBB080-1C0A-4405-B77C-2B29052706E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R10 código 21 / Manto 1-2</t>
        </r>
      </text>
    </comment>
    <comment ref="U26" authorId="0" shapeId="0" xr:uid="{1AC236E4-012D-4EA2-8B8D-65795076E979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R17 código 21 / Manto 1-2</t>
        </r>
      </text>
    </comment>
    <comment ref="W26" authorId="0" shapeId="0" xr:uid="{157E9B88-108A-44D4-8C21-B3B97683777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R19 código 21 / Manto 1-2</t>
        </r>
      </text>
    </comment>
    <comment ref="R27" authorId="0" shapeId="0" xr:uid="{5B5EB076-13A9-49B5-B3F9-4C9F38AE5EF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R14 código 22 / Manto 2-4</t>
        </r>
      </text>
    </comment>
    <comment ref="Q29" authorId="0" shapeId="0" xr:uid="{4E335EA4-9436-4B3C-ACF9-194DEE219AB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 por revisión visual: el valor es 44, no 84; ajuste necesario para cerrar T4 en 9.5 TN.</t>
        </r>
      </text>
    </comment>
    <comment ref="Q32" authorId="0" shapeId="0" xr:uid="{BC49704F-9168-4AA1-9169-E280EC089657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R13 código 27 / Nuca 100-300</t>
        </r>
      </text>
    </comment>
    <comment ref="V34" authorId="0" shapeId="0" xr:uid="{5D3ABE3E-1E16-473A-8AC5-CB2541E3A2F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R18 código 29 / Nuca 500-1000</t>
        </r>
      </text>
    </comment>
    <comment ref="O48" authorId="0" shapeId="0" xr:uid="{10527781-1ED9-46D5-BF11-AAB32421A8C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R11 código 43 / Tentáculo 500-1000</t>
        </r>
      </text>
    </comment>
    <comment ref="T48" authorId="0" shapeId="0" xr:uid="{E965458F-54C0-437B-B620-FAF70231BF3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R16 código 43 / Tentáculo 500-1000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N6" authorId="0" shapeId="0" xr:uid="{4491E4D8-95E5-4314-B248-25C889580C7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Incluido desde el detalle del coche/R10: Anilla blanca, 2 bandejas.</t>
        </r>
      </text>
    </comment>
    <comment ref="S25" authorId="0" shapeId="0" xr:uid="{FC87C06A-A921-4D87-90FE-5DA647F2D6A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R15 código 20 / Manto 500-1000</t>
        </r>
      </text>
    </comment>
    <comment ref="N26" authorId="0" shapeId="0" xr:uid="{E24A4685-5302-4A42-B470-41641CCE015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R10 código 21 / Manto 1-2</t>
        </r>
      </text>
    </comment>
    <comment ref="U26" authorId="0" shapeId="0" xr:uid="{28847926-956C-46F6-8237-2EA1ABBD6E2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R17 código 21 / Manto 1-2</t>
        </r>
      </text>
    </comment>
    <comment ref="W26" authorId="0" shapeId="0" xr:uid="{EEE3CAF2-1270-457D-82F2-E7DB5FC4AFF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R19 código 21 / Manto 1-2</t>
        </r>
      </text>
    </comment>
    <comment ref="R27" authorId="0" shapeId="0" xr:uid="{B7BA5500-DD2C-465F-AF55-759447D30054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R14 código 22 / Manto 2-4</t>
        </r>
      </text>
    </comment>
    <comment ref="Q29" authorId="0" shapeId="0" xr:uid="{35624B40-0B0A-48B9-B824-209F4F0CD6E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 por revisión visual: el valor es 44, no 84; ajuste necesario para cerrar T4 en 9.5 TN.</t>
        </r>
      </text>
    </comment>
    <comment ref="Q32" authorId="0" shapeId="0" xr:uid="{E0FCF568-7E87-46F7-83CF-33CE77CCAC0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R13 código 27 / Nuca 100-300</t>
        </r>
      </text>
    </comment>
    <comment ref="V34" authorId="0" shapeId="0" xr:uid="{3643DD34-D30E-44BB-BA4A-E1B35B9C05A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R18 código 29 / Nuca 500-1000</t>
        </r>
      </text>
    </comment>
    <comment ref="O48" authorId="0" shapeId="0" xr:uid="{027023A3-0BBC-477D-93AA-896CE18CD96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R11 código 43 / Tentáculo 500-1000</t>
        </r>
      </text>
    </comment>
    <comment ref="T48" authorId="0" shapeId="0" xr:uid="{6CD6BD13-D1C4-4843-AF91-60F86AA5F30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R16 código 43 / Tentáculo 500-1000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N6" authorId="0" shapeId="0" xr:uid="{170E66AA-3BB8-4930-B321-626C7869354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Incluido desde el detalle del coche/R10: Anilla blanca, 2 bandejas.</t>
        </r>
      </text>
    </comment>
    <comment ref="S25" authorId="0" shapeId="0" xr:uid="{1F7E4372-7DAD-4856-B1B5-BD7047EADBA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R15 código 20 / Manto 500-1000</t>
        </r>
      </text>
    </comment>
    <comment ref="N26" authorId="0" shapeId="0" xr:uid="{8C08C623-FC5F-4AC6-B19D-F8E91E6B7DF4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R10 código 21 / Manto 1-2</t>
        </r>
      </text>
    </comment>
    <comment ref="U26" authorId="0" shapeId="0" xr:uid="{2F204401-8026-4C49-8D18-B1D412C8C01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R17 código 21 / Manto 1-2</t>
        </r>
      </text>
    </comment>
    <comment ref="W26" authorId="0" shapeId="0" xr:uid="{B38F1EF8-9802-4596-A1F0-0786DF126824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R19 código 21 / Manto 1-2</t>
        </r>
      </text>
    </comment>
    <comment ref="R27" authorId="0" shapeId="0" xr:uid="{98C3BB2B-FA4B-453E-A78F-9FB866F86AC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R14 código 22 / Manto 2-4</t>
        </r>
      </text>
    </comment>
    <comment ref="Q29" authorId="0" shapeId="0" xr:uid="{0403510D-1CBF-48A6-8C44-E318420FA70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 por revisión visual: el valor es 44, no 84; ajuste necesario para cerrar T4 en 9.5 TN.</t>
        </r>
      </text>
    </comment>
    <comment ref="Q32" authorId="0" shapeId="0" xr:uid="{DD5BA07B-25AE-4ABF-92BA-5CACF451300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R13 código 27 / Nuca 100-300</t>
        </r>
      </text>
    </comment>
    <comment ref="V34" authorId="0" shapeId="0" xr:uid="{B094321E-AF0B-49A2-B584-05536C76E77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R18 código 29 / Nuca 500-1000</t>
        </r>
      </text>
    </comment>
    <comment ref="O48" authorId="0" shapeId="0" xr:uid="{98D5EC77-DF3A-4F20-9C20-E920AE0DC73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R11 código 43 / Tentáculo 500-1000</t>
        </r>
      </text>
    </comment>
    <comment ref="T48" authorId="0" shapeId="0" xr:uid="{7978637D-66E0-4982-B4DC-79ECE2BBE00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R16 código 43 / Tentáculo 500-1000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6" authorId="0" shapeId="0" xr:uid="{37541458-4955-4C41-8786-FDF46F9DC6F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25/05: aquí se acumuló ANILLA BLANCA + ANILLA FINA porque ENV. PLACAS no tiene una fila separada para ANILLA FINA.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E2" authorId="0" shapeId="0" xr:uid="{435336AC-EF00-4C88-86C7-5B5E01DBB881}">
      <text>
        <r>
          <rPr>
            <b/>
            <sz val="9"/>
            <color indexed="81"/>
            <rFont val="Tahoma"/>
            <family val="2"/>
          </rPr>
          <t>Transcrito de imagen: lote 1029 PPF27052026.</t>
        </r>
      </text>
    </comment>
    <comment ref="M2" authorId="0" shapeId="0" xr:uid="{A5AFC325-0215-446C-AB3B-15C7F3980A40}">
      <text>
        <r>
          <rPr>
            <b/>
            <sz val="9"/>
            <color indexed="81"/>
            <rFont val="Tahoma"/>
            <family val="2"/>
          </rPr>
          <t>Transcrito de imagen; lectura aproximada.</t>
        </r>
      </text>
    </comment>
    <comment ref="P2" authorId="0" shapeId="0" xr:uid="{DF5D9809-445C-4896-9E04-0F01A57A3C2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firma visible en foto.</t>
        </r>
      </text>
    </comment>
    <comment ref="BC2" authorId="0" shapeId="0" xr:uid="{5DC2DB1F-06DF-46B9-931B-EFFC86B774C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foto: Hora inicio.</t>
        </r>
      </text>
    </comment>
    <comment ref="BD2" authorId="0" shapeId="0" xr:uid="{21567FFB-39B9-4998-9C16-ACB06EFD81C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foto: Hora final.</t>
        </r>
      </text>
    </comment>
    <comment ref="BF2" authorId="0" shapeId="0" xr:uid="{D6D826CA-4BDB-48C4-A996-3F7642B8EEE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Dato visible en foto no cargado en matriz porque no existe columna P27.</t>
        </r>
      </text>
    </comment>
    <comment ref="D6" authorId="0" shapeId="0" xr:uid="{2A85E8ED-2DBE-41A7-B27B-769B3968E1F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empaque: se acumuló ANILLAS BLANCAS FINA aquí porque EM-PLA no tiene fila separada para FINA.</t>
        </r>
      </text>
    </comment>
    <comment ref="S6" authorId="0" shapeId="0" xr:uid="{D3A76B8F-3F02-4C40-BA92-18A815BA007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P15 Anillas Blancas, 880 kg.</t>
        </r>
      </text>
    </comment>
    <comment ref="V6" authorId="0" shapeId="0" xr:uid="{ABB7AE95-6918-4D0C-8D2A-559A45D7225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P18 Anillas Blancas, 400 kg.</t>
        </r>
      </text>
    </comment>
    <comment ref="W6" authorId="0" shapeId="0" xr:uid="{71649EDF-219F-48AA-8EA7-9C60471F6F8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P19 Anillas Blancas (FINAS), 960 kg.</t>
        </r>
      </text>
    </comment>
    <comment ref="AY6" authorId="0" shapeId="0" xr:uid="{7A715AE5-5A0B-4C03-BA9C-1A9819239E1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P25 Anillas Blancas (FINAS), 820 kg.</t>
        </r>
      </text>
    </comment>
    <comment ref="AY7" authorId="0" shapeId="0" xr:uid="{AFD58244-E363-4BA4-8A1C-367525A43D2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P25 Anilla Amarilla, 20 kg.</t>
        </r>
      </text>
    </comment>
    <comment ref="W8" authorId="0" shapeId="0" xr:uid="{052ABC4D-8337-45D0-93E1-9BF770BA9DC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imagen: 'Fina' corresponde a Mediana.</t>
        </r>
      </text>
    </comment>
    <comment ref="X8" authorId="0" shapeId="0" xr:uid="{69826C18-4B2D-4538-9129-35809924A80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imagen: 'Fina' corresponde a Mediana.</t>
        </r>
      </text>
    </comment>
    <comment ref="AY8" authorId="0" shapeId="0" xr:uid="{0CAF0AA0-1B52-4753-86B0-B9CE99EC1B4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imagen: 'Fina' corresponde a Mediana.</t>
        </r>
      </text>
    </comment>
    <comment ref="Y11" authorId="0" shapeId="0" xr:uid="{94D71480-9896-46EA-BFEC-1D0C67B3E27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P21 Aleta Fresca 500-1000, 920 kg.</t>
        </r>
      </text>
    </comment>
    <comment ref="Y12" authorId="0" shapeId="0" xr:uid="{6B869FA2-9C62-428F-95D6-9D4BF76A5DC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P21 Aleta Fresca 1-2, 120 kg.</t>
        </r>
      </text>
    </comment>
    <comment ref="Y13" authorId="0" shapeId="0" xr:uid="{3CA819FD-37CC-4653-A7AB-33CB67E8023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P21 Aleta 2-4 Partida, 60 kg.</t>
        </r>
      </text>
    </comment>
    <comment ref="T24" authorId="0" shapeId="0" xr:uid="{5108DF49-E771-445F-8809-000BCD524BE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P16 Filete CH CT LP 2-4, 760 kg.</t>
        </r>
      </text>
    </comment>
    <comment ref="BA24" authorId="0" shapeId="0" xr:uid="{F89EFD44-0690-45EA-801B-73EB7CCB764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P26 Filete LP 2-4, 200 kg.</t>
        </r>
      </text>
    </comment>
    <comment ref="N28" authorId="0" shapeId="0" xr:uid="{03B0C5A4-8401-42B3-AA3E-CF61CE8FAD3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MUESTRA</t>
        </r>
      </text>
    </comment>
    <comment ref="U29" authorId="0" shapeId="0" xr:uid="{39B30CA8-3190-4A99-B692-532A61C74C4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P17 Manto CH CT LP 1-2, 120 kg.</t>
        </r>
      </text>
    </comment>
    <comment ref="X29" authorId="0" shapeId="0" xr:uid="{1DA34DC8-64F3-423C-BBDE-ABF125808DC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P20 Manto CH CT LP 1-2, 1,080 kg.</t>
        </r>
      </text>
    </comment>
    <comment ref="Y29" authorId="0" shapeId="0" xr:uid="{24767A75-91B2-44FC-AC77-9D45F1F4CB6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Código no visible en foto para P21 MANTO CM/CT LP; asignado a MANTO LP 1.0-2.0 por continuidad del registro.</t>
        </r>
      </text>
    </comment>
    <comment ref="Z29" authorId="0" shapeId="0" xr:uid="{ABED65E3-A7ED-49FE-8081-F39FC36E07F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P22 Manto CH CT LP 1-2, 1,080 kg.</t>
        </r>
      </text>
    </comment>
    <comment ref="AV29" authorId="0" shapeId="0" xr:uid="{D0891922-927E-4711-A471-2F7B014D7FB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P23 Manto CH CT LP 1-2, 1,080 kg.</t>
        </r>
      </text>
    </comment>
    <comment ref="AW29" authorId="0" shapeId="0" xr:uid="{F8455470-35BB-42B6-A6A3-DA990BAD09B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P24 Manto CH CT LP 1-2, 1,080 kg.</t>
        </r>
      </text>
    </comment>
    <comment ref="BA29" authorId="0" shapeId="0" xr:uid="{03E671EE-824B-4C9D-B04E-39453C68EE8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P26 Manto CH CT LP 1-2, 760 kg.</t>
        </r>
      </text>
    </comment>
    <comment ref="V36" authorId="0" shapeId="0" xr:uid="{CDEA148F-84CD-4DE6-A4D0-ADFDD9DCEFF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P18 Recorte Blanco, 380 kg.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C11" authorId="0" shapeId="0" xr:uid="{CD0EF865-C9E6-4F5A-B40E-89698A1F392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 túnel: 'ALETA FRESCA 500-1000' se cargó en ALETA ENTERA 500-1000 g/pza por nomenclatura disponible en EM-TUN.</t>
        </r>
      </text>
    </comment>
    <comment ref="C29" authorId="0" shapeId="0" xr:uid="{E500496C-4CEE-49FB-A2C0-AED104A513B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 túnel: 'MANTO CM/CT L.P 1-2' se cargó en MANTO LP C/M C/T 1.0-2.0 Kg/pza por nomenclatura disponible en EM-TUN.</t>
        </r>
      </text>
    </comment>
    <comment ref="C45" authorId="0" shapeId="0" xr:uid="{5BAFC1BE-F868-4DED-AF17-78A3FC474E5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 túnel: 'TENTÁCULO C/V 100-500' se cargó en TENTACULO C/B C/V SR 100-500 g/pza (SUCIO).</t>
        </r>
      </text>
    </comment>
    <comment ref="C48" authorId="0" shapeId="0" xr:uid="{8351BEED-77E8-4354-AE9E-458144615CE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 túnel: 'TENTÁCULO C/V 500-1000' se cargó en TENTACULO C/B C/V SR 500-1000 g/pza (SUCIO).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39" authorId="0" shapeId="0" xr:uid="{60FCD799-98A8-43B6-933D-E8BCA72CDA7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Sin coincidencia exacta en el cuadro maestro H:M para TUBO ALETA 1.0-2.0 Kg/pza; se dejó en blanco hasta confirmar color.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T3" authorId="0" shapeId="0" xr:uid="{2A8F9C37-A27E-4317-AF71-2574ED65BD4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Revisado: el control lista solo filas con N° válido y actividad en D:G (&gt;0) o diferencias en H/L (&lt;&gt;0). Totales y estados validados contra B:P.</t>
        </r>
      </text>
    </comment>
    <comment ref="AA4" authorId="0" shapeId="0" xr:uid="{15952667-04D3-4E2B-87CE-7D67705667F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Estado túnel: si DIF TUNEL (col. AE/H) es mayor a 0, significa que hay más bultos envasados que empacados. Solución: registrar el empaque faltante en la fuente EM-TUN col. CC o corregir el envasado en RES-EN col. N.</t>
        </r>
      </text>
    </comment>
    <comment ref="AD4" authorId="0" shapeId="0" xr:uid="{E97D8540-0139-4BD1-B0A6-EE87B2A16EF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Estado placa: si DIF PLACA (col. AH/L) es mayor a 0, significa que hay más bultos envasados que empacados. Solución: registrar el empaque faltante en la fuente EM-PLA col. AL o corregir el envasado en ENV. PLACAS col. X.</t>
        </r>
      </text>
    </comment>
    <comment ref="AH4" authorId="0" shapeId="0" xr:uid="{BB31CEFA-4167-4035-88D8-BFC240AE400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CONTROL muestra REVISAR cuando TUNEL o PLACA no está CUADRADO. Para que cambie a OK, ambas diferencias deben quedar en 0.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35" authorId="0" shapeId="0" xr:uid="{B0FBFD1C-E8A9-40F5-9A06-0423A6E9F80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Mapeo corregido: REPRODUCTORES SV pequeño desde PP!E57.</t>
        </r>
      </text>
    </comment>
    <comment ref="D37" authorId="0" shapeId="0" xr:uid="{966A0309-F11D-4AEC-A595-22A0577E140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Mapeo corregido: recorte blanco desde PP!E54.</t>
        </r>
      </text>
    </comment>
    <comment ref="D39" authorId="0" shapeId="0" xr:uid="{C73D2FE4-D83E-4EB1-A1D9-10B530CC72D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Mapeo corregido: CONOS DE POTA desde PP!E36.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<sst xmlns="http://schemas.openxmlformats.org/spreadsheetml/2006/main" count="2666" uniqueCount="737">
  <si>
    <t>PARTE DE PRODUCCIÓN</t>
  </si>
  <si>
    <t>CLIENTE :</t>
  </si>
  <si>
    <t xml:space="preserve">MATERIA PRIMA: </t>
  </si>
  <si>
    <t>TOTAL</t>
  </si>
  <si>
    <t xml:space="preserve"> NO TRAJO ESTIBA</t>
  </si>
  <si>
    <t>EMPAQUE</t>
  </si>
  <si>
    <t>DESCRIPCIÓN</t>
  </si>
  <si>
    <t>SALDOS KG</t>
  </si>
  <si>
    <t>TOTAL KG</t>
  </si>
  <si>
    <t>KG</t>
  </si>
  <si>
    <t>INSUMOS</t>
  </si>
  <si>
    <t>UND</t>
  </si>
  <si>
    <t>BOLSAS CRISTAL</t>
  </si>
  <si>
    <t xml:space="preserve">Nota: </t>
  </si>
  <si>
    <t>COLOR</t>
  </si>
  <si>
    <t>N°</t>
  </si>
  <si>
    <t>CRISTAL</t>
  </si>
  <si>
    <t>NARANJA</t>
  </si>
  <si>
    <t>AZUL</t>
  </si>
  <si>
    <t>AMARILLO</t>
  </si>
  <si>
    <t>VERDE</t>
  </si>
  <si>
    <t>ROSADO</t>
  </si>
  <si>
    <t>LILA</t>
  </si>
  <si>
    <t>ROJO</t>
  </si>
  <si>
    <t>TOTAL (kg)</t>
  </si>
  <si>
    <t>N° DE SACOS X 20 KG</t>
  </si>
  <si>
    <t>TOTAL SACOS</t>
  </si>
  <si>
    <t>SACOS (UND)</t>
  </si>
  <si>
    <t>STRECH FILM ( UND)</t>
  </si>
  <si>
    <t>ETIQUETAS (UND)</t>
  </si>
  <si>
    <t>HIELO (KG)</t>
  </si>
  <si>
    <t>PLUMON (UND)</t>
  </si>
  <si>
    <t>RAFIA  AZUL (KG)</t>
  </si>
  <si>
    <t>LAMINAS DE  POLIETILENO LILA  (UND)</t>
  </si>
  <si>
    <t>LOTE CLIENTE</t>
  </si>
  <si>
    <t>PLACAS</t>
  </si>
  <si>
    <t>CLIENTE:</t>
  </si>
  <si>
    <t xml:space="preserve">PROCESO: </t>
  </si>
  <si>
    <t>TOTAL DE BANDEJAS</t>
  </si>
  <si>
    <t>001</t>
  </si>
  <si>
    <t xml:space="preserve">CINTAS </t>
  </si>
  <si>
    <t>LOTE</t>
  </si>
  <si>
    <t>ANILLAS BLANCAS SM ST</t>
  </si>
  <si>
    <t>ANILLAS AMARILLAS SM ST</t>
  </si>
  <si>
    <t>ALETA ENTERA 100-500 g/pza</t>
  </si>
  <si>
    <t>ALETA ENTERA 500-1000 g/pza</t>
  </si>
  <si>
    <t>ALETA ENTERA 1.0-2.0 kg/pza</t>
  </si>
  <si>
    <t>BOTON BLANCO SM ST</t>
  </si>
  <si>
    <t>BOTON AMARILLO SM ST</t>
  </si>
  <si>
    <t>FILETE LP C/M C/T ENTERO 2.0-4.0 kg/pza</t>
  </si>
  <si>
    <t>TENTACULO C/B S/V SR 300-500 g/pza</t>
  </si>
  <si>
    <t>TENTACULO C/B S/V SR 500-1000 g/pza</t>
  </si>
  <si>
    <t>TENTACULO C/B S/V SR 1.0-2.0 Kg/pza</t>
  </si>
  <si>
    <t>TENTACULO C/B S/V SR 2 UP Kg/pza</t>
  </si>
  <si>
    <t>NUCA C/C CERRADO 0-100 g/pza</t>
  </si>
  <si>
    <t>NUCA C/C ABIERTO 300-500 g/pza</t>
  </si>
  <si>
    <t>NUCA C/C ABIERTO 500-1000 g/pza</t>
  </si>
  <si>
    <t>NUCA C/C ABIERTO 1.0 - UP kg/pza</t>
  </si>
  <si>
    <t>REPRODUCTOR SV GRANDE</t>
  </si>
  <si>
    <t>RECORTE AMARILLO SM ST</t>
  </si>
  <si>
    <t>COLOR ASIGNADO</t>
  </si>
  <si>
    <t>FILETE C/M C/T ENTERO BLANCO 1.0-2.0 kg/pza</t>
  </si>
  <si>
    <t>FILETE C/M C/T ENTERO BLANCO 2.0-4.0 kg/pza</t>
  </si>
  <si>
    <t>NUCA C/C ABIERTO 100-300 g/pza</t>
  </si>
  <si>
    <t>LINEA 1</t>
  </si>
  <si>
    <t>LINEA 2</t>
  </si>
  <si>
    <t>FELIX</t>
  </si>
  <si>
    <t>CHARLI</t>
  </si>
  <si>
    <t>1º CARRO</t>
  </si>
  <si>
    <t>2º CARRO</t>
  </si>
  <si>
    <t>3º CARRO</t>
  </si>
  <si>
    <t>4º CARRO</t>
  </si>
  <si>
    <t>5º CARRO</t>
  </si>
  <si>
    <t>PRORRATEO</t>
  </si>
  <si>
    <t>TUBO</t>
  </si>
  <si>
    <t>DIFERENCIA</t>
  </si>
  <si>
    <t>CREMA</t>
  </si>
  <si>
    <t>RENDIMIENTO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</si>
  <si>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</si>
  <si>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</si>
  <si>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</si>
  <si>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</si>
  <si>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</si>
  <si>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</si>
  <si>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</si>
  <si>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</si>
  <si>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</si>
  <si>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</si>
  <si>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</si>
  <si>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</si>
  <si>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</si>
  <si>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</si>
  <si>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</si>
  <si>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</si>
  <si>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</si>
  <si>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</si>
  <si>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</si>
  <si>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</si>
  <si>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</si>
  <si>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</si>
  <si>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</si>
  <si>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</si>
  <si>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</si>
  <si>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</si>
  <si>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</si>
  <si>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</si>
  <si>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TOTAL DE BULTOS</t>
  </si>
  <si>
    <t>TOTAL
BULTOS</t>
  </si>
  <si>
    <t>TOTAL
BANDEJAS</t>
  </si>
  <si>
    <t>PALLET</t>
  </si>
  <si>
    <t>REPORTE HOJA 2 / SACOS</t>
  </si>
  <si>
    <t>REPORTE HOJA 1 / SACOS</t>
  </si>
  <si>
    <t>RACK</t>
  </si>
  <si>
    <t>CAPACIDAD DE TUNEL 1</t>
  </si>
  <si>
    <t>6 TN</t>
  </si>
  <si>
    <t>10 TN</t>
  </si>
  <si>
    <t>CAPACIDAD DE TUNEL 3</t>
  </si>
  <si>
    <t>CAPACIDAD DE TUNEL 2</t>
  </si>
  <si>
    <t>CAPACIDAD DE TUNEL 4</t>
  </si>
  <si>
    <t>9.5 TN</t>
  </si>
  <si>
    <t>CAPACIDAD DE TUNEL 5</t>
  </si>
  <si>
    <t>11 TN</t>
  </si>
  <si>
    <t>CAPACIDAD DE TUNEL 6</t>
  </si>
  <si>
    <t>TUNEL 1</t>
  </si>
  <si>
    <t>TUNEL 2</t>
  </si>
  <si>
    <t>TUNEL 3</t>
  </si>
  <si>
    <t>TUNEL 4</t>
  </si>
  <si>
    <t>TUNEL 5</t>
  </si>
  <si>
    <t>TUNEL 6</t>
  </si>
  <si>
    <t>CONDICIONAL</t>
  </si>
  <si>
    <t>DANIEL</t>
  </si>
  <si>
    <t>POTA A GRANEL</t>
  </si>
  <si>
    <t>LINEA 3</t>
  </si>
  <si>
    <t>LUIS</t>
  </si>
  <si>
    <t>ITEM</t>
  </si>
  <si>
    <t>X PLUS</t>
  </si>
  <si>
    <t>M.P. LAMINADO BLANCO</t>
  </si>
  <si>
    <t>M.P. LAMINADO AMARILLO</t>
  </si>
  <si>
    <t>CHARLY</t>
  </si>
  <si>
    <t>NUCA</t>
  </si>
  <si>
    <t>KEY</t>
  </si>
  <si>
    <t>ENVASADO</t>
  </si>
  <si>
    <t>SARA</t>
  </si>
  <si>
    <t>RECEPCION:</t>
  </si>
  <si>
    <t>PLACA</t>
  </si>
  <si>
    <t>Nº CARRO</t>
  </si>
  <si>
    <t>TOTAL S/.</t>
  </si>
  <si>
    <t>RESUMEN DE COSTOS</t>
  </si>
  <si>
    <t>6º CARRO</t>
  </si>
  <si>
    <t>MONTO s/.</t>
  </si>
  <si>
    <t>7º CARRO</t>
  </si>
  <si>
    <t>FECHA:</t>
  </si>
  <si>
    <t>CANTIDAD KG</t>
  </si>
  <si>
    <t>FILETEROS:</t>
  </si>
  <si>
    <t>ENVASADORES:</t>
  </si>
  <si>
    <t>CHERLITA</t>
  </si>
  <si>
    <t>CAPACIDAD DE TUNEL</t>
  </si>
  <si>
    <t>FECHA RECEPCIÓN:</t>
  </si>
  <si>
    <t>FECHA DE EMPAQUE:</t>
  </si>
  <si>
    <t>EMPAQUE:</t>
  </si>
  <si>
    <t>LOTE PLANTA:</t>
  </si>
  <si>
    <t>SERIE:</t>
  </si>
  <si>
    <t>LOTE CLIENTE:</t>
  </si>
  <si>
    <t>Registro</t>
  </si>
  <si>
    <t>SPM-F-002</t>
  </si>
  <si>
    <t>Versión</t>
  </si>
  <si>
    <t>Fecha</t>
  </si>
  <si>
    <t>MAYO 2025</t>
  </si>
  <si>
    <t>Página</t>
  </si>
  <si>
    <t>REGISTRO DE PESOS POR CUADRILLA</t>
  </si>
  <si>
    <t>PESO RECEPCIÓN</t>
  </si>
  <si>
    <t>PARTE:</t>
  </si>
  <si>
    <t>POTA ENTERA</t>
  </si>
  <si>
    <t>REJO</t>
  </si>
  <si>
    <t>TUBO ALETA</t>
  </si>
  <si>
    <t>TOTAL TUNEL</t>
  </si>
  <si>
    <t>TOTAL GENERAL</t>
  </si>
  <si>
    <t>%</t>
  </si>
  <si>
    <t>RENDIMIENTO %</t>
  </si>
  <si>
    <t>RESUMEN DE ENVASADO</t>
  </si>
  <si>
    <t>HANHOY</t>
  </si>
  <si>
    <t>MARILU</t>
  </si>
  <si>
    <t>CODIFICADORES:</t>
  </si>
  <si>
    <t>NUQUEROS:</t>
  </si>
  <si>
    <t>NUQUERAS</t>
  </si>
  <si>
    <t>PESOS DE NUCAS</t>
  </si>
  <si>
    <t>CUADRILLA</t>
  </si>
  <si>
    <t>DÍA</t>
  </si>
  <si>
    <t>CHARLY TURNO DÍA</t>
  </si>
  <si>
    <t>ANILLADO:</t>
  </si>
  <si>
    <t>LAVADO:</t>
  </si>
  <si>
    <t>HANHOY TURNO DÍA</t>
  </si>
  <si>
    <t>RESUMEN</t>
  </si>
  <si>
    <t>TOTAL FILETEROS</t>
  </si>
  <si>
    <t>TOTAL LAVADO</t>
  </si>
  <si>
    <t>TOTAL ENVASADORES</t>
  </si>
  <si>
    <t>TOTAL CODIFICADORES</t>
  </si>
  <si>
    <t>TOTAL NUQUEROS</t>
  </si>
  <si>
    <t>TOTAL ANILLADO</t>
  </si>
  <si>
    <t>TOTAL LAMINADO</t>
  </si>
  <si>
    <t>TOTAL EMPAQUE</t>
  </si>
  <si>
    <t>PPF19062025</t>
  </si>
  <si>
    <t>FILETE C/TT DARUMA</t>
  </si>
  <si>
    <t>TUNEL</t>
  </si>
  <si>
    <t>RECORTE PRECOCIDO</t>
  </si>
  <si>
    <t>ALETA PRECOCIDA ENTERA 300-UP g/pza</t>
  </si>
  <si>
    <t>CONOS DE POTA</t>
  </si>
  <si>
    <t>ALETA FRESCA CORTE CRUZ</t>
  </si>
  <si>
    <t>ALETA PRECOCIDA PARTIDA 300-UP g/pza</t>
  </si>
  <si>
    <t>MANTO BLANCO C/M C/T 500-1000 g/pza</t>
  </si>
  <si>
    <t>ALETA FRESCA PARTIDA 2.0-4.0 kg/pza</t>
  </si>
  <si>
    <t>MANTO LP C/M C/T 500-1000 g/pza</t>
  </si>
  <si>
    <t>MANTO LP C/M C/T 1.0-2.0 Kg/pza</t>
  </si>
  <si>
    <t>MANTO BLANCO C/M C/T 1.0-2.0 kg/pza</t>
  </si>
  <si>
    <t>MANTO BLANCO C/M C/T 2.0-4.0 kg/pza</t>
  </si>
  <si>
    <t>MANTO LP C/M C/T 2.0-4.0 Kg/pza</t>
  </si>
  <si>
    <t>RECORTE BLANCO SM ST</t>
  </si>
  <si>
    <t>TENTACULO C/B C/V SR 100-300 g/pza (SUCIO)</t>
  </si>
  <si>
    <t>TENTACULO C/B C/V SR 300-500 g/pza (SUCIO)</t>
  </si>
  <si>
    <t>TENTACULO C/B S/V SR 100-300 g/pza</t>
  </si>
  <si>
    <t>REPRODUCTORES SV, PEQUEÑO</t>
  </si>
  <si>
    <t xml:space="preserve">                   RESUMEN DE REGISTRO DE EMPAQUE      </t>
  </si>
  <si>
    <t>PRO-FO-003</t>
  </si>
  <si>
    <t xml:space="preserve">Pág. </t>
  </si>
  <si>
    <t>1 de 1</t>
  </si>
  <si>
    <t>Rev.</t>
  </si>
  <si>
    <t>Fecha:</t>
  </si>
  <si>
    <t>REGISTRO DE EMPAQUE</t>
  </si>
  <si>
    <t>EMPRESA :</t>
  </si>
  <si>
    <t xml:space="preserve">PPFISH S.A.C. </t>
  </si>
  <si>
    <t xml:space="preserve">RUC: </t>
  </si>
  <si>
    <t>20516770300</t>
  </si>
  <si>
    <t>PT N°           -2026</t>
  </si>
  <si>
    <t xml:space="preserve">DIRECCION: </t>
  </si>
  <si>
    <t xml:space="preserve">CALLE A LOTE 04 Z.I. EX FUNDO OQUENDO SECCIÓN 5 - CALLAO </t>
  </si>
  <si>
    <t xml:space="preserve">FECHA: </t>
  </si>
  <si>
    <t xml:space="preserve">TELEFONO: </t>
  </si>
  <si>
    <t>7155228 / 981175196</t>
  </si>
  <si>
    <t xml:space="preserve">CORREO: </t>
  </si>
  <si>
    <t>produccion.ppfish@friopumarume.com</t>
  </si>
  <si>
    <t>TURNO</t>
  </si>
  <si>
    <t>RUC:</t>
  </si>
  <si>
    <t>HORA INICIO</t>
  </si>
  <si>
    <t>HORA FINAL</t>
  </si>
  <si>
    <t>N° ITEM</t>
  </si>
  <si>
    <t>PRODUCTO
(Kg.)</t>
  </si>
  <si>
    <t>CODIGO</t>
  </si>
  <si>
    <r>
      <t>CANTIDAD 
(</t>
    </r>
    <r>
      <rPr>
        <b/>
        <sz val="10"/>
        <color theme="0"/>
        <rFont val="Arial"/>
        <family val="2"/>
      </rPr>
      <t>CAJAS/SACOS)</t>
    </r>
  </si>
  <si>
    <t>PESO TOTAL Kg</t>
  </si>
  <si>
    <t>ANILLAS BLANCAS</t>
  </si>
  <si>
    <t xml:space="preserve"> SM ST</t>
  </si>
  <si>
    <t>ANILLAS AMARILLAS</t>
  </si>
  <si>
    <t>ALETA FRESCA</t>
  </si>
  <si>
    <t>CORTE CRUZ</t>
  </si>
  <si>
    <t>ALETA ENTERA</t>
  </si>
  <si>
    <t>100-500 g/pza</t>
  </si>
  <si>
    <t>500-1000 g/pza</t>
  </si>
  <si>
    <t>1.0-2.0 kg/pza</t>
  </si>
  <si>
    <t>ALETA FRESCA PARTIDA</t>
  </si>
  <si>
    <t>2.0-4.0 kg/pza</t>
  </si>
  <si>
    <t>ALETA PRECOCIDA ENTERA</t>
  </si>
  <si>
    <t>300-UP g/pza</t>
  </si>
  <si>
    <t xml:space="preserve"> </t>
  </si>
  <si>
    <t>ALETA PRECOCIDA PARTIDA</t>
  </si>
  <si>
    <t>BOTON BLANCO</t>
  </si>
  <si>
    <t>BOTON AMARILLO</t>
  </si>
  <si>
    <t xml:space="preserve">FILETE C/TT </t>
  </si>
  <si>
    <t>DARUMA</t>
  </si>
  <si>
    <t>FILETE C/M C/T ENTERO BLANCO</t>
  </si>
  <si>
    <t>FILETE LP C/M C/T ENTERO</t>
  </si>
  <si>
    <t>MANTO BLANCO C/M C/T</t>
  </si>
  <si>
    <t xml:space="preserve">MANTO BLANCO C/M C/T </t>
  </si>
  <si>
    <t>MANTO LP C/M C/T</t>
  </si>
  <si>
    <t>1.0-2.0 Kg/pza</t>
  </si>
  <si>
    <t xml:space="preserve">MANTO LP C/M C/T </t>
  </si>
  <si>
    <t>2.0-4.0 Kg/pza</t>
  </si>
  <si>
    <t>NUCA C/C CERRADO</t>
  </si>
  <si>
    <t>0-100 g/pza</t>
  </si>
  <si>
    <t>NUCA C/C ABIERTO</t>
  </si>
  <si>
    <t>100-300 g/pza</t>
  </si>
  <si>
    <t>300-500 g/pza</t>
  </si>
  <si>
    <t xml:space="preserve">NUCA C/C ABIERTO </t>
  </si>
  <si>
    <t>1.0 - UP kg/pza</t>
  </si>
  <si>
    <t>RECORTE BLANCO</t>
  </si>
  <si>
    <t>SM ST</t>
  </si>
  <si>
    <t>RECORTE AMARILLO</t>
  </si>
  <si>
    <t>REPRODUCTOR</t>
  </si>
  <si>
    <t>SV, PEQUEÑO</t>
  </si>
  <si>
    <t>SV GRANDE</t>
  </si>
  <si>
    <t>TENTACULO C/B C/V SR</t>
  </si>
  <si>
    <t>300-500 g/pza (SUCIO)</t>
  </si>
  <si>
    <t>TENTACULO C/B S/V SR</t>
  </si>
  <si>
    <t xml:space="preserve">TENTACULO C/B S/V SR </t>
  </si>
  <si>
    <t>2 UP Kg/pza</t>
  </si>
  <si>
    <t xml:space="preserve"> SUPERVISOR DE SERVICE/SUPERVISOR EMPAQUE</t>
  </si>
  <si>
    <t>JEFE DE PRODUCCIÓN/SUPERVISOR DE PRODUCCION</t>
  </si>
  <si>
    <t xml:space="preserve"> JEFE DE ALMACEN/ SUPERVISOR DE CAMARA  </t>
  </si>
  <si>
    <t>P29</t>
  </si>
  <si>
    <t>P30</t>
  </si>
  <si>
    <t>P31</t>
  </si>
  <si>
    <t>REPORTE HOJA 3 / SACOS</t>
  </si>
  <si>
    <t>TOTAL
PLACAS</t>
  </si>
  <si>
    <t>PERCY</t>
  </si>
  <si>
    <t>CELESTE</t>
  </si>
  <si>
    <t>LAMINAS DE POLIETILENO CELESTE (UND)</t>
  </si>
  <si>
    <t>LAMINAS DE POLIETILENO AZUL (UND)</t>
  </si>
  <si>
    <t>LAMINAS DE POLIETILENO BLANCO (UND)</t>
  </si>
  <si>
    <t>LAMINAS DE POLIETILENO CRISTAL  (UND)</t>
  </si>
  <si>
    <t>LAMINAS DE POLIETILENO AMARILLO (UND)</t>
  </si>
  <si>
    <t>LAMINAS DE POLIETILENO NARANJA (UND)</t>
  </si>
  <si>
    <t>LAMINAS DE POLIETILENO ROJO (UND)</t>
  </si>
  <si>
    <t>LAMINAS DE POLIETILENO VERDE (UND)</t>
  </si>
  <si>
    <t>LAMINAS DE POLIETILENO ROSADO (UND)</t>
  </si>
  <si>
    <t>LAMINAS DE POLIETILENO CREMA (UND)</t>
  </si>
  <si>
    <t>REPORTE HOJA 4 / SACOS</t>
  </si>
  <si>
    <t>GLOBAL TOP FOOD PERÚ S.A.C.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</si>
  <si>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</si>
  <si>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</si>
  <si>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</si>
  <si>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</si>
  <si>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</si>
  <si>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</si>
  <si>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</si>
  <si>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</si>
  <si>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</si>
  <si>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</si>
  <si>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</si>
  <si>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</si>
  <si>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</si>
  <si>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</si>
  <si>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</si>
  <si>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</si>
  <si>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</si>
  <si>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</si>
  <si>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</si>
  <si>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TOTAL DE BULTOS ENVASADO PLACAS</t>
  </si>
  <si>
    <t>DIFERENCIA EN TÚNEL</t>
  </si>
  <si>
    <t>DIFERENCIA EN PLACA</t>
  </si>
  <si>
    <t>TOTAL DE BULTOS EMPAQUE PLACAS</t>
  </si>
  <si>
    <t>FILETE C/M C/T TRES PIELES 1.0-2.0 kg/pza</t>
  </si>
  <si>
    <t>FILETE C/M C/T TRES PIELES 2.0-4.0 kg/pza</t>
  </si>
  <si>
    <t xml:space="preserve">FILETE C/M C/T TRES PIELES </t>
  </si>
  <si>
    <t>PRECOCIDO</t>
  </si>
  <si>
    <t>R20</t>
  </si>
  <si>
    <t>R21</t>
  </si>
  <si>
    <t>R22</t>
  </si>
  <si>
    <t>TUNEL 6(2)</t>
  </si>
  <si>
    <t>ENVASADO TÚNEL + PLACAS</t>
  </si>
  <si>
    <t>EMPAQUE TÚNEL + PLACAS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</si>
  <si>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</si>
  <si>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</si>
  <si>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</si>
  <si>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</si>
  <si>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</si>
  <si>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</si>
  <si>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</si>
  <si>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</si>
  <si>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</si>
  <si>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</si>
  <si>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</si>
  <si>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</si>
  <si>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</si>
  <si>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</si>
  <si>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</si>
  <si>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</si>
  <si>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</si>
  <si>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</si>
  <si>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 xml:space="preserve">   </t>
  </si>
  <si>
    <t>CODIFICADO</t>
  </si>
  <si>
    <t>CANTIDAD TN</t>
  </si>
  <si>
    <t>ALETA</t>
  </si>
  <si>
    <t>TENTÀCULO</t>
  </si>
  <si>
    <t>NUCAS</t>
  </si>
  <si>
    <t>RECEPCIÓN</t>
  </si>
  <si>
    <t>HORA DE LANZAMIENTO</t>
  </si>
  <si>
    <t>BLANCO</t>
  </si>
  <si>
    <t>COCHE</t>
  </si>
  <si>
    <t>ETIQUTAS</t>
  </si>
  <si>
    <t>PERCY ZONA A</t>
  </si>
  <si>
    <t>PERCY ZONA B</t>
  </si>
  <si>
    <t>PAZ</t>
  </si>
  <si>
    <t>CHH-945</t>
  </si>
  <si>
    <t>TENTACULO C/B C/V SR 100-500 g/pza (SUCIO)</t>
  </si>
  <si>
    <t>TUBO ALETA 500-1000 g/pza</t>
  </si>
  <si>
    <t>TUBO ALETA 1.0-2.0 Kg/pza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</si>
  <si>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</si>
  <si>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</si>
  <si>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</si>
  <si>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</si>
  <si>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</si>
  <si>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</si>
  <si>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</si>
  <si>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</si>
  <si>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</si>
  <si>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</si>
  <si>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BLZ-870</t>
  </si>
  <si>
    <t>BLZ-871</t>
  </si>
  <si>
    <t>BLZ-872</t>
  </si>
  <si>
    <t>BLZ-873</t>
  </si>
  <si>
    <t>BLZ-874</t>
  </si>
  <si>
    <t>NUMERO DE CARRO</t>
  </si>
  <si>
    <t>CUADRILLA / N° DE DINO</t>
  </si>
  <si>
    <t>CHARLES</t>
  </si>
  <si>
    <t>1º</t>
  </si>
  <si>
    <t xml:space="preserve">COCHE </t>
  </si>
  <si>
    <t xml:space="preserve">Registro: </t>
  </si>
  <si>
    <t xml:space="preserve">Versión: </t>
  </si>
  <si>
    <t>01</t>
  </si>
  <si>
    <t xml:space="preserve">Fecha: </t>
  </si>
  <si>
    <t>DATOS DEL EMPLEADOR</t>
  </si>
  <si>
    <t>RAZÓN SOCIAL O DENOMINACIÓN SOCIAL</t>
  </si>
  <si>
    <t>RUC</t>
  </si>
  <si>
    <t>ACTIVIDAD ECONÓMICA</t>
  </si>
  <si>
    <t>Calle a Lote, 04 SI. Sección 5 Ex Fundo Oquendo (Al Km 6.3 Gambeta Espalda Pesquera Bert.)
Callao, Provincia Constitucional del Callao, Lima</t>
  </si>
  <si>
    <t>ELABORACIÓN Y CONSERVACIÓN DE
PESCADO, CRUSTÁCEO Y MOLUSCOS</t>
  </si>
  <si>
    <t>PRODUCTO</t>
  </si>
  <si>
    <t>TOTAL DE CUADRILLA</t>
  </si>
  <si>
    <t>TOTAL RECEPCION</t>
  </si>
  <si>
    <t>HORA INICIO:</t>
  </si>
  <si>
    <t>HORA TÉRMINO:</t>
  </si>
  <si>
    <t>ANILLAS BLANCAS SM ST MEDIANA</t>
  </si>
  <si>
    <t>PROCESO</t>
  </si>
  <si>
    <t>Nukas</t>
  </si>
  <si>
    <t>HANNOY</t>
  </si>
  <si>
    <t>EMPAQUE PLACAS:</t>
  </si>
  <si>
    <t>EMPAQUE TÚNEL:</t>
  </si>
  <si>
    <t>RAFAEL</t>
  </si>
  <si>
    <t>CONOS:</t>
  </si>
  <si>
    <t>TOTAL CONOS</t>
  </si>
  <si>
    <t>ENVASADO DE TÙNEL:</t>
  </si>
  <si>
    <t>placas</t>
  </si>
  <si>
    <t>túnel</t>
  </si>
  <si>
    <t>ENVASADO DE PLACAS:</t>
  </si>
  <si>
    <t>SOLUCIONES &amp; PROCESOS MARINOS S.A.C.</t>
  </si>
  <si>
    <t>MAYO-2026</t>
  </si>
  <si>
    <t>SPM-FOT-006</t>
  </si>
  <si>
    <t>POTILLA</t>
  </si>
  <si>
    <r>
      <t>DOMICILIO (</t>
    </r>
    <r>
      <rPr>
        <sz val="14"/>
        <rFont val="Arial Black"/>
        <family val="2"/>
      </rPr>
      <t>Dirección, Distrito, Provincia, Departamento)</t>
    </r>
  </si>
  <si>
    <t>COMPENSACIÓN KG</t>
  </si>
  <si>
    <t>RECEPCIÓN:</t>
  </si>
  <si>
    <t>LINO TURNO DÍA</t>
  </si>
  <si>
    <t>COMPENS KG</t>
  </si>
  <si>
    <t>TOTAL RECEPCIÓN</t>
  </si>
  <si>
    <t>DYLAN TURNO NOCHE</t>
  </si>
  <si>
    <t>LUIS MORALES</t>
  </si>
  <si>
    <t xml:space="preserve">CAPACIDAD DEL PLAQUERO </t>
  </si>
  <si>
    <t>TN</t>
  </si>
  <si>
    <t>TOTAL DE BULTOS EMPAQUE TUNEL</t>
  </si>
  <si>
    <t>TOTAL DE BULTOS ENVASADO TUNEL</t>
  </si>
  <si>
    <t>ESTADO</t>
  </si>
  <si>
    <t>GLOBAL</t>
  </si>
  <si>
    <t>PESOS Y COLORES DE LAMINA PARA LINEAS DE ENVASADO</t>
  </si>
  <si>
    <t>TOP FOOD PERU</t>
  </si>
  <si>
    <t>PRODUCTOS</t>
  </si>
  <si>
    <t>P. NETO kg</t>
  </si>
  <si>
    <t>PLUS</t>
  </si>
  <si>
    <t>P. ENVASADO kg</t>
  </si>
  <si>
    <t>CODIGO DE PRODUCTO</t>
  </si>
  <si>
    <t>COLORES DE IDENTIFICACION PARA ENVASADO</t>
  </si>
  <si>
    <t>22-45/45-70</t>
  </si>
  <si>
    <t>ANILLAS BLANCAS MEDIANA</t>
  </si>
  <si>
    <t>BOTONES BLANCOS</t>
  </si>
  <si>
    <t>s/c</t>
  </si>
  <si>
    <t>BOTONES AMARILLOS</t>
  </si>
  <si>
    <t>CONOS</t>
  </si>
  <si>
    <t>100-500 gr/pz</t>
  </si>
  <si>
    <t>0.5-1.0 kg/pz</t>
  </si>
  <si>
    <t>1.0-2.0kg/pz</t>
  </si>
  <si>
    <t>2.0-4.0 PARTIDA</t>
  </si>
  <si>
    <t>ALETA PRECOCIDA</t>
  </si>
  <si>
    <t>300-UP gr/pz</t>
  </si>
  <si>
    <t>300-UP gr/pz PARTIDA</t>
  </si>
  <si>
    <t>TENTACULOS</t>
  </si>
  <si>
    <t>100-500gr/pz</t>
  </si>
  <si>
    <t>NARANJA (SUCIO)</t>
  </si>
  <si>
    <t>ROJO LIMPIO</t>
  </si>
  <si>
    <t>BLANCO SUCIO</t>
  </si>
  <si>
    <t>2.0-UP kg/pz</t>
  </si>
  <si>
    <t>REPRODUCTOR GRANDE</t>
  </si>
  <si>
    <t>&gt; 50 cm/pz</t>
  </si>
  <si>
    <t>REPRODUCTOR PEQUEÑO</t>
  </si>
  <si>
    <t>&lt; 50 cm/pz</t>
  </si>
  <si>
    <t>NUCAS C/C</t>
  </si>
  <si>
    <t>0-100gr/pz</t>
  </si>
  <si>
    <t>100-300 gr/pz</t>
  </si>
  <si>
    <t>300-500 gr/pz</t>
  </si>
  <si>
    <t>500-1000gr/pz</t>
  </si>
  <si>
    <t>1000-UP gr/pz</t>
  </si>
  <si>
    <t>MANTO CON MEMBRANA CON TEJILLA LP</t>
  </si>
  <si>
    <t>1.0-2.0 kg/pz</t>
  </si>
  <si>
    <t>2.0-4.0 kg/pz</t>
  </si>
  <si>
    <t>FILETE CON MEMBRANA CON TEJILLA LP</t>
  </si>
  <si>
    <t>2.0-4.0kg//pz</t>
  </si>
  <si>
    <t>FILETE SIN MEMBRANA SIN TEJILLA</t>
  </si>
  <si>
    <t>2.0-4.0gr/pz</t>
  </si>
  <si>
    <t>FILETE PRECOCIDO DARUMA</t>
  </si>
  <si>
    <t>RESUMEN DE COLORES</t>
  </si>
  <si>
    <t>Color</t>
  </si>
  <si>
    <t>Cantidad</t>
  </si>
  <si>
    <t>% del total</t>
  </si>
  <si>
    <t>TOTAL PRODUCTOS CON COLOR</t>
  </si>
  <si>
    <t>COLORES DISTINTOS</t>
  </si>
  <si>
    <t>TOTAL BANDEJAS</t>
  </si>
  <si>
    <t>TOTAL BULTOS</t>
  </si>
  <si>
    <t>RESUMEN RACKS R01 - R12</t>
  </si>
  <si>
    <t>REVISIÓN</t>
  </si>
  <si>
    <t>RESUMEN RACKS R1 - R19</t>
  </si>
  <si>
    <t>RESUMEN RACKS R1 - R22</t>
  </si>
  <si>
    <t>CUADRO RESUMEN - T6</t>
  </si>
  <si>
    <t>TOTAL
KG</t>
  </si>
  <si>
    <t>CUADRO RESUMEN - RES-EN</t>
  </si>
  <si>
    <t>SALDO 10 KG</t>
  </si>
  <si>
    <t>SALDO
10 KG</t>
  </si>
  <si>
    <t>SALDO</t>
  </si>
  <si>
    <t>TOTAL PRODUCTOS</t>
  </si>
  <si>
    <t>TÚNEL CON SALDO</t>
  </si>
  <si>
    <t>CUADRO RESUMEN - ENV. PLACAS</t>
  </si>
  <si>
    <t>Producto</t>
  </si>
  <si>
    <t>Band. Placas</t>
  </si>
  <si>
    <t>KG Placas</t>
  </si>
  <si>
    <t>KG Total</t>
  </si>
  <si>
    <t>KG Túnel</t>
  </si>
  <si>
    <t>Band. Túnel</t>
  </si>
  <si>
    <t>Bultos Placas</t>
  </si>
  <si>
    <t>Bultos Túnel</t>
  </si>
  <si>
    <t>Item</t>
  </si>
  <si>
    <t>Sacos Placas</t>
  </si>
  <si>
    <t>Sacos Túnel</t>
  </si>
  <si>
    <t>Sacos Total</t>
  </si>
  <si>
    <t>ENVASADO EN PLACAS</t>
  </si>
  <si>
    <t>ENVASADO EN TÚNEL</t>
  </si>
  <si>
    <t>TOTAL PROYECTADO</t>
  </si>
  <si>
    <t>PROYECTADO - COMPARATIVO DE ENVASADO PLACAS VS TÚNEL</t>
  </si>
  <si>
    <t>↓↓ ENCABEZADO DEL CUADRO ↓↓</t>
  </si>
  <si>
    <t>PRODUCTO / PLACAS / TÚNEL / TOTAL</t>
  </si>
  <si>
    <t>BAND. PLACAS</t>
  </si>
  <si>
    <t>KG PLACAS</t>
  </si>
  <si>
    <t>SACOS PLACAS</t>
  </si>
  <si>
    <t>BAND. TÚNEL</t>
  </si>
  <si>
    <t>KG TÚNEL</t>
  </si>
  <si>
    <t>SACOS TÚNEL</t>
  </si>
  <si>
    <t>KG TOTAL</t>
  </si>
  <si>
    <t>SACOS TOTAL</t>
  </si>
  <si>
    <t>KG POR SACO</t>
  </si>
  <si>
    <t>SALDO PLACAS KG</t>
  </si>
  <si>
    <t>SALDO TÚNEL KG</t>
  </si>
  <si>
    <t>ORIGEN SALDO</t>
  </si>
  <si>
    <t>SALDOS NO EMPACADOS</t>
  </si>
  <si>
    <t>TENTACULO C/B S/V SR 100-500 g/pza</t>
  </si>
  <si>
    <t>TENTACULO C/B C/V SR 500-1000 g/pza (SUCIO)</t>
  </si>
  <si>
    <t>total</t>
  </si>
  <si>
    <t>PRODUCTOS CON SALDO - DESDE ORIGEN</t>
  </si>
  <si>
    <t>UNIR SALDO ANTERIOR CON SALDO ACTUAL - SACOS POR PRODUCTO</t>
  </si>
  <si>
    <t>SALDO ACTUAL PLACAS KG</t>
  </si>
  <si>
    <t>SALDO ACTUAL TÚNEL KG</t>
  </si>
  <si>
    <t>SALDO ANTERIOR PLACAS KG</t>
  </si>
  <si>
    <t>SALDO ANTERIOR TÚNEL KG</t>
  </si>
  <si>
    <t>SACOS PRODUCCIÓN PLACAS</t>
  </si>
  <si>
    <t>SACOS PRODUCCIÓN TÚNEL</t>
  </si>
  <si>
    <t>SACOS EXTRA PLACAS</t>
  </si>
  <si>
    <t>RESTO FINAL PLACAS KG</t>
  </si>
  <si>
    <t>SACOS EXTRA TÚNEL</t>
  </si>
  <si>
    <t>RESTO FINAL TÚNEL KG</t>
  </si>
  <si>
    <t>TOTAL SACOS PLACAS</t>
  </si>
  <si>
    <t>TOTAL SACOS TÚNEL</t>
  </si>
  <si>
    <t>TOTAL SACOS PRODUCTO</t>
  </si>
  <si>
    <t>TOTAL SACOS TÚNEL Y PLACAS</t>
  </si>
  <si>
    <t xml:space="preserve">RESUMEN PROYECTADO </t>
  </si>
  <si>
    <t>N° 70</t>
  </si>
  <si>
    <t xml:space="preserve">RAFAEL </t>
  </si>
  <si>
    <t>MANTO</t>
  </si>
  <si>
    <t>P51</t>
  </si>
  <si>
    <t>P52</t>
  </si>
  <si>
    <t>TENTACULO C/B C/V SR 1.0-2.0 Kg/pza (SUCIO)</t>
  </si>
  <si>
    <t>LAMINADO:</t>
  </si>
  <si>
    <t>RATIO / OBS.</t>
  </si>
  <si>
    <t>T1</t>
  </si>
  <si>
    <t>T2</t>
  </si>
  <si>
    <t>T3</t>
  </si>
  <si>
    <t>T4</t>
  </si>
  <si>
    <t>T5</t>
  </si>
  <si>
    <t>T6</t>
  </si>
  <si>
    <t>100-500 g/pza (SUCIO)</t>
  </si>
  <si>
    <t xml:space="preserve">TABLA COMPARATIVA </t>
  </si>
  <si>
    <t>EMV-TUNEL</t>
  </si>
  <si>
    <t>EMV-PLACAS</t>
  </si>
  <si>
    <t>LLENADO POR RACK</t>
  </si>
  <si>
    <t>LLENADO (CUADRILLA)</t>
  </si>
  <si>
    <t>ANILLAS BLANCAS FINA</t>
  </si>
  <si>
    <t>RECORTE</t>
  </si>
  <si>
    <t>500-1000 g/pza (SUCIO)</t>
  </si>
  <si>
    <t>CONTROL - SOLO LLENADOS</t>
  </si>
  <si>
    <t>ENV TUNEL</t>
  </si>
  <si>
    <t>ENV PLACAS</t>
  </si>
  <si>
    <t>EMP TUNEL</t>
  </si>
  <si>
    <t>EMP PLACAS</t>
  </si>
  <si>
    <t>DIF TUNEL</t>
  </si>
  <si>
    <t>ESTADO TUNEL</t>
  </si>
  <si>
    <t>KG TUNEL</t>
  </si>
  <si>
    <t>DIF PLACA</t>
  </si>
  <si>
    <t>ESTADO PLACA</t>
  </si>
  <si>
    <t>KG PLACA</t>
  </si>
  <si>
    <t>TOTAL ENV</t>
  </si>
  <si>
    <t>TOTAL EMP</t>
  </si>
  <si>
    <t>CONTROL</t>
  </si>
  <si>
    <t>RESUMEN PALLETS P1 - P52</t>
  </si>
  <si>
    <t>MOTIVO QC</t>
  </si>
  <si>
    <t>POLANCO</t>
  </si>
  <si>
    <t>FILETE</t>
  </si>
  <si>
    <t xml:space="preserve">Sara Cori </t>
  </si>
  <si>
    <t xml:space="preserve">Milagros Cori </t>
  </si>
  <si>
    <t>RESUMEN RACKS R1 - R20</t>
  </si>
  <si>
    <t xml:space="preserve">HANOY </t>
  </si>
  <si>
    <t>CUADRILLAS</t>
  </si>
  <si>
    <t>P53</t>
  </si>
  <si>
    <t>P54</t>
  </si>
  <si>
    <t>P55</t>
  </si>
  <si>
    <t>P56</t>
  </si>
  <si>
    <t>P57</t>
  </si>
  <si>
    <t>P58</t>
  </si>
  <si>
    <t>P59</t>
  </si>
  <si>
    <t>P60</t>
  </si>
  <si>
    <t>P61</t>
  </si>
  <si>
    <t>P62</t>
  </si>
  <si>
    <t>P63</t>
  </si>
  <si>
    <t>P64</t>
  </si>
  <si>
    <t>P65</t>
  </si>
  <si>
    <t>P66</t>
  </si>
  <si>
    <t>CODIFICADO MANTO Y FILETE</t>
  </si>
  <si>
    <t>ANDRES</t>
  </si>
  <si>
    <t>MARILUZ</t>
  </si>
  <si>
    <t>VIERNES</t>
  </si>
  <si>
    <t>NOCHE</t>
  </si>
  <si>
    <t>TÚNEL</t>
  </si>
  <si>
    <t>ENVASADO POR TÚNEL</t>
  </si>
  <si>
    <t>FLOR</t>
  </si>
  <si>
    <t>CUADRO LLENADA POR TÚNEL</t>
  </si>
  <si>
    <t>BANDEJAS</t>
  </si>
  <si>
    <t>BULTOS</t>
  </si>
  <si>
    <t>ELIANA</t>
  </si>
  <si>
    <t>PALANCO</t>
  </si>
  <si>
    <t>Nota</t>
  </si>
  <si>
    <t>Las cantidades jalan de RES-EN; asigna la cuadrilla en V98:V103.</t>
  </si>
  <si>
    <t>RESUMEN RACKS R01 - R15</t>
  </si>
  <si>
    <t>P67</t>
  </si>
  <si>
    <t>P68</t>
  </si>
  <si>
    <t>P69</t>
  </si>
  <si>
    <t>P70</t>
  </si>
  <si>
    <t>P71</t>
  </si>
  <si>
    <t>P72</t>
  </si>
  <si>
    <t>P73</t>
  </si>
  <si>
    <t>P74</t>
  </si>
  <si>
    <t>P75</t>
  </si>
  <si>
    <t>P76</t>
  </si>
  <si>
    <t>P77</t>
  </si>
  <si>
    <t>SUPERVISOR LUIS MORALES (CUADRILLA MARILUZ)</t>
  </si>
  <si>
    <t>DANIEL VEGA (CUADRILLA HANNOY)</t>
  </si>
  <si>
    <t>CUADRO DE BANDEJAS POR CUADRILLA</t>
  </si>
  <si>
    <t>OBJETIVO KG</t>
  </si>
  <si>
    <t>FALTA / SOBRA</t>
  </si>
  <si>
    <t>LLENA SOLO BANDEJAS</t>
  </si>
  <si>
    <t>Celdas: F62:F69</t>
  </si>
  <si>
    <t>Celdas: I62:I69</t>
  </si>
  <si>
    <t xml:space="preserve">ANDRES </t>
  </si>
  <si>
    <t xml:space="preserve">FLOR </t>
  </si>
  <si>
    <t>Celdas: I62:J69</t>
  </si>
  <si>
    <t xml:space="preserve">PAGINA 1 </t>
  </si>
  <si>
    <t>PAGINA 2</t>
  </si>
  <si>
    <t>ERIKA</t>
  </si>
  <si>
    <t>Celdas: K61:P71</t>
  </si>
  <si>
    <t>PAGINA 1</t>
  </si>
  <si>
    <t>PAGINA 3</t>
  </si>
  <si>
    <t>PAGINA 4</t>
  </si>
  <si>
    <t>PAGINA 5</t>
  </si>
  <si>
    <t xml:space="preserve">PAGINA1 </t>
  </si>
  <si>
    <t>TUNEL  1</t>
  </si>
  <si>
    <t>TUNEL  2</t>
  </si>
  <si>
    <t>TUNEL  3</t>
  </si>
  <si>
    <t>TUNEL  4</t>
  </si>
  <si>
    <t>ESTA CORRECTO ESTO 02/06/2026</t>
  </si>
  <si>
    <t>ALENET</t>
  </si>
  <si>
    <t>TOTAL DE KG</t>
  </si>
  <si>
    <t>JUEVES</t>
  </si>
  <si>
    <t>1037PPE05062026</t>
  </si>
  <si>
    <t>1033PPF05062026</t>
  </si>
  <si>
    <t>PAGOS NUQUERAS</t>
  </si>
  <si>
    <t>NUQUERA</t>
  </si>
  <si>
    <t>MONTO S/.</t>
  </si>
  <si>
    <t>PAGO NUQUERA - PERCY</t>
  </si>
  <si>
    <t>LAMINADO 05/06/26</t>
  </si>
  <si>
    <t xml:space="preserve">PERCY </t>
  </si>
  <si>
    <t>1038PP06062026</t>
  </si>
  <si>
    <t>1038PPF06062026</t>
  </si>
  <si>
    <t>SUPERVISOR LUIS MORALES Y NANCY (CUADRILLA TOCTO</t>
  </si>
  <si>
    <t>M40-975</t>
  </si>
  <si>
    <t>LUIS MORALES / NANCY S.</t>
  </si>
  <si>
    <t>RECORTE DARUMA</t>
  </si>
  <si>
    <t>CTT</t>
  </si>
  <si>
    <t xml:space="preserve">LILA </t>
  </si>
  <si>
    <t>NO SE REALIZO ANILLAS</t>
  </si>
  <si>
    <t>PESOS DE PERFILADO (DARUMA)</t>
  </si>
  <si>
    <t>TUNEL 1 (SEGUNDA LLENADA)</t>
  </si>
  <si>
    <t>TUNEL 1 SEGUNDA LLENADA</t>
  </si>
  <si>
    <t>6.00 TN</t>
  </si>
  <si>
    <t>TUNEL 1 SEGUNDA</t>
  </si>
  <si>
    <t xml:space="preserve"> INGE CESAR (CUADRILLA RAFAEL TOCTO) </t>
  </si>
  <si>
    <t>WALLDO</t>
  </si>
  <si>
    <t>RESUMEN PALLETS P1 - P50</t>
  </si>
  <si>
    <t>COMPARACION ENVASADO-EMPAQUE</t>
  </si>
  <si>
    <t>ENV-PLA</t>
  </si>
  <si>
    <t>EMPA-PLA</t>
  </si>
  <si>
    <t>ENVA-TU</t>
  </si>
  <si>
    <t>EMPAQUE TUNEL</t>
  </si>
  <si>
    <t>10 kg lo realizó los supervisores</t>
  </si>
  <si>
    <t>BVM-831</t>
  </si>
  <si>
    <t>BLT-949</t>
  </si>
  <si>
    <t>BLZ-782</t>
  </si>
  <si>
    <t xml:space="preserve">Moraima Dioses </t>
  </si>
  <si>
    <t xml:space="preserve">Beatriz Vargas </t>
  </si>
  <si>
    <t xml:space="preserve">Angélica Sabino </t>
  </si>
  <si>
    <t xml:space="preserve">Aida Granizo </t>
  </si>
  <si>
    <t xml:space="preserve">Fiorella Morales </t>
  </si>
  <si>
    <t xml:space="preserve">Rosenda Alba </t>
  </si>
  <si>
    <t xml:space="preserve">José Sergey </t>
  </si>
  <si>
    <t xml:space="preserve">Yoselin Tejada </t>
  </si>
  <si>
    <t xml:space="preserve">Maryorix Rojas </t>
  </si>
  <si>
    <t xml:space="preserve">Génesis López </t>
  </si>
  <si>
    <t xml:space="preserve">Vicmary Flores </t>
  </si>
  <si>
    <t xml:space="preserve">Denisse Paredes </t>
  </si>
  <si>
    <t xml:space="preserve">Rosario Odicio </t>
  </si>
  <si>
    <t>1055PPF26062026</t>
  </si>
  <si>
    <t>N° 102</t>
  </si>
  <si>
    <t>TUNEL 2 SEGUNDA LLENADA</t>
  </si>
  <si>
    <t>TUNEL 3 SEGUNDA LLENADA</t>
  </si>
  <si>
    <t>TUNEL 4 SEGUNDA LLENADA</t>
  </si>
  <si>
    <t>TUNEL 5 SEGUNDA LLENADA</t>
  </si>
  <si>
    <t>TUNEL 6 SEGUNDA LLENADA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</si>
</sst>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4" formatCode="_-&quot;S/&quot;\ * #,##0.00_-;\-&quot;S/&quot;\ * #,##0.00_-;_-&quot;S/&quot;\ * &quot;-&quot;??_-;_-@_-"/>
    <numFmt numFmtId="43" formatCode="_-* #,##0.00_-;\-* #,##0.00_-;_-* &quot;-&quot;??_-;_-@_-"/>
    <numFmt numFmtId="164" formatCode="_ * #,##0.00_ ;_ * \-#,##0.00_ ;_ * &quot;-&quot;??_ ;_ @_ "/>
    <numFmt numFmtId="165" formatCode="0.0"/>
    <numFmt numFmtId="166" formatCode="0.0%"/>
    <numFmt numFmtId="167" formatCode="_-* #,##0.0_-;\-* #,##0.0_-;_-* &quot;-&quot;??_-;_-@_-"/>
    <numFmt numFmtId="168" formatCode="#,##0.0"/>
    <numFmt numFmtId="169" formatCode="_-* #,##0.0_-;\-* #,##0.0_-;_-* &quot;-&quot;?_-;_-@_-"/>
    <numFmt numFmtId="170" formatCode="_-* #,##0_-;\-* #,##0_-;_-* &quot;-&quot;??_-;_-@_-"/>
    <numFmt numFmtId="171" formatCode="_-&quot;S/&quot;\ * #,##0.0_-;\-&quot;S/&quot;\ * #,##0.0_-;_-&quot;S/&quot;\ * &quot;-&quot;??_-;_-@_-"/>
    <numFmt numFmtId="172" formatCode="#,##0.0;\-#,##0.0;"/>
    <numFmt numFmtId="173" formatCode="0;\-0;;@"/>
    <numFmt numFmtId="174" formatCode="m/d/yyyy"/>
    <numFmt numFmtId="175" formatCode="_(* #,##0.00_);_(* \(#,##0.00\);_(* &quot;-&quot;??_);_(@_)"/>
    <numFmt numFmtId="176" formatCode="0.000"/>
    <numFmt numFmtId="177" formatCode="0.0;\-0.0;;@"/>
    <numFmt numFmtId="178" formatCode="&quot;S/&quot;\ #,##0.00"/>
    <numFmt numFmtId="179" formatCode="0.00000"/>
    <numFmt numFmtId="180" formatCode="0E+00"/>
    <numFmt numFmtId="181" formatCode="0.0000"/>
  </numFmts>
  <fonts count="32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2060"/>
      <name val="Calibri"/>
      <family val="2"/>
    </font>
    <font>
      <sz val="18"/>
      <color rgb="FF002060"/>
      <name val="Calibri"/>
      <family val="2"/>
      <scheme val="minor"/>
    </font>
    <font>
      <b/>
      <sz val="36"/>
      <color rgb="FF002060"/>
      <name val="Calibri"/>
      <family val="2"/>
    </font>
    <font>
      <b/>
      <sz val="18"/>
      <color rgb="FF002060"/>
      <name val="Calibri"/>
      <family val="2"/>
      <scheme val="minor"/>
    </font>
    <font>
      <b/>
      <sz val="18"/>
      <color rgb="FF002060"/>
      <name val="Arial"/>
      <family val="2"/>
    </font>
    <font>
      <sz val="8"/>
      <name val="Calibri"/>
      <family val="2"/>
      <scheme val="minor"/>
    </font>
    <font>
      <b/>
      <sz val="16"/>
      <color rgb="FF002060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8"/>
      <name val="Calibri"/>
      <family val="2"/>
      <scheme val="minor"/>
    </font>
    <font>
      <sz val="18"/>
      <color rgb="FF002060"/>
      <name val="Calibri"/>
      <family val="2"/>
    </font>
    <font>
      <b/>
      <sz val="12"/>
      <color rgb="FF002060"/>
      <name val="Arial Narrow"/>
      <family val="2"/>
    </font>
    <font>
      <sz val="12"/>
      <color rgb="FF002060"/>
      <name val="Arial Narrow"/>
      <family val="2"/>
    </font>
    <font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0"/>
      <color theme="1"/>
      <name val="Arial"/>
      <family val="2"/>
    </font>
    <font>
      <b/>
      <sz val="12"/>
      <name val="Arial"/>
      <family val="2"/>
    </font>
    <font>
      <sz val="10"/>
      <color theme="0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name val="Calibri"/>
      <family val="2"/>
    </font>
    <font>
      <b/>
      <sz val="12"/>
      <color theme="1"/>
      <name val="Calibri"/>
      <family val="2"/>
      <scheme val="minor"/>
    </font>
    <font>
      <b/>
      <sz val="28"/>
      <color rgb="FF002060"/>
      <name val="Arial Black"/>
      <family val="2"/>
    </font>
    <font>
      <sz val="16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72"/>
      <color theme="1"/>
      <name val="Arial Narrow"/>
      <family val="2"/>
    </font>
    <font>
      <b/>
      <sz val="28"/>
      <color theme="1"/>
      <name val="Arial Narrow"/>
      <family val="2"/>
    </font>
    <font>
      <b/>
      <sz val="36"/>
      <color theme="1"/>
      <name val="Arial Narrow"/>
      <family val="2"/>
    </font>
    <font>
      <b/>
      <sz val="11"/>
      <color theme="1"/>
      <name val="Arial Narrow"/>
      <family val="2"/>
    </font>
    <font>
      <b/>
      <sz val="26"/>
      <color theme="1"/>
      <name val="Arial Narrow"/>
      <family val="2"/>
    </font>
    <font>
      <b/>
      <sz val="26"/>
      <color rgb="FF002060"/>
      <name val="Arial Narrow"/>
      <family val="2"/>
    </font>
    <font>
      <b/>
      <sz val="28"/>
      <color rgb="FF002060"/>
      <name val="Arial Narrow"/>
      <family val="2"/>
    </font>
    <font>
      <sz val="24"/>
      <color theme="1"/>
      <name val="Arial Narrow"/>
      <family val="2"/>
    </font>
    <font>
      <sz val="16"/>
      <color theme="1"/>
      <name val="Arial Narrow"/>
      <family val="2"/>
    </font>
    <font>
      <b/>
      <sz val="24"/>
      <color theme="1"/>
      <name val="Arial Narrow"/>
      <family val="2"/>
    </font>
    <font>
      <sz val="18"/>
      <color theme="1"/>
      <name val="Arial Narrow"/>
      <family val="2"/>
    </font>
    <font>
      <sz val="20"/>
      <color theme="1"/>
      <name val="Arial Narrow"/>
      <family val="2"/>
    </font>
    <font>
      <sz val="36"/>
      <color theme="1"/>
      <name val="Arial Narrow"/>
      <family val="2"/>
    </font>
    <font>
      <b/>
      <sz val="36"/>
      <color rgb="FF002060"/>
      <name val="Arial Narrow"/>
      <family val="2"/>
    </font>
    <font>
      <sz val="11"/>
      <name val="Arial Narrow"/>
      <family val="2"/>
    </font>
    <font>
      <b/>
      <sz val="12"/>
      <name val="Arial Narrow"/>
      <family val="2"/>
    </font>
    <font>
      <sz val="12"/>
      <name val="Arial Narrow"/>
      <family val="2"/>
    </font>
    <font>
      <b/>
      <sz val="14"/>
      <color rgb="FF002060"/>
      <name val="Arial Narrow"/>
      <family val="2"/>
    </font>
    <font>
      <b/>
      <sz val="14"/>
      <color rgb="FF002060"/>
      <name val="Calibri"/>
      <family val="2"/>
    </font>
    <font>
      <b/>
      <sz val="12"/>
      <color theme="1"/>
      <name val="Arial Narrow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24"/>
      <color rgb="FF000000"/>
      <name val="Arial"/>
      <family val="2"/>
    </font>
    <font>
      <sz val="12"/>
      <color theme="1"/>
      <name val="Arial"/>
      <family val="2"/>
    </font>
    <font>
      <b/>
      <sz val="12"/>
      <color rgb="FF000000"/>
      <name val="Arial"/>
      <family val="2"/>
    </font>
    <font>
      <sz val="10"/>
      <color theme="1"/>
      <name val="Arial Narrow"/>
      <family val="2"/>
    </font>
    <font>
      <b/>
      <sz val="12"/>
      <color theme="1"/>
      <name val="Arial"/>
      <family val="2"/>
    </font>
    <font>
      <sz val="11"/>
      <color theme="1"/>
      <name val="Arial Black"/>
      <family val="2"/>
    </font>
    <font>
      <b/>
      <sz val="11"/>
      <color rgb="FF002060"/>
      <name val="Arial Black"/>
      <family val="2"/>
    </font>
    <font>
      <b/>
      <sz val="10"/>
      <color rgb="FF002060"/>
      <name val="Arial Narrow"/>
      <family val="2"/>
    </font>
    <font>
      <sz val="28"/>
      <color theme="1"/>
      <name val="Arial Narrow"/>
      <family val="2"/>
    </font>
    <font>
      <sz val="22"/>
      <color theme="1"/>
      <name val="Arial Narrow"/>
      <family val="2"/>
    </font>
    <font>
      <sz val="30"/>
      <color theme="1"/>
      <name val="Arial Narrow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0"/>
      <color theme="3" tint="-0.499984740745262"/>
      <name val="Arial"/>
      <family val="2"/>
    </font>
    <font>
      <b/>
      <i/>
      <sz val="10"/>
      <color theme="3" tint="-0.499984740745262"/>
      <name val="Arial"/>
      <family val="2"/>
    </font>
    <font>
      <i/>
      <sz val="10"/>
      <color theme="3" tint="-0.499984740745262"/>
      <name val="Arial"/>
      <family val="2"/>
    </font>
    <font>
      <b/>
      <sz val="10"/>
      <name val="Arial"/>
      <family val="2"/>
    </font>
    <font>
      <b/>
      <i/>
      <sz val="10"/>
      <color indexed="8"/>
      <name val="Arial"/>
      <family val="2"/>
    </font>
    <font>
      <b/>
      <sz val="10"/>
      <color theme="0"/>
      <name val="Arial"/>
      <family val="2"/>
    </font>
    <font>
      <b/>
      <sz val="9"/>
      <color theme="3" tint="-0.499984740745262"/>
      <name val="Arial"/>
      <family val="2"/>
    </font>
    <font>
      <sz val="9"/>
      <color theme="3" tint="-0.499984740745262"/>
      <name val="Arial"/>
      <family val="2"/>
    </font>
    <font>
      <b/>
      <sz val="9"/>
      <color theme="0"/>
      <name val="Arial"/>
      <family val="2"/>
    </font>
    <font>
      <u/>
      <sz val="11"/>
      <color theme="3" tint="-0.499984740745262"/>
      <name val="Calibri"/>
      <family val="2"/>
      <scheme val="minor"/>
    </font>
    <font>
      <u/>
      <sz val="9"/>
      <color theme="3" tint="-0.499984740745262"/>
      <name val="Arial"/>
      <family val="2"/>
    </font>
    <font>
      <b/>
      <sz val="18"/>
      <color rgb="FF000000"/>
      <name val="Calibri"/>
      <family val="2"/>
      <scheme val="minor"/>
    </font>
    <font>
      <b/>
      <sz val="11"/>
      <color theme="0"/>
      <name val="Arial"/>
      <family val="2"/>
    </font>
    <font>
      <b/>
      <sz val="10"/>
      <color theme="1"/>
      <name val="Arial"/>
      <family val="2"/>
    </font>
    <font>
      <b/>
      <sz val="18"/>
      <color theme="1"/>
      <name val="Arial"/>
      <family val="2"/>
    </font>
    <font>
      <b/>
      <sz val="16"/>
      <color rgb="FF002060"/>
      <name val="Arial Narrow"/>
      <family val="2"/>
    </font>
    <font>
      <sz val="18"/>
      <color rgb="FF002060"/>
      <name val="Arial Narrow"/>
      <family val="2"/>
    </font>
    <font>
      <sz val="20"/>
      <color theme="1"/>
      <name val="Calibri"/>
      <family val="2"/>
      <scheme val="minor"/>
    </font>
    <font>
      <sz val="11"/>
      <name val="Calibri"/>
      <family val="1"/>
    </font>
    <font>
      <b/>
      <sz val="36"/>
      <color rgb="FF000000"/>
      <name val="Arial Narrow"/>
      <family val="2"/>
    </font>
    <font>
      <sz val="11"/>
      <color rgb="FF000000"/>
      <name val="Calibri"/>
      <family val="1"/>
    </font>
    <font>
      <u/>
      <sz val="11"/>
      <color rgb="FF0463C1"/>
      <name val="Calibri"/>
      <family val="1"/>
    </font>
    <font>
      <b/>
      <sz val="36"/>
      <name val="Arial Narrow"/>
      <family val="2"/>
    </font>
    <font>
      <b/>
      <sz val="48"/>
      <color theme="1"/>
      <name val="Arial Narrow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36"/>
      <color rgb="FF000000"/>
      <name val="Arial Narrow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  <font>
      <u/>
      <sz val="11"/>
      <color rgb="FF0463C1"/>
      <name val="Calibri"/>
      <family val="2"/>
    </font>
    <font>
      <b/>
      <sz val="36"/>
      <color rgb="FF000000"/>
      <name val="Arial Narrow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rgb="FF0463C1"/>
      <name val="Calibri"/>
      <family val="2"/>
    </font>
    <font>
      <b/>
      <sz val="40"/>
      <name val="Arial Black"/>
      <family val="2"/>
    </font>
    <font>
      <b/>
      <sz val="36"/>
      <name val="Arial Black"/>
      <family val="2"/>
    </font>
    <font>
      <b/>
      <sz val="12"/>
      <name val="Arial Black"/>
      <family val="2"/>
    </font>
    <font>
      <b/>
      <sz val="10"/>
      <name val="Arial Black"/>
      <family val="2"/>
    </font>
    <font>
      <b/>
      <sz val="18"/>
      <name val="Arial Black"/>
      <family val="2"/>
    </font>
    <font>
      <b/>
      <sz val="14"/>
      <name val="Arial Black"/>
      <family val="2"/>
    </font>
    <font>
      <sz val="14"/>
      <name val="Arial Black"/>
      <family val="2"/>
    </font>
    <font>
      <sz val="14"/>
      <name val="Carlito"/>
    </font>
    <font>
      <sz val="11"/>
      <name val="Arial"/>
      <family val="2"/>
    </font>
    <font>
      <sz val="11"/>
      <color rgb="FFFFFFFF"/>
      <name val="Calibri"/>
      <family val="2"/>
      <scheme val="minor"/>
    </font>
    <font>
      <sz val="11"/>
      <color rgb="FFFFFFFF"/>
      <name val="Arial Narrow"/>
      <family val="2"/>
    </font>
    <font>
      <b/>
      <sz val="10"/>
      <color rgb="FF002060"/>
      <name val="Arial Black"/>
      <family val="2"/>
    </font>
    <font>
      <b/>
      <sz val="22"/>
      <color rgb="FF002060"/>
      <name val="Arial Black"/>
      <family val="2"/>
    </font>
    <font>
      <b/>
      <sz val="11"/>
      <name val="Arial Black"/>
      <family val="2"/>
    </font>
    <font>
      <u/>
      <sz val="11"/>
      <color rgb="FF0563C1"/>
      <name val="Calibri"/>
      <family val="1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b/>
      <sz val="36"/>
      <color rgb="FF000000"/>
      <name val="Arial Narrow"/>
      <family val="2"/>
    </font>
    <font>
      <sz val="11"/>
      <color rgb="FF000000"/>
      <name val="Calibri"/>
      <family val="2"/>
    </font>
    <font>
      <u/>
      <sz val="11"/>
      <color rgb="FF0463C1"/>
      <name val="Calibri"/>
      <family val="2"/>
    </font>
    <font>
      <b/>
      <sz val="12"/>
      <color rgb="FF002060"/>
      <name val="Arial Black"/>
      <family val="2"/>
    </font>
    <font>
      <b/>
      <sz val="14"/>
      <color rgb="FF002060"/>
      <name val="Arial Black"/>
      <family val="2"/>
    </font>
    <font>
      <sz val="12"/>
      <color rgb="FF002060"/>
      <name val="Arial Black"/>
      <family val="2"/>
    </font>
    <font>
      <sz val="18"/>
      <color rgb="FF002060"/>
      <name val="Arial Black"/>
      <family val="2"/>
    </font>
    <font>
      <sz val="11"/>
      <color rgb="FFFF0000"/>
      <name val="Calibri"/>
      <family val="2"/>
      <scheme val="minor"/>
    </font>
    <font>
      <sz val="16"/>
      <color rgb="FF002060"/>
      <name val="Arial Narrow"/>
      <family val="2"/>
    </font>
    <font>
      <sz val="11"/>
      <color rgb="FFFF0000"/>
      <name val="Arial"/>
      <family val="2"/>
    </font>
    <font>
      <sz val="11"/>
      <color rgb="FFFF0000"/>
      <name val="Arial Narrow"/>
      <family val="2"/>
    </font>
    <font>
      <sz val="9"/>
      <color rgb="FFFF0000"/>
      <name val="Arial"/>
      <family val="2"/>
    </font>
    <font>
      <sz val="10"/>
      <color rgb="FFFF0000"/>
      <name val="Arial"/>
      <family val="2"/>
    </font>
    <font>
      <b/>
      <sz val="12"/>
      <color rgb="FFFF0000"/>
      <name val="Arial Narrow"/>
      <family val="2"/>
    </font>
    <font>
      <sz val="12"/>
      <color rgb="FFFF0000"/>
      <name val="Arial"/>
      <family val="2"/>
    </font>
    <font>
      <b/>
      <sz val="18"/>
      <color rgb="FFFF0000"/>
      <name val="Calibri"/>
      <family val="2"/>
      <scheme val="minor"/>
    </font>
    <font>
      <b/>
      <sz val="18"/>
      <color rgb="FFFF0000"/>
      <name val="Arial"/>
      <family val="2"/>
    </font>
    <font>
      <b/>
      <sz val="14"/>
      <color theme="1"/>
      <name val="Arial Black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name val="Arial"/>
      <family val="2"/>
    </font>
    <font>
      <b/>
      <sz val="14"/>
      <name val="Arial"/>
      <family val="2"/>
    </font>
    <font>
      <sz val="14"/>
      <color theme="1"/>
      <name val="Arial"/>
      <family val="2"/>
    </font>
    <font>
      <b/>
      <sz val="14"/>
      <name val="Arial Narrow"/>
      <family val="2"/>
    </font>
    <font>
      <b/>
      <sz val="14"/>
      <color theme="1"/>
      <name val="Arial"/>
      <family val="2"/>
    </font>
    <font>
      <sz val="14"/>
      <color rgb="FFFFFFFF"/>
      <name val="Arial"/>
      <family val="2"/>
    </font>
    <font>
      <b/>
      <sz val="24"/>
      <name val="Arial Black"/>
      <family val="2"/>
    </font>
    <font>
      <sz val="36"/>
      <name val="Arial Black"/>
      <family val="2"/>
    </font>
    <font>
      <b/>
      <sz val="7"/>
      <color rgb="FF002060"/>
      <name val="Arial Narrow"/>
      <family val="2"/>
    </font>
    <font>
      <b/>
      <sz val="11"/>
      <color theme="0"/>
      <name val="Arial Black"/>
      <family val="2"/>
    </font>
    <font>
      <sz val="11"/>
      <color theme="1"/>
      <name val="Calibri"/>
      <family val="2"/>
      <scheme val="minor"/>
    </font>
    <font>
      <b/>
      <sz val="22"/>
      <color theme="1"/>
      <name val="Arial Narrow"/>
      <family val="2"/>
    </font>
    <font>
      <sz val="46"/>
      <color theme="1"/>
      <name val="Arial Narrow"/>
      <family val="2"/>
    </font>
    <font>
      <sz val="32"/>
      <color theme="1"/>
      <name val="Arial Narrow"/>
      <family val="2"/>
    </font>
    <font>
      <sz val="42"/>
      <color theme="1"/>
      <name val="Arial Narrow"/>
      <family val="2"/>
    </font>
    <font>
      <sz val="45"/>
      <color theme="1"/>
      <name val="Arial Narrow"/>
      <family val="2"/>
    </font>
    <font>
      <b/>
      <sz val="36"/>
      <color theme="1"/>
      <name val="Arial Narrow"/>
      <family val="2"/>
    </font>
    <font>
      <b/>
      <sz val="12"/>
      <color theme="1"/>
      <name val="Arial Black"/>
      <family val="2"/>
    </font>
    <font>
      <sz val="20"/>
      <color rgb="FF002060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0"/>
      <color rgb="FF002060"/>
      <name val="Arial Narrow"/>
      <family val="2"/>
    </font>
    <font>
      <sz val="11"/>
      <color rgb="FF002060"/>
      <name val="Arial Black"/>
      <family val="2"/>
    </font>
    <font>
      <sz val="11"/>
      <name val="Arial Black"/>
      <family val="2"/>
    </font>
    <font>
      <b/>
      <sz val="14"/>
      <color rgb="FFFFFFFF"/>
      <name val="Arial "/>
    </font>
    <font>
      <b/>
      <sz val="9"/>
      <color rgb="FFFFFFFF"/>
      <name val="Arial "/>
    </font>
    <font>
      <b/>
      <sz val="7"/>
      <color rgb="FFFFFFFF"/>
      <name val="Arial "/>
    </font>
    <font>
      <b/>
      <sz val="8"/>
      <color rgb="FFFFFFFF"/>
      <name val="Arial "/>
    </font>
    <font>
      <b/>
      <sz val="8"/>
      <color theme="1"/>
      <name val="Arial "/>
    </font>
    <font>
      <b/>
      <sz val="8"/>
      <color rgb="FF000000"/>
      <name val="Arial "/>
    </font>
    <font>
      <b/>
      <sz val="9"/>
      <color rgb="FFFFFFFF"/>
      <name val="Calibri"/>
      <family val="2"/>
      <scheme val="minor"/>
    </font>
    <font>
      <b/>
      <sz val="22"/>
      <color rgb="FFFF0000"/>
      <name val="Arial Narrow"/>
      <family val="2"/>
    </font>
    <font>
      <b/>
      <sz val="12"/>
      <color rgb="FFFFFFFF"/>
      <name val="Arial Narrow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4"/>
      <color rgb="FFFFFFFF"/>
      <name val="Arial Narrow"/>
      <family val="2"/>
    </font>
    <font>
      <b/>
      <sz val="24"/>
      <color rgb="FF000000"/>
      <name val="Arial Narrow"/>
      <family val="2"/>
    </font>
    <font>
      <sz val="24"/>
      <color rgb="FF000000"/>
      <name val="Arial Narrow"/>
      <family val="2"/>
    </font>
    <font>
      <sz val="24"/>
      <color rgb="FFC00000"/>
      <name val="Arial Narrow"/>
      <family val="2"/>
    </font>
    <font>
      <b/>
      <sz val="72"/>
      <color theme="0"/>
      <name val="Arial Narrow"/>
      <family val="2"/>
    </font>
    <font>
      <b/>
      <sz val="42"/>
      <color theme="0"/>
      <name val="Arial Narrow"/>
      <family val="2"/>
    </font>
    <font>
      <sz val="42"/>
      <color theme="0"/>
      <name val="Arial Narrow"/>
      <family val="2"/>
    </font>
    <font>
      <sz val="11"/>
      <color theme="0"/>
      <name val="Arial Narrow"/>
      <family val="2"/>
    </font>
    <font>
      <b/>
      <sz val="28"/>
      <color theme="0"/>
      <name val="Arial Narrow"/>
      <family val="2"/>
    </font>
    <font>
      <sz val="28"/>
      <color theme="0"/>
      <name val="Arial Narrow"/>
      <family val="2"/>
    </font>
    <font>
      <b/>
      <sz val="14"/>
      <color rgb="FFFFFFFF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b/>
      <sz val="24"/>
      <color theme="1"/>
      <name val="Calibri"/>
      <family val="2"/>
      <scheme val="minor"/>
    </font>
    <font>
      <sz val="12"/>
      <color rgb="FF000000"/>
      <name val="Arial Black"/>
      <family val="2"/>
    </font>
    <font>
      <sz val="12"/>
      <color theme="1"/>
      <name val="Arial Black"/>
      <family val="2"/>
    </font>
    <font>
      <sz val="72"/>
      <color theme="1"/>
      <name val="Arial Narrow"/>
      <family val="2"/>
    </font>
    <font>
      <sz val="25"/>
      <color theme="1"/>
      <name val="Arial Narrow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26"/>
      <color rgb="FFFFFFFF"/>
      <name val="Arial Narrow"/>
      <family val="2"/>
    </font>
    <font>
      <sz val="26"/>
      <color rgb="FF000000"/>
      <name val="Arial Narrow"/>
      <family val="2"/>
    </font>
    <font>
      <b/>
      <sz val="11"/>
      <color rgb="FFFFFFFF"/>
      <name val="Arial Black"/>
      <family val="2"/>
    </font>
    <font>
      <sz val="10"/>
      <color rgb="FF000000"/>
      <name val="Arial Black"/>
      <family val="2"/>
    </font>
    <font>
      <b/>
      <sz val="9"/>
      <color rgb="FFC00000"/>
      <name val="Arial Black"/>
      <family val="2"/>
    </font>
    <font>
      <b/>
      <sz val="9"/>
      <color theme="1"/>
      <name val="Arial Black"/>
      <family val="2"/>
    </font>
    <font>
      <b/>
      <sz val="9"/>
      <color rgb="FFFFFFFF"/>
      <name val="Arial Black"/>
      <family val="2"/>
    </font>
    <font>
      <b/>
      <sz val="48"/>
      <color theme="1"/>
      <name val="Calibri"/>
      <family val="2"/>
    </font>
    <font>
      <b/>
      <sz val="18"/>
      <color theme="0"/>
      <name val="Calibri"/>
      <family val="2"/>
    </font>
    <font>
      <sz val="18"/>
      <color theme="0"/>
      <name val="Calibri"/>
      <family val="2"/>
      <scheme val="minor"/>
    </font>
    <font>
      <b/>
      <sz val="22"/>
      <color rgb="FFFFFFFF"/>
      <name val="Arial Black"/>
      <family val="2"/>
    </font>
    <font>
      <b/>
      <sz val="14"/>
      <color theme="0"/>
      <name val="Arial Black"/>
      <family val="2"/>
    </font>
    <font>
      <b/>
      <sz val="12"/>
      <color theme="0"/>
      <name val="Arial Black"/>
      <family val="2"/>
    </font>
    <font>
      <sz val="12"/>
      <color theme="0"/>
      <name val="Arial Black"/>
      <family val="2"/>
    </font>
    <font>
      <b/>
      <sz val="16"/>
      <color rgb="FFFFFFFF"/>
      <name val="Arial Black"/>
      <family val="2"/>
    </font>
    <font>
      <b/>
      <sz val="16"/>
      <color rgb="FF000000"/>
      <name val="Arial Black"/>
      <family val="2"/>
    </font>
    <font>
      <sz val="16"/>
      <color theme="1"/>
      <name val="Arial Black"/>
      <family val="2"/>
    </font>
    <font>
      <sz val="16"/>
      <color rgb="FF000000"/>
      <name val="Arial Black"/>
      <family val="2"/>
    </font>
    <font>
      <b/>
      <sz val="16"/>
      <color theme="1"/>
      <name val="Arial Black"/>
      <family val="2"/>
    </font>
    <font>
      <b/>
      <sz val="36"/>
      <color rgb="FFFFFFFF"/>
      <name val="Arial Narrow"/>
      <family val="2"/>
    </font>
    <font>
      <sz val="26"/>
      <color theme="1"/>
      <name val="Arial Narrow"/>
      <family val="2"/>
    </font>
    <font>
      <sz val="36"/>
      <color theme="0"/>
      <name val="Arial Narrow"/>
      <family val="2"/>
    </font>
    <font>
      <sz val="12"/>
      <color rgb="FF222222"/>
      <name val="Arial Narrow"/>
      <family val="2"/>
    </font>
    <font>
      <b/>
      <sz val="12"/>
      <color rgb="FF222222"/>
      <name val="Arial Narrow"/>
      <family val="2"/>
    </font>
    <font>
      <b/>
      <sz val="12"/>
      <color rgb="FFFFFFFF"/>
      <name val="Calibri"/>
      <family val="2"/>
      <scheme val="minor"/>
    </font>
    <font>
      <b/>
      <sz val="36"/>
      <color rgb="FF0070C0"/>
      <name val="Arial Narrow"/>
      <family val="2"/>
    </font>
    <font>
      <b/>
      <sz val="11"/>
      <color theme="0"/>
      <name val="Arial Narrow"/>
      <family val="2"/>
    </font>
    <font>
      <b/>
      <sz val="8"/>
      <color theme="1"/>
      <name val="Arial"/>
      <family val="2"/>
    </font>
    <font>
      <b/>
      <sz val="8"/>
      <color rgb="FF000000"/>
      <name val="Arial"/>
      <family val="2"/>
    </font>
    <font>
      <b/>
      <sz val="8"/>
      <color rgb="FFFFFFFF"/>
      <name val="Arial"/>
      <family val="2"/>
    </font>
    <font>
      <sz val="16"/>
      <color rgb="FF000000"/>
      <name val="Calibri"/>
      <family val="2"/>
      <scheme val="minor"/>
    </font>
    <font>
      <b/>
      <sz val="12"/>
      <color rgb="FF006100"/>
      <name val="Arial Narrow"/>
      <family val="2"/>
    </font>
    <font>
      <b/>
      <sz val="12"/>
      <color rgb="FF9C6500"/>
      <name val="Arial Narrow"/>
      <family val="2"/>
    </font>
    <font>
      <b/>
      <sz val="24"/>
      <color rgb="FFFFFFFF"/>
      <name val="Arial Black"/>
      <family val="2"/>
    </font>
    <font>
      <b/>
      <sz val="24"/>
      <color theme="1"/>
      <name val="Arial Black"/>
      <family val="2"/>
    </font>
    <font>
      <sz val="24"/>
      <color theme="1"/>
      <name val="Arial Black"/>
      <family val="2"/>
    </font>
    <font>
      <b/>
      <sz val="22"/>
      <color theme="1"/>
      <name val="Arial Black"/>
      <family val="2"/>
    </font>
    <font>
      <sz val="22"/>
      <color theme="1"/>
      <name val="Arial Black"/>
      <family val="2"/>
    </font>
    <font>
      <sz val="24"/>
      <color rgb="FF000000"/>
      <name val="Arial Black"/>
      <family val="2"/>
    </font>
    <font>
      <sz val="16"/>
      <color rgb="FF002060"/>
      <name val="Calibri"/>
      <family val="2"/>
    </font>
    <font>
      <sz val="16"/>
      <color theme="1"/>
      <name val="Calibri"/>
      <family val="2"/>
    </font>
    <font>
      <sz val="16"/>
      <color rgb="FF000000"/>
      <name val="Calibri"/>
      <family val="2"/>
    </font>
    <font>
      <sz val="16"/>
      <color rgb="FF003399"/>
      <name val="Calibri"/>
      <family val="2"/>
    </font>
    <font>
      <b/>
      <sz val="16"/>
      <color rgb="FF003399"/>
      <name val="Calibri"/>
      <family val="2"/>
    </font>
    <font>
      <b/>
      <sz val="16"/>
      <color rgb="FF000000"/>
      <name val="Calibri"/>
      <family val="2"/>
    </font>
    <font>
      <b/>
      <sz val="72"/>
      <color theme="1"/>
      <name val="Arial Black"/>
      <family val="2"/>
    </font>
    <font>
      <b/>
      <sz val="36"/>
      <color theme="1"/>
      <name val="Arial Black"/>
      <family val="2"/>
    </font>
    <font>
      <sz val="14"/>
      <color rgb="FFFFFFFF"/>
      <name val="Arial Black"/>
      <family val="2"/>
    </font>
    <font>
      <sz val="16"/>
      <color rgb="FF002060"/>
      <name val="Arial Black"/>
      <family val="2"/>
    </font>
    <font>
      <sz val="26"/>
      <color theme="1"/>
      <name val="Calibri"/>
      <family val="2"/>
      <scheme val="minor"/>
    </font>
    <font>
      <b/>
      <sz val="18"/>
      <color rgb="FF000000"/>
      <name val="Calibri"/>
      <family val="2"/>
    </font>
    <font>
      <sz val="26"/>
      <color theme="0"/>
      <name val="Arial Narrow"/>
      <family val="2"/>
    </font>
    <font>
      <sz val="26"/>
      <color theme="1"/>
      <name val="Arial Black"/>
      <family val="2"/>
    </font>
    <font>
      <sz val="72"/>
      <color theme="1"/>
      <name val="Calibri"/>
      <family val="2"/>
      <scheme val="minor"/>
    </font>
    <font>
      <sz val="14"/>
      <color rgb="FFFF0000"/>
      <name val="Arial"/>
      <family val="2"/>
    </font>
    <font>
      <sz val="48"/>
      <color theme="1"/>
      <name val="Arial Narrow"/>
      <family val="2"/>
    </font>
    <font>
      <b/>
      <sz val="12"/>
      <color rgb="FF002060"/>
      <name val="Arial Narrow"/>
      <family val="2"/>
    </font>
    <font>
      <sz val="12"/>
      <color rgb="FF002060"/>
      <name val="Arial Narrow"/>
      <family val="2"/>
    </font>
    <font>
      <sz val="12"/>
      <color theme="1"/>
      <name val="Arial Narrow"/>
      <family val="2"/>
    </font>
    <font>
      <b/>
      <sz val="12"/>
      <color rgb="FF0070C0"/>
      <name val="Arial Narrow"/>
      <family val="2"/>
    </font>
    <font>
      <b/>
      <sz val="28"/>
      <color rgb="FF000000"/>
      <name val="Arial Narrow"/>
      <family val="2"/>
    </font>
    <font>
      <b/>
      <sz val="28"/>
      <color rgb="FF000000"/>
      <name val="Arial Black"/>
      <family val="2"/>
    </font>
    <font>
      <b/>
      <i/>
      <sz val="12"/>
      <color rgb="FF666666"/>
      <name val="Arial Narrow"/>
      <family val="2"/>
    </font>
    <font>
      <sz val="11"/>
      <color rgb="FF0070C0"/>
      <name val="Calibri"/>
      <family val="2"/>
      <scheme val="minor"/>
    </font>
    <font>
      <b/>
      <sz val="11"/>
      <color rgb="FF002060"/>
      <name val="Arial Narrow"/>
      <family val="2"/>
    </font>
    <font>
      <b/>
      <sz val="24"/>
      <color rgb="FF002060"/>
      <name val="Arial Narrow"/>
      <family val="2"/>
    </font>
    <font>
      <b/>
      <sz val="20"/>
      <color theme="1"/>
      <name val="Arial Narrow"/>
      <family val="2"/>
    </font>
    <font>
      <b/>
      <sz val="16"/>
      <color theme="1"/>
      <name val="Arial Narrow"/>
      <family val="2"/>
    </font>
    <font>
      <b/>
      <sz val="20"/>
      <color rgb="FFFFFFFF"/>
      <name val="Arial Narrow"/>
      <family val="2"/>
    </font>
    <font>
      <b/>
      <sz val="20"/>
      <color rgb="FF000000"/>
      <name val="Arial Narrow"/>
      <family val="2"/>
    </font>
    <font>
      <sz val="48"/>
      <color theme="1"/>
      <name val="Calibri"/>
      <family val="2"/>
      <scheme val="minor"/>
    </font>
    <font>
      <b/>
      <sz val="18"/>
      <color theme="1"/>
      <name val="Calibri"/>
      <family val="2"/>
    </font>
    <font>
      <b/>
      <sz val="20"/>
      <color rgb="FF002060"/>
      <name val="Calibri"/>
      <family val="2"/>
    </font>
    <font>
      <b/>
      <sz val="11"/>
      <color rgb="FFC00000"/>
      <name val="Calibri"/>
      <family val="2"/>
      <scheme val="minor"/>
    </font>
    <font>
      <b/>
      <sz val="11"/>
      <name val="Arial Narrow"/>
      <family val="2"/>
    </font>
    <font>
      <b/>
      <sz val="11"/>
      <color rgb="FFFFFFFF"/>
      <name val="Arial Narrow"/>
      <family val="2"/>
    </font>
    <font>
      <b/>
      <sz val="16"/>
      <color theme="0" tint="-4.9989318521683403E-2"/>
      <name val="Arial Black"/>
      <family val="2"/>
    </font>
    <font>
      <b/>
      <sz val="11"/>
      <color rgb="FF0070C0"/>
      <name val="Calibri"/>
      <family val="2"/>
      <scheme val="minor"/>
    </font>
    <font>
      <b/>
      <sz val="10"/>
      <color rgb="FF375623"/>
      <name val="Calibri"/>
      <family val="2"/>
      <scheme val="minor"/>
    </font>
    <font>
      <b/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b/>
      <sz val="11"/>
      <color rgb="FF274E13"/>
      <name val="Arial Narrow"/>
      <family val="2"/>
    </font>
    <font>
      <sz val="11"/>
      <color rgb="FF274E13"/>
      <name val="Arial Narrow"/>
      <family val="2"/>
    </font>
    <font>
      <sz val="36"/>
      <color theme="1"/>
      <name val="Arial Black"/>
      <family val="2"/>
    </font>
    <font>
      <sz val="36"/>
      <color theme="1"/>
      <name val="Calibri"/>
      <family val="2"/>
      <scheme val="minor"/>
    </font>
    <font>
      <sz val="36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72"/>
      <color theme="0"/>
      <name val="Arial Narrow"/>
      <family val="2"/>
    </font>
    <font>
      <b/>
      <sz val="9"/>
      <color rgb="FF002060"/>
      <name val="Arial Narrow"/>
      <family val="2"/>
    </font>
    <font>
      <b/>
      <sz val="18"/>
      <color rgb="FF008000"/>
      <name val="Calibri"/>
      <family val="2"/>
    </font>
    <font>
      <sz val="18"/>
      <color rgb="FF008000"/>
      <name val="Calibri"/>
      <family val="2"/>
    </font>
    <font>
      <b/>
      <sz val="16"/>
      <color rgb="FF008000"/>
      <name val="Calibri"/>
      <family val="2"/>
      <scheme val="minor"/>
    </font>
    <font>
      <sz val="16"/>
      <color rgb="FF00800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002060"/>
      <name val="Arial Narrow"/>
      <family val="2"/>
    </font>
    <font>
      <sz val="12"/>
      <color rgb="FF002060"/>
      <name val="Arial Narrow"/>
      <family val="2"/>
    </font>
    <font>
      <sz val="11"/>
      <color rgb="FF000000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8"/>
      <color rgb="FF002060"/>
      <name val="Arial Narrow"/>
      <family val="2"/>
    </font>
    <font>
      <sz val="18"/>
      <color theme="1"/>
      <name val="Calibri"/>
      <family val="2"/>
      <scheme val="minor"/>
    </font>
    <font>
      <sz val="11"/>
      <color rgb="FF0070C0"/>
      <name val="Arial Narrow"/>
      <family val="2"/>
    </font>
    <font>
      <sz val="20"/>
      <color theme="0"/>
      <name val="Arial Narrow"/>
      <family val="2"/>
    </font>
    <font>
      <sz val="24"/>
      <color theme="0"/>
      <name val="Arial Narrow"/>
      <family val="2"/>
    </font>
    <font>
      <b/>
      <sz val="36"/>
      <color theme="0"/>
      <name val="Arial Narrow"/>
      <family val="2"/>
    </font>
    <font>
      <sz val="16"/>
      <color theme="0"/>
      <name val="Arial Narrow"/>
      <family val="2"/>
    </font>
    <font>
      <b/>
      <sz val="24"/>
      <color theme="0"/>
      <name val="Arial Narrow"/>
      <family val="2"/>
    </font>
    <font>
      <sz val="18"/>
      <color theme="0"/>
      <name val="Arial Narrow"/>
      <family val="2"/>
    </font>
    <font>
      <sz val="16"/>
      <color theme="0"/>
      <name val="Calibri"/>
      <family val="2"/>
    </font>
    <font>
      <b/>
      <sz val="16"/>
      <color theme="0"/>
      <name val="Calibri"/>
      <family val="2"/>
    </font>
    <font>
      <sz val="48"/>
      <color theme="0"/>
      <name val="Calibri"/>
      <family val="2"/>
      <scheme val="minor"/>
    </font>
    <font>
      <b/>
      <sz val="9"/>
      <color theme="1"/>
      <name val="Arial Narrow"/>
      <family val="2"/>
    </font>
    <font>
      <b/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rgb="FFFF0000"/>
      <name val="Arial Black"/>
      <family val="2"/>
    </font>
    <font>
      <sz val="11"/>
      <color rgb="FF002060"/>
      <name val="Arial "/>
    </font>
    <font>
      <sz val="22"/>
      <color theme="1"/>
      <name val="Calibri"/>
      <family val="2"/>
      <scheme val="minor"/>
    </font>
    <font>
      <sz val="16"/>
      <name val="Arial Narrow"/>
      <family val="2"/>
    </font>
    <font>
      <b/>
      <sz val="36"/>
      <color rgb="FF000000"/>
      <name val="Aptos Narrow"/>
      <family val="2"/>
    </font>
    <font>
      <b/>
      <sz val="16"/>
      <color rgb="FF000000"/>
      <name val="Arial Narrow"/>
      <family val="2"/>
    </font>
    <font>
      <sz val="16"/>
      <color rgb="FF000000"/>
      <name val="Arial Narrow"/>
      <family val="2"/>
    </font>
    <font>
      <sz val="16"/>
      <color rgb="FFFFFFFF"/>
      <name val="Arial Narrow"/>
      <family val="2"/>
    </font>
    <font>
      <sz val="20"/>
      <color theme="1"/>
      <name val="Arial Black"/>
      <family val="2"/>
    </font>
    <font>
      <b/>
      <sz val="20"/>
      <color rgb="FF002060"/>
      <name val="Arial Black"/>
      <family val="2"/>
    </font>
    <font>
      <sz val="28"/>
      <color theme="1"/>
      <name val="Arial Black"/>
      <family val="2"/>
    </font>
    <font>
      <sz val="20"/>
      <color rgb="FF000000"/>
      <name val="Arial Black"/>
      <family val="2"/>
    </font>
    <font>
      <sz val="30"/>
      <color theme="1"/>
      <name val="Calibri"/>
      <family val="2"/>
      <scheme val="minor"/>
    </font>
    <font>
      <sz val="20"/>
      <color theme="0" tint="-4.9989318521683403E-2"/>
      <name val="Arial Black"/>
      <family val="2"/>
    </font>
  </fonts>
  <fills count="9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C2F4"/>
        <bgColor rgb="FFA4C2F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1D2330"/>
        <bgColor indexed="64"/>
      </patternFill>
    </fill>
    <fill>
      <patternFill patternType="solid">
        <fgColor rgb="FFE2E3E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0B2F6B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3F2A5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3F9F1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FDF0E8"/>
        <bgColor indexed="64"/>
      </patternFill>
    </fill>
    <fill>
      <patternFill patternType="solid">
        <fgColor rgb="FFF4F1F8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EEF7E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56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AF6FB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/>
        <bgColor rgb="FFA4C2F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CC2E5"/>
        <bgColor rgb="FF9CC2E5"/>
      </patternFill>
    </fill>
    <fill>
      <patternFill patternType="solid">
        <fgColor rgb="FFD9E2F3"/>
        <bgColor rgb="FFD9E2F3"/>
      </patternFill>
    </fill>
    <fill>
      <patternFill patternType="solid">
        <fgColor rgb="FFFFFFFF"/>
        <bgColor rgb="FF000000"/>
      </patternFill>
    </fill>
    <fill>
      <patternFill patternType="solid">
        <fgColor rgb="FFF4CCCC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6"/>
        <bgColor indexed="64"/>
      </patternFill>
    </fill>
  </fills>
  <borders count="34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theme="3" tint="-0.499984740745262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/>
      <bottom/>
      <diagonal/>
    </border>
    <border>
      <left/>
      <right style="thin">
        <color theme="3" tint="-0.499984740745262"/>
      </right>
      <top/>
      <bottom/>
      <diagonal/>
    </border>
    <border>
      <left style="thin">
        <color theme="3" tint="-0.499984740745262"/>
      </left>
      <right/>
      <top style="thin">
        <color theme="3" tint="-0.499984740745262"/>
      </top>
      <bottom/>
      <diagonal/>
    </border>
    <border>
      <left style="thin">
        <color theme="3" tint="-0.499984740745262"/>
      </left>
      <right/>
      <top/>
      <bottom style="thin">
        <color theme="3" tint="-0.499984740745262"/>
      </bottom>
      <diagonal/>
    </border>
    <border>
      <left/>
      <right/>
      <top/>
      <bottom style="thin">
        <color theme="3" tint="-0.499984740745262"/>
      </bottom>
      <diagonal/>
    </border>
    <border>
      <left/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/>
      <right/>
      <top style="thin">
        <color rgb="FFD9D9D9"/>
      </top>
      <bottom style="thin">
        <color auto="1"/>
      </bottom>
      <diagonal/>
    </border>
    <border>
      <left style="medium">
        <color indexed="64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medium">
        <color indexed="64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medium">
        <color indexed="64"/>
      </bottom>
      <diagonal/>
    </border>
    <border>
      <left style="thin">
        <color rgb="FFD9D9D9"/>
      </left>
      <right style="medium">
        <color indexed="64"/>
      </right>
      <top style="thin">
        <color rgb="FFD9D9D9"/>
      </top>
      <bottom style="medium">
        <color indexed="64"/>
      </bottom>
      <diagonal/>
    </border>
    <border>
      <left style="medium">
        <color indexed="64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medium">
        <color indexed="64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medium">
        <color indexed="64"/>
      </bottom>
      <diagonal/>
    </border>
    <border>
      <left/>
      <right style="thin">
        <color rgb="FFD9D9D9"/>
      </right>
      <top style="thin">
        <color rgb="FFD9D9D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D9D9D9"/>
      </top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thin">
        <color rgb="FFD9D9D9"/>
      </top>
      <bottom style="medium">
        <color indexed="64"/>
      </bottom>
      <diagonal/>
    </border>
    <border>
      <left style="medium">
        <color indexed="64"/>
      </left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thin">
        <color rgb="FFD9D9D9"/>
      </top>
      <bottom/>
      <diagonal/>
    </border>
    <border>
      <left style="thin">
        <color rgb="FFD9D9D9"/>
      </left>
      <right style="medium">
        <color indexed="64"/>
      </right>
      <top style="thin">
        <color rgb="FFD9D9D9"/>
      </top>
      <bottom/>
      <diagonal/>
    </border>
    <border>
      <left/>
      <right style="thin">
        <color rgb="FFD9D9D9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D9D9D9"/>
      </right>
      <top style="medium">
        <color indexed="64"/>
      </top>
      <bottom style="thin">
        <color rgb="FFD9D9D9"/>
      </bottom>
      <diagonal/>
    </border>
    <border>
      <left style="thin">
        <color rgb="FFD9D9D9"/>
      </left>
      <right style="medium">
        <color indexed="64"/>
      </right>
      <top style="medium">
        <color indexed="64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medium">
        <color indexed="64"/>
      </top>
      <bottom style="thin">
        <color rgb="FFD9D9D9"/>
      </bottom>
      <diagonal/>
    </border>
    <border>
      <left style="medium">
        <color indexed="64"/>
      </left>
      <right style="thin">
        <color rgb="FFD9D9D9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/>
      <bottom style="medium">
        <color indexed="64"/>
      </bottom>
      <diagonal/>
    </border>
    <border>
      <left style="thin">
        <color rgb="FFD9D9D9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 style="medium">
        <color rgb="FF666666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666666"/>
      </right>
      <top style="thin">
        <color rgb="FFB7B7B7"/>
      </top>
      <bottom style="thin">
        <color rgb="FFB7B7B7"/>
      </bottom>
      <diagonal/>
    </border>
    <border>
      <left style="medium">
        <color rgb="FF666666"/>
      </left>
      <right style="medium">
        <color rgb="FF666666"/>
      </right>
      <top style="thin">
        <color rgb="FFB7B7B7"/>
      </top>
      <bottom style="thin">
        <color rgb="FFB7B7B7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5B9BD5"/>
      </bottom>
      <diagonal/>
    </border>
    <border>
      <left style="thin">
        <color indexed="64"/>
      </left>
      <right style="thin">
        <color rgb="FF5B9BD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5B9BD5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5B9BD5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5B9BD5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5B9BD5"/>
      </right>
      <top style="medium">
        <color indexed="64"/>
      </top>
      <bottom style="thin">
        <color rgb="FF5B9BD5"/>
      </bottom>
      <diagonal/>
    </border>
    <border>
      <left/>
      <right style="thin">
        <color indexed="64"/>
      </right>
      <top style="medium">
        <color indexed="64"/>
      </top>
      <bottom style="thin">
        <color rgb="FF5B9BD5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5B9BD5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rgb="FF7F7F7F"/>
      </top>
      <bottom style="thin">
        <color rgb="FF7F7F7F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ck">
        <color rgb="FF1F1F1F"/>
      </top>
      <bottom style="thick">
        <color rgb="FF1F1F1F"/>
      </bottom>
      <diagonal/>
    </border>
    <border>
      <left style="thick">
        <color rgb="FF1F1F1F"/>
      </left>
      <right style="thin">
        <color rgb="FF808080"/>
      </right>
      <top style="thick">
        <color rgb="FF1F1F1F"/>
      </top>
      <bottom style="thick">
        <color rgb="FF1F1F1F"/>
      </bottom>
      <diagonal/>
    </border>
    <border>
      <left style="thin">
        <color rgb="FF808080"/>
      </left>
      <right style="thick">
        <color rgb="FF1F1F1F"/>
      </right>
      <top style="thick">
        <color rgb="FF1F1F1F"/>
      </top>
      <bottom style="thick">
        <color rgb="FF1F1F1F"/>
      </bottom>
      <diagonal/>
    </border>
    <border>
      <left style="thin">
        <color rgb="FF808080"/>
      </left>
      <right style="medium">
        <color indexed="64"/>
      </right>
      <top/>
      <bottom style="thin">
        <color rgb="FF808080"/>
      </bottom>
      <diagonal/>
    </border>
    <border>
      <left style="thin">
        <color rgb="FF808080"/>
      </left>
      <right style="medium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medium">
        <color indexed="64"/>
      </bottom>
      <diagonal/>
    </border>
    <border>
      <left style="thin">
        <color rgb="FF808080"/>
      </left>
      <right style="medium">
        <color indexed="64"/>
      </right>
      <top style="thin">
        <color rgb="FF808080"/>
      </top>
      <bottom style="medium">
        <color indexed="64"/>
      </bottom>
      <diagonal/>
    </border>
    <border>
      <left style="medium">
        <color indexed="64"/>
      </left>
      <right style="thin">
        <color rgb="FF80808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808080"/>
      </bottom>
      <diagonal/>
    </border>
    <border>
      <left style="medium">
        <color indexed="64"/>
      </left>
      <right style="medium">
        <color indexed="64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 style="medium">
        <color indexed="64"/>
      </right>
      <top style="thin">
        <color rgb="FF808080"/>
      </top>
      <bottom style="medium">
        <color indexed="64"/>
      </bottom>
      <diagonal/>
    </border>
    <border>
      <left style="thick">
        <color rgb="FF1F1F1F"/>
      </left>
      <right style="thin">
        <color rgb="FF808080"/>
      </right>
      <top style="thick">
        <color rgb="FF1F1F1F"/>
      </top>
      <bottom/>
      <diagonal/>
    </border>
    <border>
      <left style="thin">
        <color rgb="FF808080"/>
      </left>
      <right style="thin">
        <color rgb="FF808080"/>
      </right>
      <top style="thick">
        <color rgb="FF1F1F1F"/>
      </top>
      <bottom/>
      <diagonal/>
    </border>
    <border>
      <left style="thin">
        <color rgb="FF808080"/>
      </left>
      <right style="thick">
        <color rgb="FF1F1F1F"/>
      </right>
      <top style="thick">
        <color rgb="FF1F1F1F"/>
      </top>
      <bottom/>
      <diagonal/>
    </border>
    <border>
      <left style="medium">
        <color indexed="64"/>
      </left>
      <right style="thin">
        <color rgb="FF808080"/>
      </right>
      <top style="medium">
        <color indexed="64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medium">
        <color indexed="64"/>
      </top>
      <bottom style="thin">
        <color rgb="FF808080"/>
      </bottom>
      <diagonal/>
    </border>
    <border>
      <left style="thin">
        <color rgb="FF808080"/>
      </left>
      <right style="medium">
        <color indexed="64"/>
      </right>
      <top style="medium">
        <color indexed="64"/>
      </top>
      <bottom style="thin">
        <color rgb="FF808080"/>
      </bottom>
      <diagonal/>
    </border>
    <border>
      <left style="medium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 style="thin">
        <color rgb="FF808080"/>
      </right>
      <top style="thin">
        <color rgb="FF808080"/>
      </top>
      <bottom style="medium">
        <color indexed="64"/>
      </bottom>
      <diagonal/>
    </border>
    <border>
      <left style="medium">
        <color indexed="64"/>
      </left>
      <right style="thin">
        <color rgb="FF808080"/>
      </right>
      <top/>
      <bottom style="thin">
        <color rgb="FF808080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rgb="FF7F7F7F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ck">
        <color rgb="FF1F1F1F"/>
      </left>
      <right/>
      <top style="thick">
        <color rgb="FF1F1F1F"/>
      </top>
      <bottom style="thick">
        <color rgb="FF1F1F1F"/>
      </bottom>
      <diagonal/>
    </border>
    <border>
      <left style="thin">
        <color rgb="FF808080"/>
      </left>
      <right/>
      <top/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ck">
        <color rgb="FF1F1F1F"/>
      </top>
      <bottom style="thick">
        <color rgb="FF1F1F1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/>
      <right style="thin">
        <color rgb="FFD9D9D9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medium">
        <color indexed="64"/>
      </top>
      <bottom/>
      <diagonal/>
    </border>
    <border>
      <left style="thin">
        <color rgb="FFD9D9D9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medium">
        <color indexed="64"/>
      </bottom>
      <diagonal/>
    </border>
    <border>
      <left style="medium">
        <color rgb="FFC00000"/>
      </left>
      <right style="thin">
        <color indexed="64"/>
      </right>
      <top style="medium">
        <color indexed="64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rgb="FFC00000"/>
      </bottom>
      <diagonal/>
    </border>
    <border>
      <left style="thin">
        <color indexed="64"/>
      </left>
      <right/>
      <top style="medium">
        <color rgb="FFC00000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rgb="FFC00000"/>
      </bottom>
      <diagonal/>
    </border>
    <border>
      <left style="medium">
        <color theme="9"/>
      </left>
      <right style="thin">
        <color indexed="64"/>
      </right>
      <top style="medium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9"/>
      </top>
      <bottom style="medium">
        <color indexed="64"/>
      </bottom>
      <diagonal/>
    </border>
    <border>
      <left style="thin">
        <color indexed="64"/>
      </left>
      <right style="medium">
        <color theme="9"/>
      </right>
      <top style="medium">
        <color theme="9"/>
      </top>
      <bottom style="medium">
        <color indexed="64"/>
      </bottom>
      <diagonal/>
    </border>
    <border>
      <left style="medium">
        <color theme="9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9"/>
      </right>
      <top style="medium">
        <color indexed="64"/>
      </top>
      <bottom style="thin">
        <color indexed="64"/>
      </bottom>
      <diagonal/>
    </border>
    <border>
      <left style="medium">
        <color theme="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9"/>
      </right>
      <top style="thin">
        <color indexed="64"/>
      </top>
      <bottom style="thin">
        <color indexed="64"/>
      </bottom>
      <diagonal/>
    </border>
    <border>
      <left style="medium">
        <color theme="9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9"/>
      </right>
      <top style="thin">
        <color indexed="64"/>
      </top>
      <bottom style="medium">
        <color indexed="64"/>
      </bottom>
      <diagonal/>
    </border>
    <border>
      <left style="medium">
        <color theme="9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theme="9"/>
      </right>
      <top/>
      <bottom style="thin">
        <color indexed="64"/>
      </bottom>
      <diagonal/>
    </border>
    <border>
      <left style="medium">
        <color theme="9"/>
      </left>
      <right style="thin">
        <color indexed="64"/>
      </right>
      <top/>
      <bottom/>
      <diagonal/>
    </border>
    <border>
      <left style="thin">
        <color indexed="64"/>
      </left>
      <right style="medium">
        <color theme="9"/>
      </right>
      <top/>
      <bottom/>
      <diagonal/>
    </border>
    <border>
      <left style="medium">
        <color theme="9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theme="9"/>
      </right>
      <top style="thin">
        <color indexed="64"/>
      </top>
      <bottom/>
      <diagonal/>
    </border>
    <border>
      <left style="medium">
        <color theme="9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theme="9"/>
      </right>
      <top/>
      <bottom style="medium">
        <color indexed="64"/>
      </bottom>
      <diagonal/>
    </border>
    <border>
      <left style="medium">
        <color theme="9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9"/>
      </right>
      <top style="medium">
        <color indexed="64"/>
      </top>
      <bottom style="medium">
        <color indexed="64"/>
      </bottom>
      <diagonal/>
    </border>
    <border>
      <left style="medium">
        <color theme="9"/>
      </left>
      <right style="thin">
        <color indexed="64"/>
      </right>
      <top style="medium">
        <color indexed="64"/>
      </top>
      <bottom style="medium">
        <color theme="9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theme="9"/>
      </bottom>
      <diagonal/>
    </border>
    <border>
      <left style="thin">
        <color indexed="64"/>
      </left>
      <right style="medium">
        <color theme="9"/>
      </right>
      <top style="medium">
        <color indexed="64"/>
      </top>
      <bottom style="medium">
        <color theme="9"/>
      </bottom>
      <diagonal/>
    </border>
    <border>
      <left/>
      <right style="medium">
        <color theme="9"/>
      </right>
      <top style="medium">
        <color theme="9"/>
      </top>
      <bottom/>
      <diagonal/>
    </border>
    <border>
      <left/>
      <right style="medium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 style="medium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medium">
        <color theme="9"/>
      </right>
      <top/>
      <bottom style="thin">
        <color rgb="FF808080"/>
      </bottom>
      <diagonal/>
    </border>
    <border>
      <left style="medium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/>
      <right style="medium">
        <color theme="9"/>
      </right>
      <top style="thin">
        <color rgb="FF808080"/>
      </top>
      <bottom style="medium">
        <color theme="9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theme="1"/>
      </left>
      <right style="medium">
        <color theme="1"/>
      </right>
      <top/>
      <bottom style="thin">
        <color rgb="FF7F7F7F"/>
      </bottom>
      <diagonal/>
    </border>
    <border>
      <left style="medium">
        <color theme="1"/>
      </left>
      <right style="medium">
        <color theme="1"/>
      </right>
      <top style="thin">
        <color rgb="FF7F7F7F"/>
      </top>
      <bottom style="thin">
        <color rgb="FF7F7F7F"/>
      </bottom>
      <diagonal/>
    </border>
    <border>
      <left style="medium">
        <color theme="1"/>
      </left>
      <right style="medium">
        <color theme="1"/>
      </right>
      <top style="medium">
        <color rgb="FF7F7F7F"/>
      </top>
      <bottom style="medium">
        <color theme="1"/>
      </bottom>
      <diagonal/>
    </border>
    <border>
      <left style="medium">
        <color theme="1"/>
      </left>
      <right style="thin">
        <color rgb="FF7F7F7F"/>
      </right>
      <top style="medium">
        <color theme="1"/>
      </top>
      <bottom style="medium">
        <color theme="1"/>
      </bottom>
      <diagonal/>
    </border>
    <border>
      <left style="thin">
        <color rgb="FF7F7F7F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thin">
        <color rgb="FF7F7F7F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 style="medium">
        <color theme="1"/>
      </top>
      <bottom/>
      <diagonal/>
    </border>
    <border>
      <left/>
      <right style="thin">
        <color rgb="FF808080"/>
      </right>
      <top style="medium">
        <color indexed="64"/>
      </top>
      <bottom style="medium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7F7F7F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/>
      <top style="medium">
        <color indexed="64"/>
      </top>
      <bottom style="thin">
        <color rgb="FF808080"/>
      </bottom>
      <diagonal/>
    </border>
    <border>
      <left/>
      <right/>
      <top style="medium">
        <color indexed="64"/>
      </top>
      <bottom style="thin">
        <color rgb="FF808080"/>
      </bottom>
      <diagonal/>
    </border>
    <border>
      <left/>
      <right style="thin">
        <color rgb="FF7F7F7F"/>
      </right>
      <top style="medium">
        <color indexed="64"/>
      </top>
      <bottom style="thin">
        <color rgb="FF808080"/>
      </bottom>
      <diagonal/>
    </border>
    <border>
      <left/>
      <right style="thin">
        <color rgb="FF808080"/>
      </right>
      <top/>
      <bottom style="medium">
        <color indexed="64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 style="thin">
        <color indexed="64"/>
      </right>
      <top style="medium">
        <color rgb="FFC00000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theme="1"/>
      </right>
      <top style="thin">
        <color indexed="64"/>
      </top>
      <bottom/>
      <diagonal/>
    </border>
    <border>
      <left style="medium">
        <color theme="1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medium">
        <color theme="1"/>
      </right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ck">
        <color rgb="FF1F1F1F"/>
      </bottom>
      <diagonal/>
    </border>
    <border>
      <left/>
      <right/>
      <top style="medium">
        <color indexed="64"/>
      </top>
      <bottom style="thick">
        <color rgb="FF1F1F1F"/>
      </bottom>
      <diagonal/>
    </border>
    <border>
      <left/>
      <right style="medium">
        <color indexed="64"/>
      </right>
      <top style="medium">
        <color indexed="64"/>
      </top>
      <bottom style="thick">
        <color rgb="FF1F1F1F"/>
      </bottom>
      <diagonal/>
    </border>
    <border>
      <left style="medium">
        <color indexed="64"/>
      </left>
      <right/>
      <top style="thick">
        <color rgb="FF1F1F1F"/>
      </top>
      <bottom style="thin">
        <color rgb="FF808080"/>
      </bottom>
      <diagonal/>
    </border>
    <border>
      <left style="medium">
        <color indexed="64"/>
      </left>
      <right/>
      <top style="thin">
        <color rgb="FF808080"/>
      </top>
      <bottom style="medium">
        <color indexed="64"/>
      </bottom>
      <diagonal/>
    </border>
    <border>
      <left/>
      <right style="thin">
        <color rgb="FF808080"/>
      </right>
      <top style="thin">
        <color rgb="FF808080"/>
      </top>
      <bottom style="medium">
        <color indexed="64"/>
      </bottom>
      <diagonal/>
    </border>
  </borders>
  <cellStyleXfs count="3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0" fillId="0" borderId="0"/>
    <xf numFmtId="0" fontId="65" fillId="0" borderId="0" applyNumberFormat="0" applyFill="0" applyBorder="0" applyAlignment="0" applyProtection="0"/>
    <xf numFmtId="0" fontId="86" fillId="0" borderId="0">
      <alignment vertical="center"/>
    </xf>
    <xf numFmtId="0" fontId="88" fillId="0" borderId="0">
      <alignment vertical="center"/>
      <protection locked="0"/>
    </xf>
    <xf numFmtId="0" fontId="89" fillId="0" borderId="0">
      <alignment vertical="top"/>
      <protection locked="0"/>
    </xf>
    <xf numFmtId="43" fontId="1" fillId="0" borderId="0" applyFont="0" applyFill="0" applyBorder="0" applyAlignment="0" applyProtection="0"/>
    <xf numFmtId="0" fontId="94" fillId="0" borderId="0">
      <alignment vertical="center"/>
    </xf>
    <xf numFmtId="0" fontId="97" fillId="0" borderId="0">
      <protection locked="0"/>
    </xf>
    <xf numFmtId="0" fontId="98" fillId="0" borderId="0">
      <alignment vertical="top"/>
      <protection locked="0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0" fillId="0" borderId="0">
      <alignment vertical="center"/>
    </xf>
    <xf numFmtId="0" fontId="101" fillId="0" borderId="0">
      <protection locked="0"/>
    </xf>
    <xf numFmtId="0" fontId="102" fillId="0" borderId="0">
      <alignment vertical="top"/>
      <protection locked="0"/>
    </xf>
    <xf numFmtId="43" fontId="1" fillId="0" borderId="0" applyFont="0" applyFill="0" applyBorder="0" applyAlignment="0" applyProtection="0"/>
    <xf numFmtId="0" fontId="1" fillId="0" borderId="0"/>
    <xf numFmtId="0" fontId="65" fillId="0" borderId="0" applyNumberFormat="0" applyFill="0" applyBorder="0" applyAlignment="0" applyProtection="0"/>
    <xf numFmtId="43" fontId="86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6" fillId="0" borderId="0"/>
    <xf numFmtId="0" fontId="117" fillId="0" borderId="0"/>
    <xf numFmtId="43" fontId="86" fillId="0" borderId="0" applyFont="0" applyFill="0" applyBorder="0" applyAlignment="0" applyProtection="0"/>
    <xf numFmtId="43" fontId="86" fillId="0" borderId="0"/>
    <xf numFmtId="0" fontId="118" fillId="0" borderId="0"/>
    <xf numFmtId="0" fontId="119" fillId="0" borderId="0">
      <alignment vertical="center"/>
    </xf>
    <xf numFmtId="0" fontId="121" fillId="0" borderId="0">
      <protection locked="0"/>
    </xf>
    <xf numFmtId="0" fontId="122" fillId="0" borderId="0">
      <alignment vertical="top"/>
      <protection locked="0"/>
    </xf>
    <xf numFmtId="44" fontId="1" fillId="0" borderId="0" applyFont="0" applyFill="0" applyBorder="0" applyAlignment="0" applyProtection="0"/>
    <xf numFmtId="0" fontId="15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85" fillId="0" borderId="0"/>
    <xf numFmtId="0" fontId="1" fillId="0" borderId="0"/>
    <xf numFmtId="0" fontId="296" fillId="0" borderId="0"/>
  </cellStyleXfs>
  <cellXfs count="3020">
    <xf numFmtId="0" fontId="0" fillId="0" borderId="0" xfId="0"/>
    <xf numFmtId="0" fontId="3" fillId="0" borderId="0" xfId="0" applyFont="1"/>
    <xf numFmtId="0" fontId="4" fillId="0" borderId="0" xfId="0" applyFont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0" borderId="0" xfId="2" applyNumberFormat="1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49" fontId="12" fillId="4" borderId="0" xfId="0" applyNumberFormat="1" applyFont="1" applyFill="1" applyAlignment="1">
      <alignment horizontal="center" vertical="center"/>
    </xf>
    <xf numFmtId="0" fontId="17" fillId="4" borderId="0" xfId="0" applyFont="1" applyFill="1" applyAlignment="1">
      <alignment horizontal="center"/>
    </xf>
    <xf numFmtId="0" fontId="4" fillId="4" borderId="0" xfId="0" applyFont="1" applyFill="1"/>
    <xf numFmtId="49" fontId="16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0" borderId="0" xfId="0" applyProtection="1">
      <protection locked="0"/>
    </xf>
    <xf numFmtId="0" fontId="0" fillId="4" borderId="0" xfId="0" applyFill="1" applyProtection="1">
      <protection locked="0"/>
    </xf>
    <xf numFmtId="0" fontId="18" fillId="4" borderId="0" xfId="0" applyFont="1" applyFill="1" applyProtection="1">
      <protection locked="0"/>
    </xf>
    <xf numFmtId="0" fontId="18" fillId="4" borderId="0" xfId="0" applyFont="1" applyFill="1" applyAlignment="1" applyProtection="1">
      <alignment horizontal="left"/>
      <protection locked="0"/>
    </xf>
    <xf numFmtId="0" fontId="20" fillId="4" borderId="0" xfId="0" applyFont="1" applyFill="1" applyProtection="1">
      <protection locked="0"/>
    </xf>
    <xf numFmtId="0" fontId="21" fillId="4" borderId="0" xfId="0" applyFont="1" applyFill="1" applyAlignment="1" applyProtection="1">
      <alignment horizontal="left"/>
      <protection locked="0"/>
    </xf>
    <xf numFmtId="0" fontId="22" fillId="4" borderId="0" xfId="0" applyFont="1" applyFill="1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14" fillId="0" borderId="3" xfId="0" applyFont="1" applyBorder="1" applyAlignment="1">
      <alignment vertical="center"/>
    </xf>
    <xf numFmtId="0" fontId="29" fillId="0" borderId="0" xfId="0" applyFont="1"/>
    <xf numFmtId="0" fontId="33" fillId="0" borderId="0" xfId="0" applyFont="1"/>
    <xf numFmtId="0" fontId="29" fillId="0" borderId="0" xfId="0" applyFont="1" applyAlignment="1">
      <alignment horizontal="center" vertical="center"/>
    </xf>
    <xf numFmtId="43" fontId="32" fillId="0" borderId="2" xfId="0" applyNumberFormat="1" applyFont="1" applyBorder="1" applyAlignment="1">
      <alignment horizontal="center" vertical="center"/>
    </xf>
    <xf numFmtId="0" fontId="37" fillId="0" borderId="0" xfId="0" applyFont="1"/>
    <xf numFmtId="165" fontId="39" fillId="2" borderId="0" xfId="0" applyNumberFormat="1" applyFont="1" applyFill="1" applyAlignment="1">
      <alignment horizontal="center" vertical="center"/>
    </xf>
    <xf numFmtId="0" fontId="30" fillId="0" borderId="33" xfId="0" applyFont="1" applyBorder="1"/>
    <xf numFmtId="0" fontId="40" fillId="0" borderId="0" xfId="0" applyFont="1" applyAlignment="1">
      <alignment horizontal="center" vertical="center"/>
    </xf>
    <xf numFmtId="0" fontId="38" fillId="0" borderId="0" xfId="0" applyFont="1" applyAlignment="1">
      <alignment vertical="center"/>
    </xf>
    <xf numFmtId="0" fontId="34" fillId="4" borderId="53" xfId="0" applyFont="1" applyFill="1" applyBorder="1" applyAlignment="1">
      <alignment horizontal="center" vertical="center" wrapText="1"/>
    </xf>
    <xf numFmtId="0" fontId="34" fillId="4" borderId="54" xfId="0" applyFont="1" applyFill="1" applyBorder="1" applyAlignment="1">
      <alignment horizontal="center" vertical="center" wrapText="1"/>
    </xf>
    <xf numFmtId="0" fontId="30" fillId="0" borderId="0" xfId="0" applyFont="1"/>
    <xf numFmtId="0" fontId="29" fillId="0" borderId="0" xfId="0" applyFont="1" applyAlignment="1">
      <alignment vertical="center"/>
    </xf>
    <xf numFmtId="20" fontId="32" fillId="0" borderId="0" xfId="0" applyNumberFormat="1" applyFont="1" applyAlignment="1">
      <alignment vertical="center"/>
    </xf>
    <xf numFmtId="0" fontId="35" fillId="4" borderId="24" xfId="0" applyFont="1" applyFill="1" applyBorder="1" applyAlignment="1">
      <alignment horizontal="center" vertical="center" wrapText="1"/>
    </xf>
    <xf numFmtId="0" fontId="35" fillId="4" borderId="21" xfId="0" applyFont="1" applyFill="1" applyBorder="1" applyAlignment="1">
      <alignment horizontal="center" vertical="center" wrapText="1"/>
    </xf>
    <xf numFmtId="0" fontId="35" fillId="4" borderId="23" xfId="0" applyFont="1" applyFill="1" applyBorder="1" applyAlignment="1">
      <alignment horizontal="center" vertical="center" wrapText="1"/>
    </xf>
    <xf numFmtId="0" fontId="30" fillId="0" borderId="38" xfId="0" applyFont="1" applyBorder="1"/>
    <xf numFmtId="165" fontId="39" fillId="2" borderId="2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31" fillId="4" borderId="25" xfId="0" applyFont="1" applyFill="1" applyBorder="1" applyAlignment="1">
      <alignment vertical="center" wrapText="1"/>
    </xf>
    <xf numFmtId="0" fontId="34" fillId="4" borderId="32" xfId="0" applyFont="1" applyFill="1" applyBorder="1" applyAlignment="1">
      <alignment horizontal="center" vertical="center"/>
    </xf>
    <xf numFmtId="0" fontId="34" fillId="4" borderId="55" xfId="0" applyFont="1" applyFill="1" applyBorder="1" applyAlignment="1">
      <alignment horizontal="center" vertical="center" wrapText="1"/>
    </xf>
    <xf numFmtId="0" fontId="34" fillId="4" borderId="25" xfId="0" applyFont="1" applyFill="1" applyBorder="1" applyAlignment="1">
      <alignment horizontal="center" vertical="center" wrapText="1"/>
    </xf>
    <xf numFmtId="43" fontId="32" fillId="0" borderId="5" xfId="0" applyNumberFormat="1" applyFont="1" applyBorder="1" applyAlignment="1">
      <alignment horizontal="center" vertical="center"/>
    </xf>
    <xf numFmtId="167" fontId="32" fillId="0" borderId="6" xfId="0" applyNumberFormat="1" applyFont="1" applyBorder="1" applyAlignment="1">
      <alignment horizontal="center" vertical="center"/>
    </xf>
    <xf numFmtId="43" fontId="32" fillId="0" borderId="10" xfId="0" applyNumberFormat="1" applyFont="1" applyBorder="1" applyAlignment="1">
      <alignment horizontal="center" vertical="center"/>
    </xf>
    <xf numFmtId="167" fontId="32" fillId="0" borderId="11" xfId="0" applyNumberFormat="1" applyFont="1" applyBorder="1" applyAlignment="1">
      <alignment horizontal="center" vertical="center"/>
    </xf>
    <xf numFmtId="167" fontId="32" fillId="0" borderId="8" xfId="0" applyNumberFormat="1" applyFont="1" applyBorder="1" applyAlignment="1">
      <alignment horizontal="center" vertical="center"/>
    </xf>
    <xf numFmtId="43" fontId="32" fillId="0" borderId="54" xfId="0" applyNumberFormat="1" applyFont="1" applyBorder="1" applyAlignment="1">
      <alignment horizontal="center" vertical="center"/>
    </xf>
    <xf numFmtId="167" fontId="32" fillId="0" borderId="55" xfId="0" applyNumberFormat="1" applyFont="1" applyBorder="1" applyAlignment="1">
      <alignment horizontal="center" vertical="center"/>
    </xf>
    <xf numFmtId="0" fontId="32" fillId="4" borderId="53" xfId="0" applyFont="1" applyFill="1" applyBorder="1" applyAlignment="1">
      <alignment horizontal="center" vertical="center" wrapText="1"/>
    </xf>
    <xf numFmtId="0" fontId="32" fillId="4" borderId="54" xfId="0" applyFont="1" applyFill="1" applyBorder="1" applyAlignment="1">
      <alignment horizontal="center" vertical="center" wrapText="1"/>
    </xf>
    <xf numFmtId="168" fontId="32" fillId="4" borderId="55" xfId="0" applyNumberFormat="1" applyFont="1" applyFill="1" applyBorder="1" applyAlignment="1">
      <alignment horizontal="center" vertical="center" wrapText="1"/>
    </xf>
    <xf numFmtId="0" fontId="34" fillId="4" borderId="33" xfId="0" applyFont="1" applyFill="1" applyBorder="1" applyAlignment="1">
      <alignment horizontal="center" vertical="center" wrapText="1"/>
    </xf>
    <xf numFmtId="0" fontId="34" fillId="4" borderId="25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14" fillId="10" borderId="12" xfId="0" applyFont="1" applyFill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29" fillId="0" borderId="2" xfId="0" applyFont="1" applyBorder="1" applyAlignment="1" applyProtection="1">
      <alignment horizontal="center" vertical="center"/>
      <protection locked="0"/>
    </xf>
    <xf numFmtId="0" fontId="14" fillId="8" borderId="54" xfId="0" applyFont="1" applyFill="1" applyBorder="1" applyAlignment="1">
      <alignment horizontal="center" vertical="center" wrapText="1"/>
    </xf>
    <xf numFmtId="0" fontId="14" fillId="8" borderId="55" xfId="0" applyFont="1" applyFill="1" applyBorder="1" applyAlignment="1">
      <alignment horizontal="center" vertical="center" wrapText="1"/>
    </xf>
    <xf numFmtId="2" fontId="14" fillId="0" borderId="17" xfId="1" applyNumberFormat="1" applyFont="1" applyFill="1" applyBorder="1" applyAlignment="1" applyProtection="1">
      <alignment horizontal="center" vertical="center"/>
    </xf>
    <xf numFmtId="2" fontId="14" fillId="0" borderId="38" xfId="1" applyNumberFormat="1" applyFont="1" applyFill="1" applyBorder="1" applyAlignment="1" applyProtection="1">
      <alignment horizontal="center" vertical="center"/>
    </xf>
    <xf numFmtId="0" fontId="36" fillId="4" borderId="54" xfId="0" applyFont="1" applyFill="1" applyBorder="1" applyAlignment="1">
      <alignment horizontal="center" vertical="center" wrapText="1"/>
    </xf>
    <xf numFmtId="0" fontId="0" fillId="4" borderId="0" xfId="0" applyFill="1" applyAlignment="1" applyProtection="1">
      <alignment horizontal="center" vertical="center"/>
      <protection locked="0"/>
    </xf>
    <xf numFmtId="9" fontId="17" fillId="4" borderId="0" xfId="0" applyNumberFormat="1" applyFont="1" applyFill="1" applyAlignment="1">
      <alignment horizontal="center"/>
    </xf>
    <xf numFmtId="0" fontId="45" fillId="11" borderId="2" xfId="0" applyFont="1" applyFill="1" applyBorder="1" applyAlignment="1">
      <alignment horizontal="center" vertical="center" wrapText="1"/>
    </xf>
    <xf numFmtId="167" fontId="46" fillId="14" borderId="2" xfId="1" applyNumberFormat="1" applyFont="1" applyFill="1" applyBorder="1" applyAlignment="1">
      <alignment horizontal="center" vertical="center"/>
    </xf>
    <xf numFmtId="167" fontId="46" fillId="2" borderId="2" xfId="1" applyNumberFormat="1" applyFont="1" applyFill="1" applyBorder="1" applyAlignment="1">
      <alignment horizontal="center" vertical="center"/>
    </xf>
    <xf numFmtId="0" fontId="46" fillId="0" borderId="2" xfId="0" applyFont="1" applyBorder="1" applyAlignment="1">
      <alignment horizontal="center" vertical="center"/>
    </xf>
    <xf numFmtId="167" fontId="15" fillId="4" borderId="2" xfId="0" applyNumberFormat="1" applyFont="1" applyFill="1" applyBorder="1"/>
    <xf numFmtId="0" fontId="15" fillId="0" borderId="0" xfId="0" applyFont="1"/>
    <xf numFmtId="0" fontId="14" fillId="0" borderId="0" xfId="0" applyFont="1" applyAlignment="1">
      <alignment horizontal="center" vertical="center" wrapText="1"/>
    </xf>
    <xf numFmtId="0" fontId="14" fillId="0" borderId="0" xfId="0" applyFont="1"/>
    <xf numFmtId="0" fontId="15" fillId="0" borderId="0" xfId="0" applyFont="1" applyAlignment="1">
      <alignment horizontal="center"/>
    </xf>
    <xf numFmtId="9" fontId="14" fillId="0" borderId="0" xfId="2" applyFont="1" applyAlignment="1">
      <alignment horizontal="left"/>
    </xf>
    <xf numFmtId="0" fontId="14" fillId="0" borderId="0" xfId="0" applyFont="1" applyAlignment="1">
      <alignment horizontal="center"/>
    </xf>
    <xf numFmtId="0" fontId="47" fillId="0" borderId="0" xfId="0" applyFont="1"/>
    <xf numFmtId="0" fontId="15" fillId="0" borderId="2" xfId="0" applyFont="1" applyBorder="1"/>
    <xf numFmtId="0" fontId="14" fillId="0" borderId="2" xfId="0" applyFont="1" applyBorder="1" applyAlignment="1">
      <alignment horizontal="center" vertical="center"/>
    </xf>
    <xf numFmtId="4" fontId="46" fillId="0" borderId="2" xfId="0" applyNumberFormat="1" applyFont="1" applyBorder="1" applyAlignment="1">
      <alignment horizontal="center" vertical="center"/>
    </xf>
    <xf numFmtId="165" fontId="46" fillId="0" borderId="2" xfId="0" applyNumberFormat="1" applyFont="1" applyBorder="1" applyAlignment="1">
      <alignment horizontal="center" vertical="center"/>
    </xf>
    <xf numFmtId="165" fontId="15" fillId="0" borderId="2" xfId="0" applyNumberFormat="1" applyFont="1" applyBorder="1"/>
    <xf numFmtId="0" fontId="48" fillId="0" borderId="0" xfId="0" applyFont="1" applyAlignment="1">
      <alignment horizontal="center" vertical="center" wrapText="1"/>
    </xf>
    <xf numFmtId="14" fontId="48" fillId="0" borderId="0" xfId="0" applyNumberFormat="1" applyFont="1" applyAlignment="1">
      <alignment horizontal="center" vertical="center" wrapText="1"/>
    </xf>
    <xf numFmtId="4" fontId="14" fillId="10" borderId="2" xfId="0" applyNumberFormat="1" applyFont="1" applyFill="1" applyBorder="1" applyAlignment="1">
      <alignment vertical="center"/>
    </xf>
    <xf numFmtId="0" fontId="14" fillId="10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65" fontId="14" fillId="10" borderId="2" xfId="0" applyNumberFormat="1" applyFont="1" applyFill="1" applyBorder="1" applyAlignment="1">
      <alignment vertical="center"/>
    </xf>
    <xf numFmtId="0" fontId="32" fillId="4" borderId="25" xfId="0" applyFont="1" applyFill="1" applyBorder="1" applyAlignment="1">
      <alignment vertical="center" wrapText="1"/>
    </xf>
    <xf numFmtId="0" fontId="43" fillId="4" borderId="25" xfId="0" applyFont="1" applyFill="1" applyBorder="1" applyAlignment="1">
      <alignment horizontal="center" vertical="center" wrapText="1"/>
    </xf>
    <xf numFmtId="0" fontId="42" fillId="0" borderId="0" xfId="0" applyFont="1"/>
    <xf numFmtId="0" fontId="53" fillId="0" borderId="2" xfId="3" applyFont="1" applyBorder="1" applyAlignment="1">
      <alignment horizontal="center" vertical="center"/>
    </xf>
    <xf numFmtId="49" fontId="53" fillId="0" borderId="2" xfId="3" applyNumberFormat="1" applyFont="1" applyBorder="1" applyAlignment="1">
      <alignment horizontal="center" vertical="center"/>
    </xf>
    <xf numFmtId="0" fontId="55" fillId="4" borderId="0" xfId="0" applyFont="1" applyFill="1" applyAlignment="1" applyProtection="1">
      <alignment vertical="center"/>
      <protection locked="0"/>
    </xf>
    <xf numFmtId="0" fontId="49" fillId="4" borderId="0" xfId="0" applyFont="1" applyFill="1" applyAlignment="1" applyProtection="1">
      <alignment vertical="center"/>
      <protection locked="0"/>
    </xf>
    <xf numFmtId="0" fontId="45" fillId="4" borderId="0" xfId="0" applyFont="1" applyFill="1" applyAlignment="1" applyProtection="1">
      <alignment vertical="center"/>
      <protection locked="0"/>
    </xf>
    <xf numFmtId="0" fontId="0" fillId="4" borderId="0" xfId="0" applyFill="1" applyAlignment="1">
      <alignment horizontal="center"/>
    </xf>
    <xf numFmtId="0" fontId="0" fillId="4" borderId="0" xfId="0" applyFill="1"/>
    <xf numFmtId="0" fontId="2" fillId="4" borderId="0" xfId="0" applyFont="1" applyFill="1" applyAlignment="1" applyProtection="1">
      <alignment horizontal="center"/>
      <protection locked="0" hidden="1"/>
    </xf>
    <xf numFmtId="0" fontId="23" fillId="4" borderId="0" xfId="0" applyFont="1" applyFill="1" applyAlignment="1" applyProtection="1">
      <alignment horizontal="center"/>
      <protection locked="0" hidden="1"/>
    </xf>
    <xf numFmtId="0" fontId="2" fillId="4" borderId="0" xfId="0" applyFont="1" applyFill="1" applyAlignment="1" applyProtection="1">
      <alignment horizontal="center"/>
      <protection locked="0"/>
    </xf>
    <xf numFmtId="0" fontId="26" fillId="4" borderId="0" xfId="0" applyFont="1" applyFill="1" applyAlignment="1">
      <alignment horizontal="center" vertical="center"/>
    </xf>
    <xf numFmtId="0" fontId="53" fillId="0" borderId="0" xfId="3" applyFont="1" applyAlignment="1">
      <alignment vertical="center"/>
    </xf>
    <xf numFmtId="49" fontId="53" fillId="0" borderId="0" xfId="3" applyNumberFormat="1" applyFont="1" applyAlignment="1">
      <alignment vertical="center"/>
    </xf>
    <xf numFmtId="0" fontId="29" fillId="0" borderId="0" xfId="0" applyFont="1" applyProtection="1"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44" fillId="0" borderId="2" xfId="0" applyFont="1" applyBorder="1" applyAlignment="1" applyProtection="1">
      <alignment horizontal="center" vertical="center"/>
      <protection locked="0"/>
    </xf>
    <xf numFmtId="43" fontId="29" fillId="0" borderId="0" xfId="0" applyNumberFormat="1" applyFont="1" applyAlignment="1" applyProtection="1">
      <alignment horizontal="center" vertical="center"/>
      <protection locked="0"/>
    </xf>
    <xf numFmtId="2" fontId="29" fillId="0" borderId="2" xfId="0" applyNumberFormat="1" applyFont="1" applyBorder="1" applyAlignment="1" applyProtection="1">
      <alignment horizontal="center" vertical="center"/>
      <protection locked="0"/>
    </xf>
    <xf numFmtId="0" fontId="33" fillId="10" borderId="2" xfId="0" applyFont="1" applyFill="1" applyBorder="1" applyAlignment="1" applyProtection="1">
      <alignment horizontal="center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0" fontId="29" fillId="0" borderId="2" xfId="0" applyFont="1" applyBorder="1" applyAlignment="1" applyProtection="1">
      <alignment vertical="center"/>
      <protection locked="0"/>
    </xf>
    <xf numFmtId="0" fontId="29" fillId="10" borderId="0" xfId="0" applyFont="1" applyFill="1" applyProtection="1">
      <protection locked="0"/>
    </xf>
    <xf numFmtId="165" fontId="29" fillId="0" borderId="2" xfId="0" applyNumberFormat="1" applyFont="1" applyBorder="1" applyAlignment="1" applyProtection="1">
      <alignment vertical="center"/>
      <protection locked="0"/>
    </xf>
    <xf numFmtId="165" fontId="29" fillId="0" borderId="0" xfId="0" applyNumberFormat="1" applyFont="1" applyProtection="1">
      <protection locked="0"/>
    </xf>
    <xf numFmtId="168" fontId="14" fillId="0" borderId="2" xfId="0" applyNumberFormat="1" applyFont="1" applyBorder="1" applyAlignment="1">
      <alignment horizontal="center" vertical="center"/>
    </xf>
    <xf numFmtId="165" fontId="29" fillId="2" borderId="2" xfId="0" applyNumberFormat="1" applyFont="1" applyFill="1" applyBorder="1" applyAlignment="1" applyProtection="1">
      <alignment vertical="center"/>
      <protection locked="0"/>
    </xf>
    <xf numFmtId="168" fontId="0" fillId="0" borderId="0" xfId="0" applyNumberFormat="1" applyProtection="1">
      <protection locked="0"/>
    </xf>
    <xf numFmtId="1" fontId="15" fillId="0" borderId="0" xfId="0" applyNumberFormat="1" applyFont="1"/>
    <xf numFmtId="0" fontId="46" fillId="4" borderId="2" xfId="0" applyFont="1" applyFill="1" applyBorder="1" applyAlignment="1">
      <alignment horizontal="center" vertical="center"/>
    </xf>
    <xf numFmtId="165" fontId="29" fillId="19" borderId="2" xfId="0" applyNumberFormat="1" applyFont="1" applyFill="1" applyBorder="1" applyAlignment="1" applyProtection="1">
      <alignment vertical="center"/>
      <protection locked="0"/>
    </xf>
    <xf numFmtId="165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right"/>
    </xf>
    <xf numFmtId="0" fontId="15" fillId="0" borderId="51" xfId="0" applyFont="1" applyBorder="1"/>
    <xf numFmtId="0" fontId="38" fillId="0" borderId="0" xfId="0" applyFont="1"/>
    <xf numFmtId="168" fontId="14" fillId="10" borderId="2" xfId="0" applyNumberFormat="1" applyFont="1" applyFill="1" applyBorder="1" applyAlignment="1">
      <alignment horizontal="center" vertical="center"/>
    </xf>
    <xf numFmtId="0" fontId="61" fillId="10" borderId="2" xfId="0" applyFont="1" applyFill="1" applyBorder="1" applyAlignment="1">
      <alignment horizontal="center" vertical="center" wrapText="1"/>
    </xf>
    <xf numFmtId="0" fontId="15" fillId="4" borderId="2" xfId="0" applyFont="1" applyFill="1" applyBorder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4" borderId="0" xfId="0" applyFont="1" applyFill="1"/>
    <xf numFmtId="165" fontId="15" fillId="4" borderId="0" xfId="0" applyNumberFormat="1" applyFont="1" applyFill="1"/>
    <xf numFmtId="165" fontId="14" fillId="4" borderId="0" xfId="0" applyNumberFormat="1" applyFont="1" applyFill="1" applyAlignment="1">
      <alignment vertical="center"/>
    </xf>
    <xf numFmtId="165" fontId="46" fillId="4" borderId="2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168" fontId="14" fillId="11" borderId="25" xfId="0" applyNumberFormat="1" applyFont="1" applyFill="1" applyBorder="1"/>
    <xf numFmtId="167" fontId="32" fillId="0" borderId="43" xfId="0" applyNumberFormat="1" applyFont="1" applyBorder="1" applyAlignment="1">
      <alignment horizontal="center" vertical="center"/>
    </xf>
    <xf numFmtId="167" fontId="32" fillId="0" borderId="44" xfId="0" applyNumberFormat="1" applyFont="1" applyBorder="1" applyAlignment="1">
      <alignment horizontal="center" vertical="center"/>
    </xf>
    <xf numFmtId="167" fontId="32" fillId="0" borderId="45" xfId="0" applyNumberFormat="1" applyFont="1" applyBorder="1" applyAlignment="1">
      <alignment horizontal="center" vertical="center"/>
    </xf>
    <xf numFmtId="43" fontId="32" fillId="0" borderId="21" xfId="0" applyNumberFormat="1" applyFont="1" applyBorder="1" applyAlignment="1">
      <alignment horizontal="center" vertical="center"/>
    </xf>
    <xf numFmtId="43" fontId="32" fillId="0" borderId="23" xfId="0" applyNumberFormat="1" applyFont="1" applyBorder="1" applyAlignment="1">
      <alignment horizontal="center" vertical="center"/>
    </xf>
    <xf numFmtId="43" fontId="32" fillId="0" borderId="24" xfId="0" applyNumberFormat="1" applyFont="1" applyBorder="1" applyAlignment="1">
      <alignment horizontal="center" vertical="center"/>
    </xf>
    <xf numFmtId="43" fontId="32" fillId="0" borderId="40" xfId="0" applyNumberFormat="1" applyFont="1" applyBorder="1" applyAlignment="1">
      <alignment horizontal="center" vertical="center"/>
    </xf>
    <xf numFmtId="167" fontId="32" fillId="0" borderId="28" xfId="0" applyNumberFormat="1" applyFont="1" applyBorder="1" applyAlignment="1">
      <alignment horizontal="center" vertical="center"/>
    </xf>
    <xf numFmtId="43" fontId="32" fillId="0" borderId="25" xfId="0" applyNumberFormat="1" applyFont="1" applyBorder="1" applyAlignment="1">
      <alignment horizontal="center" vertical="center"/>
    </xf>
    <xf numFmtId="167" fontId="32" fillId="0" borderId="32" xfId="0" applyNumberFormat="1" applyFont="1" applyBorder="1" applyAlignment="1">
      <alignment horizontal="center" vertical="center"/>
    </xf>
    <xf numFmtId="43" fontId="32" fillId="0" borderId="60" xfId="0" applyNumberFormat="1" applyFont="1" applyBorder="1" applyAlignment="1">
      <alignment horizontal="center" vertical="center"/>
    </xf>
    <xf numFmtId="167" fontId="32" fillId="0" borderId="61" xfId="0" applyNumberFormat="1" applyFont="1" applyBorder="1" applyAlignment="1">
      <alignment horizontal="center" vertical="center"/>
    </xf>
    <xf numFmtId="0" fontId="35" fillId="4" borderId="41" xfId="0" applyFont="1" applyFill="1" applyBorder="1" applyAlignment="1">
      <alignment horizontal="center" vertical="center" wrapText="1"/>
    </xf>
    <xf numFmtId="0" fontId="35" fillId="4" borderId="34" xfId="0" applyFont="1" applyFill="1" applyBorder="1" applyAlignment="1">
      <alignment horizontal="center" vertical="center" wrapText="1"/>
    </xf>
    <xf numFmtId="0" fontId="35" fillId="4" borderId="26" xfId="0" applyFont="1" applyFill="1" applyBorder="1" applyAlignment="1">
      <alignment horizontal="center" vertical="center" wrapText="1"/>
    </xf>
    <xf numFmtId="0" fontId="35" fillId="4" borderId="67" xfId="0" applyFont="1" applyFill="1" applyBorder="1" applyAlignment="1">
      <alignment horizontal="center" vertical="center" wrapText="1"/>
    </xf>
    <xf numFmtId="0" fontId="35" fillId="4" borderId="68" xfId="0" applyFont="1" applyFill="1" applyBorder="1" applyAlignment="1">
      <alignment horizontal="center" vertical="center" wrapText="1"/>
    </xf>
    <xf numFmtId="0" fontId="35" fillId="4" borderId="21" xfId="0" applyFont="1" applyFill="1" applyBorder="1" applyAlignment="1">
      <alignment vertical="center" wrapText="1"/>
    </xf>
    <xf numFmtId="0" fontId="35" fillId="4" borderId="24" xfId="0" applyFont="1" applyFill="1" applyBorder="1" applyAlignment="1">
      <alignment vertical="center" wrapText="1"/>
    </xf>
    <xf numFmtId="0" fontId="35" fillId="4" borderId="23" xfId="0" applyFont="1" applyFill="1" applyBorder="1" applyAlignment="1">
      <alignment vertical="center" wrapText="1"/>
    </xf>
    <xf numFmtId="0" fontId="35" fillId="4" borderId="25" xfId="0" applyFont="1" applyFill="1" applyBorder="1" applyAlignment="1">
      <alignment vertical="center" wrapText="1"/>
    </xf>
    <xf numFmtId="0" fontId="35" fillId="4" borderId="40" xfId="0" applyFont="1" applyFill="1" applyBorder="1" applyAlignment="1">
      <alignment vertical="center" wrapText="1"/>
    </xf>
    <xf numFmtId="0" fontId="35" fillId="4" borderId="60" xfId="0" applyFont="1" applyFill="1" applyBorder="1" applyAlignment="1">
      <alignment vertical="center" wrapText="1"/>
    </xf>
    <xf numFmtId="167" fontId="32" fillId="4" borderId="44" xfId="0" applyNumberFormat="1" applyFont="1" applyFill="1" applyBorder="1" applyAlignment="1">
      <alignment horizontal="center" vertical="center"/>
    </xf>
    <xf numFmtId="43" fontId="32" fillId="4" borderId="23" xfId="0" applyNumberFormat="1" applyFont="1" applyFill="1" applyBorder="1" applyAlignment="1">
      <alignment horizontal="center" vertical="center"/>
    </xf>
    <xf numFmtId="0" fontId="34" fillId="4" borderId="38" xfId="0" applyFont="1" applyFill="1" applyBorder="1" applyAlignment="1">
      <alignment horizontal="center" vertical="center" wrapText="1"/>
    </xf>
    <xf numFmtId="43" fontId="32" fillId="0" borderId="30" xfId="0" applyNumberFormat="1" applyFont="1" applyBorder="1" applyAlignment="1">
      <alignment horizontal="center" vertical="center"/>
    </xf>
    <xf numFmtId="43" fontId="32" fillId="0" borderId="1" xfId="0" applyNumberFormat="1" applyFont="1" applyBorder="1" applyAlignment="1">
      <alignment horizontal="center" vertical="center"/>
    </xf>
    <xf numFmtId="167" fontId="32" fillId="0" borderId="57" xfId="0" applyNumberFormat="1" applyFont="1" applyBorder="1" applyAlignment="1">
      <alignment horizontal="center" vertical="center"/>
    </xf>
    <xf numFmtId="167" fontId="32" fillId="0" borderId="42" xfId="0" applyNumberFormat="1" applyFont="1" applyBorder="1" applyAlignment="1">
      <alignment horizontal="center" vertical="center"/>
    </xf>
    <xf numFmtId="0" fontId="63" fillId="0" borderId="2" xfId="0" applyFont="1" applyBorder="1" applyAlignment="1">
      <alignment horizontal="center" vertical="center"/>
    </xf>
    <xf numFmtId="0" fontId="18" fillId="4" borderId="0" xfId="0" applyFont="1" applyFill="1"/>
    <xf numFmtId="0" fontId="66" fillId="4" borderId="0" xfId="0" applyFont="1" applyFill="1" applyAlignment="1">
      <alignment horizontal="center" vertical="center"/>
    </xf>
    <xf numFmtId="0" fontId="71" fillId="4" borderId="0" xfId="0" applyFont="1" applyFill="1" applyAlignment="1">
      <alignment horizontal="center" vertical="center" wrapText="1"/>
    </xf>
    <xf numFmtId="0" fontId="72" fillId="4" borderId="48" xfId="0" applyFont="1" applyFill="1" applyBorder="1" applyAlignment="1">
      <alignment horizontal="center" vertical="center" wrapText="1"/>
    </xf>
    <xf numFmtId="0" fontId="72" fillId="4" borderId="0" xfId="0" applyFont="1" applyFill="1" applyAlignment="1">
      <alignment horizontal="center" vertical="center" wrapText="1"/>
    </xf>
    <xf numFmtId="0" fontId="72" fillId="4" borderId="46" xfId="0" applyFont="1" applyFill="1" applyBorder="1" applyAlignment="1">
      <alignment horizontal="center" vertical="center" wrapText="1"/>
    </xf>
    <xf numFmtId="0" fontId="18" fillId="4" borderId="0" xfId="0" applyFont="1" applyFill="1" applyAlignment="1">
      <alignment horizontal="left" vertical="center"/>
    </xf>
    <xf numFmtId="0" fontId="18" fillId="4" borderId="0" xfId="0" applyFont="1" applyFill="1" applyAlignment="1">
      <alignment horizontal="center" vertical="center"/>
    </xf>
    <xf numFmtId="0" fontId="76" fillId="20" borderId="2" xfId="0" applyFont="1" applyFill="1" applyBorder="1" applyAlignment="1">
      <alignment vertical="center"/>
    </xf>
    <xf numFmtId="0" fontId="75" fillId="4" borderId="0" xfId="0" applyFont="1" applyFill="1"/>
    <xf numFmtId="0" fontId="75" fillId="4" borderId="0" xfId="0" applyFont="1" applyFill="1" applyAlignment="1">
      <alignment horizontal="left"/>
    </xf>
    <xf numFmtId="0" fontId="74" fillId="12" borderId="2" xfId="0" applyFont="1" applyFill="1" applyBorder="1"/>
    <xf numFmtId="0" fontId="21" fillId="4" borderId="0" xfId="0" applyFont="1" applyFill="1" applyAlignment="1">
      <alignment horizontal="left"/>
    </xf>
    <xf numFmtId="0" fontId="22" fillId="4" borderId="0" xfId="0" applyFont="1" applyFill="1" applyAlignment="1">
      <alignment horizontal="left"/>
    </xf>
    <xf numFmtId="0" fontId="68" fillId="4" borderId="2" xfId="0" applyFont="1" applyFill="1" applyBorder="1" applyAlignment="1">
      <alignment horizontal="left"/>
    </xf>
    <xf numFmtId="0" fontId="81" fillId="4" borderId="0" xfId="0" applyFont="1" applyFill="1"/>
    <xf numFmtId="0" fontId="41" fillId="0" borderId="0" xfId="0" applyFont="1"/>
    <xf numFmtId="168" fontId="59" fillId="0" borderId="0" xfId="0" applyNumberFormat="1" applyFont="1" applyAlignment="1">
      <alignment horizontal="center" vertical="center"/>
    </xf>
    <xf numFmtId="2" fontId="14" fillId="0" borderId="25" xfId="1" applyNumberFormat="1" applyFont="1" applyFill="1" applyBorder="1" applyAlignment="1" applyProtection="1">
      <alignment horizontal="center" vertical="center"/>
    </xf>
    <xf numFmtId="2" fontId="14" fillId="0" borderId="3" xfId="1" applyNumberFormat="1" applyFont="1" applyFill="1" applyBorder="1" applyAlignment="1" applyProtection="1">
      <alignment horizontal="center" vertical="center"/>
    </xf>
    <xf numFmtId="0" fontId="14" fillId="8" borderId="82" xfId="0" applyFont="1" applyFill="1" applyBorder="1" applyAlignment="1">
      <alignment horizontal="center" vertical="center" wrapText="1"/>
    </xf>
    <xf numFmtId="0" fontId="14" fillId="8" borderId="25" xfId="0" applyFont="1" applyFill="1" applyBorder="1" applyAlignment="1">
      <alignment horizontal="left" vertical="center" wrapText="1"/>
    </xf>
    <xf numFmtId="0" fontId="14" fillId="8" borderId="53" xfId="0" applyFont="1" applyFill="1" applyBorder="1" applyAlignment="1">
      <alignment horizontal="center" vertical="center" wrapText="1"/>
    </xf>
    <xf numFmtId="2" fontId="0" fillId="0" borderId="0" xfId="0" applyNumberFormat="1"/>
    <xf numFmtId="0" fontId="14" fillId="8" borderId="31" xfId="0" applyFont="1" applyFill="1" applyBorder="1" applyAlignment="1">
      <alignment horizontal="center" vertical="center" wrapText="1"/>
    </xf>
    <xf numFmtId="0" fontId="84" fillId="0" borderId="17" xfId="0" applyFont="1" applyBorder="1" applyAlignment="1">
      <alignment horizontal="center"/>
    </xf>
    <xf numFmtId="0" fontId="83" fillId="0" borderId="38" xfId="0" applyFont="1" applyBorder="1"/>
    <xf numFmtId="0" fontId="83" fillId="0" borderId="0" xfId="0" applyFont="1"/>
    <xf numFmtId="0" fontId="84" fillId="0" borderId="25" xfId="0" applyFont="1" applyBorder="1" applyAlignment="1">
      <alignment horizontal="center"/>
    </xf>
    <xf numFmtId="167" fontId="62" fillId="0" borderId="2" xfId="0" applyNumberFormat="1" applyFont="1" applyBorder="1" applyAlignment="1">
      <alignment horizontal="center" vertical="center"/>
    </xf>
    <xf numFmtId="167" fontId="62" fillId="0" borderId="30" xfId="0" applyNumberFormat="1" applyFont="1" applyBorder="1" applyAlignment="1">
      <alignment horizontal="center" vertical="center"/>
    </xf>
    <xf numFmtId="0" fontId="85" fillId="0" borderId="0" xfId="0" applyFont="1"/>
    <xf numFmtId="167" fontId="41" fillId="19" borderId="27" xfId="0" applyNumberFormat="1" applyFont="1" applyFill="1" applyBorder="1"/>
    <xf numFmtId="167" fontId="42" fillId="19" borderId="27" xfId="0" applyNumberFormat="1" applyFont="1" applyFill="1" applyBorder="1"/>
    <xf numFmtId="169" fontId="32" fillId="15" borderId="27" xfId="0" applyNumberFormat="1" applyFont="1" applyFill="1" applyBorder="1" applyAlignment="1">
      <alignment vertical="center"/>
    </xf>
    <xf numFmtId="0" fontId="32" fillId="4" borderId="4" xfId="0" applyFont="1" applyFill="1" applyBorder="1" applyAlignment="1" applyProtection="1">
      <alignment horizontal="center" vertical="center"/>
      <protection locked="0"/>
    </xf>
    <xf numFmtId="0" fontId="32" fillId="4" borderId="5" xfId="0" applyFont="1" applyFill="1" applyBorder="1" applyAlignment="1" applyProtection="1">
      <alignment horizontal="center" vertical="center"/>
      <protection locked="0"/>
    </xf>
    <xf numFmtId="0" fontId="32" fillId="4" borderId="64" xfId="0" applyFont="1" applyFill="1" applyBorder="1" applyAlignment="1" applyProtection="1">
      <alignment horizontal="center" vertical="center"/>
      <protection locked="0"/>
    </xf>
    <xf numFmtId="0" fontId="32" fillId="4" borderId="9" xfId="0" applyFont="1" applyFill="1" applyBorder="1" applyAlignment="1" applyProtection="1">
      <alignment horizontal="center" vertical="center"/>
      <protection locked="0"/>
    </xf>
    <xf numFmtId="0" fontId="32" fillId="4" borderId="10" xfId="0" applyFont="1" applyFill="1" applyBorder="1" applyAlignment="1" applyProtection="1">
      <alignment horizontal="center" vertical="center"/>
      <protection locked="0"/>
    </xf>
    <xf numFmtId="0" fontId="32" fillId="4" borderId="65" xfId="0" applyFont="1" applyFill="1" applyBorder="1" applyAlignment="1" applyProtection="1">
      <alignment horizontal="center" vertical="center"/>
      <protection locked="0"/>
    </xf>
    <xf numFmtId="0" fontId="32" fillId="4" borderId="7" xfId="0" applyFont="1" applyFill="1" applyBorder="1" applyAlignment="1" applyProtection="1">
      <alignment horizontal="center" vertical="center"/>
      <protection locked="0"/>
    </xf>
    <xf numFmtId="0" fontId="32" fillId="4" borderId="2" xfId="0" applyFont="1" applyFill="1" applyBorder="1" applyAlignment="1" applyProtection="1">
      <alignment horizontal="center" vertical="center"/>
      <protection locked="0"/>
    </xf>
    <xf numFmtId="0" fontId="32" fillId="4" borderId="22" xfId="0" applyFont="1" applyFill="1" applyBorder="1" applyAlignment="1" applyProtection="1">
      <alignment horizontal="center" vertical="center"/>
      <protection locked="0"/>
    </xf>
    <xf numFmtId="0" fontId="32" fillId="4" borderId="53" xfId="0" applyFont="1" applyFill="1" applyBorder="1" applyAlignment="1" applyProtection="1">
      <alignment horizontal="center" vertical="center"/>
      <protection locked="0"/>
    </xf>
    <xf numFmtId="0" fontId="32" fillId="4" borderId="54" xfId="0" applyFont="1" applyFill="1" applyBorder="1" applyAlignment="1" applyProtection="1">
      <alignment horizontal="center" vertical="center"/>
      <protection locked="0"/>
    </xf>
    <xf numFmtId="0" fontId="32" fillId="4" borderId="59" xfId="0" applyFont="1" applyFill="1" applyBorder="1" applyAlignment="1" applyProtection="1">
      <alignment horizontal="center" vertical="center"/>
      <protection locked="0"/>
    </xf>
    <xf numFmtId="0" fontId="32" fillId="4" borderId="36" xfId="0" applyFont="1" applyFill="1" applyBorder="1" applyAlignment="1" applyProtection="1">
      <alignment horizontal="center" vertical="center"/>
      <protection locked="0"/>
    </xf>
    <xf numFmtId="0" fontId="32" fillId="4" borderId="1" xfId="0" applyFont="1" applyFill="1" applyBorder="1" applyAlignment="1" applyProtection="1">
      <alignment horizontal="center" vertical="center"/>
      <protection locked="0"/>
    </xf>
    <xf numFmtId="0" fontId="32" fillId="4" borderId="37" xfId="0" applyFont="1" applyFill="1" applyBorder="1" applyAlignment="1" applyProtection="1">
      <alignment horizontal="center" vertical="center"/>
      <protection locked="0"/>
    </xf>
    <xf numFmtId="0" fontId="32" fillId="4" borderId="62" xfId="0" applyFont="1" applyFill="1" applyBorder="1" applyAlignment="1" applyProtection="1">
      <alignment horizontal="center" vertical="center"/>
      <protection locked="0"/>
    </xf>
    <xf numFmtId="0" fontId="32" fillId="4" borderId="30" xfId="0" applyFont="1" applyFill="1" applyBorder="1" applyAlignment="1" applyProtection="1">
      <alignment horizontal="center" vertical="center"/>
      <protection locked="0"/>
    </xf>
    <xf numFmtId="0" fontId="32" fillId="4" borderId="35" xfId="0" applyFont="1" applyFill="1" applyBorder="1" applyAlignment="1" applyProtection="1">
      <alignment horizontal="center" vertical="center"/>
      <protection locked="0"/>
    </xf>
    <xf numFmtId="0" fontId="35" fillId="4" borderId="44" xfId="0" applyFont="1" applyFill="1" applyBorder="1" applyAlignment="1">
      <alignment vertical="center" wrapText="1"/>
    </xf>
    <xf numFmtId="0" fontId="35" fillId="4" borderId="61" xfId="0" applyFont="1" applyFill="1" applyBorder="1" applyAlignment="1">
      <alignment vertical="center" wrapText="1"/>
    </xf>
    <xf numFmtId="0" fontId="32" fillId="4" borderId="6" xfId="0" applyFont="1" applyFill="1" applyBorder="1" applyAlignment="1" applyProtection="1">
      <alignment horizontal="center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25" xfId="0" applyNumberFormat="1" applyBorder="1" applyAlignment="1">
      <alignment horizontal="center" vertical="center"/>
    </xf>
    <xf numFmtId="0" fontId="16" fillId="4" borderId="0" xfId="0" applyFont="1" applyFill="1" applyProtection="1">
      <protection locked="0"/>
    </xf>
    <xf numFmtId="165" fontId="16" fillId="4" borderId="0" xfId="0" applyNumberFormat="1" applyFont="1" applyFill="1" applyProtection="1">
      <protection locked="0"/>
    </xf>
    <xf numFmtId="0" fontId="92" fillId="4" borderId="0" xfId="0" applyFont="1" applyFill="1"/>
    <xf numFmtId="0" fontId="0" fillId="4" borderId="0" xfId="0" applyFill="1" applyAlignment="1">
      <alignment horizontal="center" vertical="center"/>
    </xf>
    <xf numFmtId="0" fontId="2" fillId="4" borderId="0" xfId="0" applyFont="1" applyFill="1"/>
    <xf numFmtId="0" fontId="56" fillId="4" borderId="0" xfId="3" applyFont="1" applyFill="1"/>
    <xf numFmtId="0" fontId="93" fillId="4" borderId="0" xfId="0" applyFont="1" applyFill="1"/>
    <xf numFmtId="0" fontId="96" fillId="0" borderId="8" xfId="0" applyFont="1" applyBorder="1" applyAlignment="1">
      <alignment horizontal="center" vertical="center"/>
    </xf>
    <xf numFmtId="0" fontId="96" fillId="0" borderId="47" xfId="0" applyFont="1" applyBorder="1"/>
    <xf numFmtId="0" fontId="96" fillId="0" borderId="44" xfId="0" applyFont="1" applyBorder="1"/>
    <xf numFmtId="0" fontId="96" fillId="4" borderId="8" xfId="0" applyFont="1" applyFill="1" applyBorder="1" applyAlignment="1">
      <alignment horizontal="center" vertical="center" wrapText="1"/>
    </xf>
    <xf numFmtId="0" fontId="96" fillId="4" borderId="27" xfId="0" applyFont="1" applyFill="1" applyBorder="1"/>
    <xf numFmtId="0" fontId="96" fillId="4" borderId="2" xfId="0" applyFont="1" applyFill="1" applyBorder="1"/>
    <xf numFmtId="0" fontId="96" fillId="4" borderId="8" xfId="0" applyFont="1" applyFill="1" applyBorder="1"/>
    <xf numFmtId="4" fontId="14" fillId="10" borderId="2" xfId="0" applyNumberFormat="1" applyFont="1" applyFill="1" applyBorder="1" applyAlignment="1">
      <alignment horizontal="center" vertical="center"/>
    </xf>
    <xf numFmtId="0" fontId="105" fillId="26" borderId="3" xfId="3" applyFont="1" applyFill="1" applyBorder="1" applyAlignment="1">
      <alignment horizontal="center" vertical="center" wrapText="1"/>
    </xf>
    <xf numFmtId="0" fontId="51" fillId="0" borderId="0" xfId="3" applyFont="1" applyAlignment="1">
      <alignment vertical="top"/>
    </xf>
    <xf numFmtId="0" fontId="105" fillId="26" borderId="31" xfId="3" applyFont="1" applyFill="1" applyBorder="1" applyAlignment="1">
      <alignment horizontal="center" vertical="center" wrapText="1"/>
    </xf>
    <xf numFmtId="0" fontId="112" fillId="0" borderId="0" xfId="0" applyFont="1" applyProtection="1">
      <protection locked="0"/>
    </xf>
    <xf numFmtId="0" fontId="112" fillId="4" borderId="0" xfId="0" applyFont="1" applyFill="1" applyProtection="1">
      <protection locked="0"/>
    </xf>
    <xf numFmtId="0" fontId="113" fillId="0" borderId="0" xfId="0" applyFont="1" applyProtection="1">
      <protection locked="0"/>
    </xf>
    <xf numFmtId="0" fontId="32" fillId="4" borderId="29" xfId="0" applyFont="1" applyFill="1" applyBorder="1" applyAlignment="1" applyProtection="1">
      <alignment horizontal="center" vertical="center"/>
      <protection locked="0"/>
    </xf>
    <xf numFmtId="0" fontId="32" fillId="4" borderId="50" xfId="0" applyFont="1" applyFill="1" applyBorder="1" applyAlignment="1" applyProtection="1">
      <alignment horizontal="center" vertical="center"/>
      <protection locked="0"/>
    </xf>
    <xf numFmtId="0" fontId="32" fillId="4" borderId="27" xfId="0" applyFont="1" applyFill="1" applyBorder="1" applyAlignment="1" applyProtection="1">
      <alignment horizontal="center" vertical="center"/>
      <protection locked="0"/>
    </xf>
    <xf numFmtId="0" fontId="32" fillId="4" borderId="66" xfId="0" applyFont="1" applyFill="1" applyBorder="1" applyAlignment="1" applyProtection="1">
      <alignment horizontal="center" vertical="center"/>
      <protection locked="0"/>
    </xf>
    <xf numFmtId="0" fontId="35" fillId="4" borderId="43" xfId="0" applyFont="1" applyFill="1" applyBorder="1" applyAlignment="1">
      <alignment vertical="center" wrapText="1"/>
    </xf>
    <xf numFmtId="0" fontId="32" fillId="4" borderId="88" xfId="0" applyFont="1" applyFill="1" applyBorder="1" applyAlignment="1" applyProtection="1">
      <alignment horizontal="center" vertical="center"/>
      <protection locked="0"/>
    </xf>
    <xf numFmtId="0" fontId="14" fillId="0" borderId="38" xfId="0" applyFont="1" applyBorder="1" applyAlignment="1">
      <alignment vertical="center"/>
    </xf>
    <xf numFmtId="0" fontId="14" fillId="8" borderId="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25" borderId="25" xfId="0" applyFont="1" applyFill="1" applyBorder="1" applyAlignment="1">
      <alignment horizontal="center" vertical="center"/>
    </xf>
    <xf numFmtId="0" fontId="14" fillId="0" borderId="25" xfId="0" applyFont="1" applyBorder="1" applyAlignment="1">
      <alignment vertical="center"/>
    </xf>
    <xf numFmtId="0" fontId="14" fillId="25" borderId="25" xfId="0" applyFont="1" applyFill="1" applyBorder="1" applyAlignment="1">
      <alignment vertical="center"/>
    </xf>
    <xf numFmtId="2" fontId="0" fillId="0" borderId="12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14" fillId="0" borderId="31" xfId="1" applyNumberFormat="1" applyFont="1" applyFill="1" applyBorder="1" applyAlignment="1" applyProtection="1">
      <alignment horizontal="center" vertical="center"/>
    </xf>
    <xf numFmtId="0" fontId="110" fillId="22" borderId="0" xfId="0" applyFont="1" applyFill="1" applyAlignment="1">
      <alignment horizontal="center" vertical="center" wrapText="1"/>
    </xf>
    <xf numFmtId="0" fontId="110" fillId="0" borderId="0" xfId="0" applyFont="1" applyAlignment="1">
      <alignment horizontal="center" vertical="center" wrapText="1"/>
    </xf>
    <xf numFmtId="0" fontId="32" fillId="4" borderId="11" xfId="0" applyFont="1" applyFill="1" applyBorder="1" applyAlignment="1" applyProtection="1">
      <alignment horizontal="center" vertical="center"/>
      <protection locked="0"/>
    </xf>
    <xf numFmtId="0" fontId="32" fillId="4" borderId="37" xfId="0" applyFont="1" applyFill="1" applyBorder="1" applyAlignment="1" applyProtection="1">
      <alignment horizontal="center"/>
      <protection locked="0"/>
    </xf>
    <xf numFmtId="0" fontId="32" fillId="4" borderId="22" xfId="0" applyFont="1" applyFill="1" applyBorder="1" applyAlignment="1" applyProtection="1">
      <alignment horizontal="center"/>
      <protection locked="0"/>
    </xf>
    <xf numFmtId="0" fontId="32" fillId="4" borderId="8" xfId="0" applyFont="1" applyFill="1" applyBorder="1" applyAlignment="1" applyProtection="1">
      <alignment horizontal="center" vertical="center"/>
      <protection locked="0"/>
    </xf>
    <xf numFmtId="14" fontId="115" fillId="0" borderId="2" xfId="0" applyNumberFormat="1" applyFont="1" applyBorder="1" applyAlignment="1">
      <alignment horizontal="center" vertical="center" wrapText="1"/>
    </xf>
    <xf numFmtId="0" fontId="123" fillId="0" borderId="2" xfId="0" applyFont="1" applyBorder="1" applyAlignment="1">
      <alignment horizontal="center" vertical="center"/>
    </xf>
    <xf numFmtId="0" fontId="123" fillId="0" borderId="2" xfId="0" applyFont="1" applyBorder="1" applyAlignment="1">
      <alignment horizontal="center"/>
    </xf>
    <xf numFmtId="0" fontId="124" fillId="0" borderId="30" xfId="0" applyFont="1" applyBorder="1" applyAlignment="1">
      <alignment horizontal="center" vertical="center"/>
    </xf>
    <xf numFmtId="0" fontId="125" fillId="0" borderId="0" xfId="0" applyFont="1"/>
    <xf numFmtId="0" fontId="116" fillId="23" borderId="83" xfId="26" applyFont="1" applyFill="1" applyBorder="1" applyAlignment="1">
      <alignment horizontal="center" vertical="center" wrapText="1"/>
    </xf>
    <xf numFmtId="0" fontId="125" fillId="0" borderId="2" xfId="0" applyFont="1" applyBorder="1" applyAlignment="1">
      <alignment horizontal="center"/>
    </xf>
    <xf numFmtId="0" fontId="105" fillId="0" borderId="84" xfId="26" applyFont="1" applyBorder="1" applyAlignment="1">
      <alignment horizontal="center" vertical="center"/>
    </xf>
    <xf numFmtId="0" fontId="105" fillId="0" borderId="84" xfId="26" applyFont="1" applyBorder="1" applyAlignment="1">
      <alignment horizontal="center"/>
    </xf>
    <xf numFmtId="0" fontId="124" fillId="0" borderId="2" xfId="0" applyFont="1" applyBorder="1" applyAlignment="1">
      <alignment horizontal="center" vertical="center"/>
    </xf>
    <xf numFmtId="0" fontId="123" fillId="0" borderId="0" xfId="0" applyFont="1" applyAlignment="1">
      <alignment horizontal="center"/>
    </xf>
    <xf numFmtId="0" fontId="123" fillId="0" borderId="0" xfId="0" applyFont="1" applyAlignment="1">
      <alignment horizontal="center" vertical="center"/>
    </xf>
    <xf numFmtId="0" fontId="116" fillId="0" borderId="84" xfId="0" applyFont="1" applyBorder="1" applyAlignment="1">
      <alignment horizontal="center"/>
    </xf>
    <xf numFmtId="0" fontId="125" fillId="0" borderId="2" xfId="0" applyFont="1" applyBorder="1" applyAlignment="1">
      <alignment horizontal="center" vertical="center"/>
    </xf>
    <xf numFmtId="0" fontId="126" fillId="0" borderId="0" xfId="0" applyFont="1"/>
    <xf numFmtId="0" fontId="124" fillId="0" borderId="2" xfId="0" applyFont="1" applyBorder="1" applyAlignment="1">
      <alignment horizontal="center"/>
    </xf>
    <xf numFmtId="0" fontId="124" fillId="2" borderId="30" xfId="0" applyFont="1" applyFill="1" applyBorder="1" applyAlignment="1">
      <alignment horizontal="center"/>
    </xf>
    <xf numFmtId="0" fontId="124" fillId="0" borderId="30" xfId="0" applyFont="1" applyBorder="1" applyAlignment="1">
      <alignment horizontal="center"/>
    </xf>
    <xf numFmtId="0" fontId="126" fillId="0" borderId="0" xfId="0" applyFont="1" applyAlignment="1">
      <alignment horizontal="center"/>
    </xf>
    <xf numFmtId="0" fontId="126" fillId="0" borderId="0" xfId="0" applyFont="1" applyAlignment="1">
      <alignment horizontal="center" vertical="center"/>
    </xf>
    <xf numFmtId="0" fontId="125" fillId="0" borderId="0" xfId="0" applyFont="1" applyAlignment="1">
      <alignment horizontal="center"/>
    </xf>
    <xf numFmtId="0" fontId="123" fillId="0" borderId="0" xfId="0" applyFont="1" applyAlignment="1">
      <alignment horizontal="center" vertical="center" wrapText="1"/>
    </xf>
    <xf numFmtId="0" fontId="27" fillId="0" borderId="0" xfId="0" applyFont="1" applyAlignment="1">
      <alignment vertical="center" wrapText="1"/>
    </xf>
    <xf numFmtId="0" fontId="114" fillId="0" borderId="22" xfId="0" applyFont="1" applyBorder="1" applyAlignment="1">
      <alignment vertical="center" wrapText="1"/>
    </xf>
    <xf numFmtId="20" fontId="27" fillId="0" borderId="2" xfId="0" applyNumberFormat="1" applyFont="1" applyBorder="1" applyAlignment="1">
      <alignment horizontal="center" vertical="center" wrapText="1"/>
    </xf>
    <xf numFmtId="0" fontId="111" fillId="0" borderId="0" xfId="0" applyFont="1" applyAlignment="1">
      <alignment vertical="center"/>
    </xf>
    <xf numFmtId="0" fontId="124" fillId="0" borderId="35" xfId="0" applyFont="1" applyBorder="1" applyAlignment="1">
      <alignment horizontal="center"/>
    </xf>
    <xf numFmtId="0" fontId="123" fillId="0" borderId="25" xfId="0" applyFont="1" applyBorder="1" applyAlignment="1">
      <alignment horizontal="center"/>
    </xf>
    <xf numFmtId="0" fontId="124" fillId="2" borderId="35" xfId="0" applyFont="1" applyFill="1" applyBorder="1" applyAlignment="1">
      <alignment horizontal="center" vertical="center"/>
    </xf>
    <xf numFmtId="0" fontId="123" fillId="0" borderId="25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/>
    </xf>
    <xf numFmtId="0" fontId="14" fillId="0" borderId="2" xfId="0" applyFont="1" applyBorder="1" applyAlignment="1">
      <alignment horizontal="right" vertical="center"/>
    </xf>
    <xf numFmtId="0" fontId="15" fillId="0" borderId="2" xfId="0" applyFont="1" applyBorder="1" applyAlignment="1">
      <alignment horizontal="right"/>
    </xf>
    <xf numFmtId="2" fontId="46" fillId="0" borderId="2" xfId="0" applyNumberFormat="1" applyFont="1" applyBorder="1" applyAlignment="1">
      <alignment horizontal="center" vertical="center"/>
    </xf>
    <xf numFmtId="0" fontId="15" fillId="30" borderId="0" xfId="0" applyFont="1" applyFill="1"/>
    <xf numFmtId="0" fontId="14" fillId="30" borderId="0" xfId="0" applyFont="1" applyFill="1"/>
    <xf numFmtId="0" fontId="14" fillId="30" borderId="0" xfId="0" applyFont="1" applyFill="1" applyAlignment="1">
      <alignment horizontal="center" vertical="center"/>
    </xf>
    <xf numFmtId="0" fontId="14" fillId="30" borderId="0" xfId="0" applyFont="1" applyFill="1" applyAlignment="1">
      <alignment horizontal="center"/>
    </xf>
    <xf numFmtId="168" fontId="14" fillId="30" borderId="0" xfId="0" applyNumberFormat="1" applyFont="1" applyFill="1" applyAlignment="1">
      <alignment horizontal="center" vertical="center"/>
    </xf>
    <xf numFmtId="165" fontId="14" fillId="0" borderId="0" xfId="0" applyNumberFormat="1" applyFont="1" applyAlignment="1">
      <alignment vertical="center"/>
    </xf>
    <xf numFmtId="168" fontId="14" fillId="0" borderId="0" xfId="0" applyNumberFormat="1" applyFont="1" applyAlignment="1">
      <alignment horizontal="center" vertical="center"/>
    </xf>
    <xf numFmtId="0" fontId="44" fillId="0" borderId="2" xfId="0" applyFont="1" applyBorder="1" applyAlignment="1">
      <alignment horizontal="center" vertical="center"/>
    </xf>
    <xf numFmtId="0" fontId="47" fillId="31" borderId="0" xfId="0" quotePrefix="1" applyFont="1" applyFill="1" applyAlignment="1">
      <alignment horizontal="center" vertical="center" wrapText="1"/>
    </xf>
    <xf numFmtId="0" fontId="129" fillId="0" borderId="0" xfId="0" applyFont="1" applyAlignment="1">
      <alignment vertical="center"/>
    </xf>
    <xf numFmtId="0" fontId="127" fillId="4" borderId="0" xfId="0" applyFont="1" applyFill="1" applyProtection="1">
      <protection locked="0"/>
    </xf>
    <xf numFmtId="0" fontId="130" fillId="0" borderId="0" xfId="0" applyFont="1" applyProtection="1">
      <protection locked="0"/>
    </xf>
    <xf numFmtId="0" fontId="131" fillId="4" borderId="0" xfId="0" applyFont="1" applyFill="1" applyAlignment="1" applyProtection="1">
      <alignment horizontal="left"/>
      <protection locked="0"/>
    </xf>
    <xf numFmtId="0" fontId="132" fillId="0" borderId="0" xfId="3" applyFont="1" applyAlignment="1">
      <alignment vertical="top"/>
    </xf>
    <xf numFmtId="0" fontId="133" fillId="4" borderId="0" xfId="0" applyFont="1" applyFill="1" applyAlignment="1" applyProtection="1">
      <alignment vertical="center"/>
      <protection locked="0"/>
    </xf>
    <xf numFmtId="0" fontId="127" fillId="0" borderId="0" xfId="0" applyFont="1" applyProtection="1">
      <protection locked="0"/>
    </xf>
    <xf numFmtId="0" fontId="134" fillId="4" borderId="0" xfId="0" applyFont="1" applyFill="1" applyAlignment="1" applyProtection="1">
      <alignment vertical="center"/>
      <protection locked="0"/>
    </xf>
    <xf numFmtId="0" fontId="135" fillId="4" borderId="0" xfId="0" applyFont="1" applyFill="1" applyProtection="1">
      <protection locked="0"/>
    </xf>
    <xf numFmtId="0" fontId="135" fillId="0" borderId="0" xfId="0" applyFont="1" applyProtection="1">
      <protection locked="0"/>
    </xf>
    <xf numFmtId="0" fontId="136" fillId="4" borderId="0" xfId="0" applyFont="1" applyFill="1" applyAlignment="1" applyProtection="1">
      <alignment horizontal="left"/>
      <protection locked="0"/>
    </xf>
    <xf numFmtId="165" fontId="15" fillId="11" borderId="25" xfId="0" applyNumberFormat="1" applyFont="1" applyFill="1" applyBorder="1" applyAlignment="1">
      <alignment horizontal="center"/>
    </xf>
    <xf numFmtId="2" fontId="127" fillId="0" borderId="0" xfId="0" applyNumberFormat="1" applyFont="1" applyProtection="1">
      <protection locked="0"/>
    </xf>
    <xf numFmtId="0" fontId="139" fillId="0" borderId="0" xfId="0" applyFont="1" applyProtection="1">
      <protection locked="0"/>
    </xf>
    <xf numFmtId="0" fontId="139" fillId="4" borderId="0" xfId="0" applyFont="1" applyFill="1" applyProtection="1">
      <protection locked="0"/>
    </xf>
    <xf numFmtId="0" fontId="44" fillId="0" borderId="0" xfId="0" applyFont="1" applyProtection="1">
      <protection locked="0"/>
    </xf>
    <xf numFmtId="0" fontId="140" fillId="4" borderId="0" xfId="0" applyFont="1" applyFill="1" applyAlignment="1" applyProtection="1">
      <alignment horizontal="left"/>
      <protection locked="0"/>
    </xf>
    <xf numFmtId="168" fontId="139" fillId="0" borderId="0" xfId="0" applyNumberFormat="1" applyFont="1" applyProtection="1">
      <protection locked="0"/>
    </xf>
    <xf numFmtId="0" fontId="137" fillId="21" borderId="25" xfId="0" applyFont="1" applyFill="1" applyBorder="1" applyAlignment="1">
      <alignment horizontal="center" vertical="center"/>
    </xf>
    <xf numFmtId="0" fontId="137" fillId="11" borderId="53" xfId="0" applyFont="1" applyFill="1" applyBorder="1" applyAlignment="1">
      <alignment horizontal="center" vertical="center" wrapText="1"/>
    </xf>
    <xf numFmtId="0" fontId="137" fillId="11" borderId="25" xfId="0" applyFont="1" applyFill="1" applyBorder="1" applyAlignment="1">
      <alignment horizontal="center" vertical="center" wrapText="1"/>
    </xf>
    <xf numFmtId="0" fontId="145" fillId="0" borderId="42" xfId="0" applyFont="1" applyBorder="1" applyAlignment="1">
      <alignment horizontal="center"/>
    </xf>
    <xf numFmtId="0" fontId="145" fillId="0" borderId="1" xfId="0" applyFont="1" applyBorder="1" applyAlignment="1">
      <alignment horizontal="center"/>
    </xf>
    <xf numFmtId="0" fontId="145" fillId="0" borderId="8" xfId="0" applyFont="1" applyBorder="1" applyAlignment="1">
      <alignment horizontal="center"/>
    </xf>
    <xf numFmtId="0" fontId="145" fillId="0" borderId="2" xfId="0" applyFont="1" applyBorder="1" applyAlignment="1">
      <alignment horizontal="center"/>
    </xf>
    <xf numFmtId="0" fontId="145" fillId="0" borderId="57" xfId="0" applyFont="1" applyBorder="1" applyAlignment="1">
      <alignment horizontal="center"/>
    </xf>
    <xf numFmtId="0" fontId="145" fillId="0" borderId="30" xfId="0" applyFont="1" applyBorder="1" applyAlignment="1">
      <alignment horizontal="center"/>
    </xf>
    <xf numFmtId="0" fontId="145" fillId="0" borderId="29" xfId="0" applyFont="1" applyBorder="1" applyAlignment="1">
      <alignment horizontal="center"/>
    </xf>
    <xf numFmtId="0" fontId="108" fillId="21" borderId="25" xfId="0" applyFont="1" applyFill="1" applyBorder="1" applyAlignment="1">
      <alignment horizontal="center" vertical="center" wrapText="1"/>
    </xf>
    <xf numFmtId="0" fontId="108" fillId="8" borderId="32" xfId="0" applyFont="1" applyFill="1" applyBorder="1" applyAlignment="1">
      <alignment horizontal="center" vertical="center"/>
    </xf>
    <xf numFmtId="0" fontId="108" fillId="13" borderId="17" xfId="0" applyFont="1" applyFill="1" applyBorder="1" applyAlignment="1">
      <alignment horizontal="center" vertical="center" wrapText="1"/>
    </xf>
    <xf numFmtId="0" fontId="138" fillId="0" borderId="0" xfId="0" applyFont="1" applyProtection="1">
      <protection locked="0"/>
    </xf>
    <xf numFmtId="4" fontId="14" fillId="4" borderId="2" xfId="0" applyNumberFormat="1" applyFont="1" applyFill="1" applyBorder="1" applyAlignment="1">
      <alignment horizontal="center" vertical="center"/>
    </xf>
    <xf numFmtId="14" fontId="46" fillId="0" borderId="2" xfId="0" applyNumberFormat="1" applyFont="1" applyBorder="1" applyAlignment="1">
      <alignment horizontal="center" vertical="center"/>
    </xf>
    <xf numFmtId="171" fontId="14" fillId="10" borderId="2" xfId="30" applyNumberFormat="1" applyFont="1" applyFill="1" applyBorder="1" applyAlignment="1">
      <alignment horizontal="center" vertical="center"/>
    </xf>
    <xf numFmtId="4" fontId="14" fillId="17" borderId="2" xfId="0" applyNumberFormat="1" applyFont="1" applyFill="1" applyBorder="1" applyAlignment="1">
      <alignment vertical="center"/>
    </xf>
    <xf numFmtId="4" fontId="14" fillId="4" borderId="0" xfId="0" applyNumberFormat="1" applyFont="1" applyFill="1" applyAlignment="1">
      <alignment horizontal="center" vertical="center"/>
    </xf>
    <xf numFmtId="4" fontId="14" fillId="4" borderId="0" xfId="0" applyNumberFormat="1" applyFont="1" applyFill="1" applyAlignment="1">
      <alignment vertical="center"/>
    </xf>
    <xf numFmtId="171" fontId="14" fillId="4" borderId="0" xfId="30" applyNumberFormat="1" applyFont="1" applyFill="1" applyBorder="1" applyAlignment="1">
      <alignment horizontal="center" vertical="center"/>
    </xf>
    <xf numFmtId="0" fontId="14" fillId="4" borderId="0" xfId="0" applyFont="1" applyFill="1"/>
    <xf numFmtId="0" fontId="15" fillId="4" borderId="0" xfId="0" applyFont="1" applyFill="1" applyAlignment="1">
      <alignment horizontal="center"/>
    </xf>
    <xf numFmtId="0" fontId="61" fillId="10" borderId="2" xfId="0" applyFont="1" applyFill="1" applyBorder="1" applyAlignment="1">
      <alignment horizontal="center" vertical="center"/>
    </xf>
    <xf numFmtId="0" fontId="15" fillId="17" borderId="2" xfId="0" applyFont="1" applyFill="1" applyBorder="1"/>
    <xf numFmtId="0" fontId="14" fillId="4" borderId="0" xfId="0" applyFont="1" applyFill="1" applyAlignment="1">
      <alignment vertical="center"/>
    </xf>
    <xf numFmtId="4" fontId="148" fillId="4" borderId="0" xfId="0" applyNumberFormat="1" applyFont="1" applyFill="1" applyAlignment="1">
      <alignment vertical="center"/>
    </xf>
    <xf numFmtId="0" fontId="149" fillId="4" borderId="0" xfId="0" applyFont="1" applyFill="1" applyAlignment="1">
      <alignment horizontal="center" vertical="center" wrapText="1"/>
    </xf>
    <xf numFmtId="0" fontId="108" fillId="8" borderId="14" xfId="0" applyFont="1" applyFill="1" applyBorder="1" applyAlignment="1">
      <alignment horizontal="center" vertical="center"/>
    </xf>
    <xf numFmtId="0" fontId="108" fillId="8" borderId="13" xfId="0" applyFont="1" applyFill="1" applyBorder="1" applyAlignment="1">
      <alignment horizontal="center" vertical="center"/>
    </xf>
    <xf numFmtId="2" fontId="14" fillId="0" borderId="16" xfId="1" applyNumberFormat="1" applyFont="1" applyFill="1" applyBorder="1" applyAlignment="1" applyProtection="1">
      <alignment horizontal="center" vertical="center"/>
    </xf>
    <xf numFmtId="4" fontId="0" fillId="4" borderId="12" xfId="0" applyNumberFormat="1" applyFill="1" applyBorder="1" applyAlignment="1">
      <alignment horizontal="center" vertical="center"/>
    </xf>
    <xf numFmtId="4" fontId="0" fillId="4" borderId="14" xfId="0" applyNumberFormat="1" applyFill="1" applyBorder="1" applyAlignment="1">
      <alignment horizontal="center" vertical="center"/>
    </xf>
    <xf numFmtId="0" fontId="123" fillId="0" borderId="1" xfId="0" applyFont="1" applyBorder="1" applyAlignment="1">
      <alignment horizontal="center" vertical="center"/>
    </xf>
    <xf numFmtId="0" fontId="123" fillId="0" borderId="1" xfId="0" applyFont="1" applyBorder="1" applyAlignment="1">
      <alignment horizontal="center"/>
    </xf>
    <xf numFmtId="0" fontId="116" fillId="23" borderId="83" xfId="0" applyFont="1" applyFill="1" applyBorder="1" applyAlignment="1">
      <alignment horizontal="center"/>
    </xf>
    <xf numFmtId="0" fontId="60" fillId="0" borderId="1" xfId="0" applyFont="1" applyBorder="1" applyAlignment="1">
      <alignment horizontal="center" wrapText="1"/>
    </xf>
    <xf numFmtId="0" fontId="60" fillId="0" borderId="1" xfId="0" applyFont="1" applyBorder="1" applyAlignment="1">
      <alignment horizontal="center"/>
    </xf>
    <xf numFmtId="0" fontId="60" fillId="0" borderId="1" xfId="0" applyFont="1" applyBorder="1" applyAlignment="1">
      <alignment horizontal="center" vertical="center" wrapText="1"/>
    </xf>
    <xf numFmtId="0" fontId="123" fillId="0" borderId="25" xfId="0" applyFont="1" applyBorder="1"/>
    <xf numFmtId="0" fontId="157" fillId="0" borderId="84" xfId="26" applyFont="1" applyBorder="1" applyAlignment="1">
      <alignment horizontal="center" vertical="center"/>
    </xf>
    <xf numFmtId="0" fontId="157" fillId="0" borderId="84" xfId="26" applyFont="1" applyBorder="1" applyAlignment="1">
      <alignment horizontal="center"/>
    </xf>
    <xf numFmtId="2" fontId="14" fillId="10" borderId="2" xfId="0" applyNumberFormat="1" applyFont="1" applyFill="1" applyBorder="1" applyAlignment="1">
      <alignment vertical="center"/>
    </xf>
    <xf numFmtId="0" fontId="27" fillId="0" borderId="0" xfId="0" applyFont="1" applyAlignment="1">
      <alignment horizontal="center" vertical="center" wrapText="1"/>
    </xf>
    <xf numFmtId="0" fontId="32" fillId="4" borderId="39" xfId="0" applyFont="1" applyFill="1" applyBorder="1" applyAlignment="1" applyProtection="1">
      <alignment horizontal="center" vertical="center"/>
      <protection locked="0"/>
    </xf>
    <xf numFmtId="0" fontId="158" fillId="0" borderId="0" xfId="0" applyFont="1"/>
    <xf numFmtId="0" fontId="158" fillId="0" borderId="0" xfId="0" applyFont="1" applyAlignment="1">
      <alignment horizontal="center"/>
    </xf>
    <xf numFmtId="0" fontId="158" fillId="0" borderId="0" xfId="0" applyFont="1" applyAlignment="1">
      <alignment horizontal="center" vertical="center"/>
    </xf>
    <xf numFmtId="165" fontId="15" fillId="0" borderId="0" xfId="0" applyNumberFormat="1" applyFont="1"/>
    <xf numFmtId="165" fontId="15" fillId="0" borderId="51" xfId="0" applyNumberFormat="1" applyFont="1" applyBorder="1"/>
    <xf numFmtId="0" fontId="32" fillId="0" borderId="2" xfId="0" applyFont="1" applyBorder="1" applyAlignment="1" applyProtection="1">
      <alignment horizontal="center" vertical="center"/>
      <protection locked="0"/>
    </xf>
    <xf numFmtId="0" fontId="15" fillId="25" borderId="38" xfId="0" applyFont="1" applyFill="1" applyBorder="1" applyAlignment="1">
      <alignment horizontal="center" vertical="center"/>
    </xf>
    <xf numFmtId="0" fontId="14" fillId="25" borderId="20" xfId="0" applyFont="1" applyFill="1" applyBorder="1" applyAlignment="1">
      <alignment vertical="center"/>
    </xf>
    <xf numFmtId="2" fontId="14" fillId="0" borderId="0" xfId="0" applyNumberFormat="1" applyFont="1" applyAlignment="1">
      <alignment horizontal="center"/>
    </xf>
    <xf numFmtId="2" fontId="124" fillId="2" borderId="30" xfId="0" applyNumberFormat="1" applyFont="1" applyFill="1" applyBorder="1" applyAlignment="1">
      <alignment horizontal="center" vertical="center"/>
    </xf>
    <xf numFmtId="2" fontId="123" fillId="0" borderId="25" xfId="0" applyNumberFormat="1" applyFont="1" applyBorder="1" applyAlignment="1">
      <alignment horizontal="center" vertical="center"/>
    </xf>
    <xf numFmtId="165" fontId="14" fillId="0" borderId="51" xfId="0" applyNumberFormat="1" applyFont="1" applyBorder="1" applyAlignment="1">
      <alignment vertical="center"/>
    </xf>
    <xf numFmtId="1" fontId="165" fillId="10" borderId="25" xfId="0" applyNumberFormat="1" applyFont="1" applyFill="1" applyBorder="1" applyAlignment="1">
      <alignment horizontal="center" vertical="center"/>
    </xf>
    <xf numFmtId="0" fontId="125" fillId="0" borderId="31" xfId="0" applyFont="1" applyBorder="1" applyAlignment="1">
      <alignment horizontal="center"/>
    </xf>
    <xf numFmtId="0" fontId="166" fillId="3" borderId="31" xfId="0" applyFont="1" applyFill="1" applyBorder="1" applyAlignment="1">
      <alignment horizontal="center"/>
    </xf>
    <xf numFmtId="0" fontId="171" fillId="39" borderId="2" xfId="0" applyFont="1" applyFill="1" applyBorder="1" applyAlignment="1">
      <alignment horizontal="center" vertical="center" wrapText="1"/>
    </xf>
    <xf numFmtId="0" fontId="172" fillId="0" borderId="2" xfId="0" applyFont="1" applyBorder="1" applyAlignment="1">
      <alignment horizontal="center" vertical="center" wrapText="1"/>
    </xf>
    <xf numFmtId="9" fontId="172" fillId="0" borderId="2" xfId="0" applyNumberFormat="1" applyFont="1" applyBorder="1" applyAlignment="1">
      <alignment horizontal="center" vertical="center" wrapText="1"/>
    </xf>
    <xf numFmtId="0" fontId="168" fillId="39" borderId="4" xfId="0" applyFont="1" applyFill="1" applyBorder="1" applyAlignment="1">
      <alignment horizontal="center" vertical="center" wrapText="1"/>
    </xf>
    <xf numFmtId="0" fontId="170" fillId="39" borderId="7" xfId="0" applyFont="1" applyFill="1" applyBorder="1" applyAlignment="1">
      <alignment horizontal="center" vertical="center" wrapText="1"/>
    </xf>
    <xf numFmtId="0" fontId="171" fillId="39" borderId="7" xfId="0" applyFont="1" applyFill="1" applyBorder="1" applyAlignment="1">
      <alignment horizontal="center" vertical="center" wrapText="1"/>
    </xf>
    <xf numFmtId="0" fontId="171" fillId="39" borderId="8" xfId="0" applyFont="1" applyFill="1" applyBorder="1" applyAlignment="1">
      <alignment horizontal="center" vertical="center" wrapText="1"/>
    </xf>
    <xf numFmtId="0" fontId="172" fillId="0" borderId="7" xfId="0" applyFont="1" applyBorder="1" applyAlignment="1">
      <alignment horizontal="center" vertical="center" wrapText="1"/>
    </xf>
    <xf numFmtId="0" fontId="173" fillId="2" borderId="8" xfId="0" applyFont="1" applyFill="1" applyBorder="1" applyAlignment="1">
      <alignment horizontal="center" vertical="center" wrapText="1"/>
    </xf>
    <xf numFmtId="0" fontId="173" fillId="42" borderId="8" xfId="0" applyFont="1" applyFill="1" applyBorder="1" applyAlignment="1">
      <alignment horizontal="center" vertical="center" wrapText="1"/>
    </xf>
    <xf numFmtId="0" fontId="173" fillId="22" borderId="8" xfId="0" applyFont="1" applyFill="1" applyBorder="1" applyAlignment="1">
      <alignment horizontal="center" vertical="center" wrapText="1"/>
    </xf>
    <xf numFmtId="0" fontId="171" fillId="9" borderId="8" xfId="0" applyFont="1" applyFill="1" applyBorder="1" applyAlignment="1">
      <alignment horizontal="center" vertical="center" wrapText="1"/>
    </xf>
    <xf numFmtId="0" fontId="173" fillId="38" borderId="8" xfId="0" applyFont="1" applyFill="1" applyBorder="1" applyAlignment="1">
      <alignment horizontal="center" vertical="center" wrapText="1"/>
    </xf>
    <xf numFmtId="0" fontId="164" fillId="22" borderId="23" xfId="0" applyFont="1" applyFill="1" applyBorder="1" applyAlignment="1">
      <alignment horizontal="center"/>
    </xf>
    <xf numFmtId="0" fontId="161" fillId="9" borderId="23" xfId="0" applyFont="1" applyFill="1" applyBorder="1" applyAlignment="1">
      <alignment horizontal="center"/>
    </xf>
    <xf numFmtId="0" fontId="164" fillId="2" borderId="23" xfId="0" applyFont="1" applyFill="1" applyBorder="1" applyAlignment="1">
      <alignment horizontal="center"/>
    </xf>
    <xf numFmtId="0" fontId="161" fillId="5" borderId="23" xfId="0" applyFont="1" applyFill="1" applyBorder="1" applyAlignment="1">
      <alignment horizontal="center"/>
    </xf>
    <xf numFmtId="0" fontId="105" fillId="0" borderId="94" xfId="26" applyFont="1" applyBorder="1" applyAlignment="1">
      <alignment horizontal="center"/>
    </xf>
    <xf numFmtId="0" fontId="157" fillId="0" borderId="94" xfId="26" applyFont="1" applyBorder="1" applyAlignment="1">
      <alignment horizontal="center"/>
    </xf>
    <xf numFmtId="0" fontId="105" fillId="0" borderId="93" xfId="26" applyFont="1" applyBorder="1" applyAlignment="1">
      <alignment horizontal="center"/>
    </xf>
    <xf numFmtId="0" fontId="157" fillId="0" borderId="93" xfId="26" applyFont="1" applyBorder="1" applyAlignment="1">
      <alignment horizontal="center"/>
    </xf>
    <xf numFmtId="0" fontId="116" fillId="23" borderId="95" xfId="26" applyFont="1" applyFill="1" applyBorder="1" applyAlignment="1">
      <alignment horizontal="center" vertical="center" wrapText="1"/>
    </xf>
    <xf numFmtId="0" fontId="157" fillId="0" borderId="83" xfId="26" applyFont="1" applyBorder="1" applyAlignment="1">
      <alignment horizontal="center"/>
    </xf>
    <xf numFmtId="0" fontId="157" fillId="0" borderId="2" xfId="26" applyFont="1" applyBorder="1" applyAlignment="1">
      <alignment horizontal="center"/>
    </xf>
    <xf numFmtId="0" fontId="2" fillId="46" borderId="0" xfId="0" applyFont="1" applyFill="1"/>
    <xf numFmtId="1" fontId="2" fillId="46" borderId="0" xfId="0" applyNumberFormat="1" applyFont="1" applyFill="1"/>
    <xf numFmtId="0" fontId="162" fillId="37" borderId="2" xfId="0" applyFont="1" applyFill="1" applyBorder="1"/>
    <xf numFmtId="0" fontId="0" fillId="0" borderId="2" xfId="0" applyBorder="1"/>
    <xf numFmtId="0" fontId="163" fillId="36" borderId="2" xfId="0" applyFont="1" applyFill="1" applyBorder="1" applyAlignment="1">
      <alignment horizontal="center"/>
    </xf>
    <xf numFmtId="0" fontId="118" fillId="0" borderId="2" xfId="0" applyFont="1" applyBorder="1"/>
    <xf numFmtId="1" fontId="177" fillId="22" borderId="2" xfId="0" applyNumberFormat="1" applyFont="1" applyFill="1" applyBorder="1" applyAlignment="1">
      <alignment horizontal="right"/>
    </xf>
    <xf numFmtId="166" fontId="177" fillId="22" borderId="2" xfId="0" applyNumberFormat="1" applyFont="1" applyFill="1" applyBorder="1" applyAlignment="1">
      <alignment horizontal="right"/>
    </xf>
    <xf numFmtId="0" fontId="178" fillId="46" borderId="2" xfId="0" applyFont="1" applyFill="1" applyBorder="1" applyAlignment="1">
      <alignment horizontal="left"/>
    </xf>
    <xf numFmtId="1" fontId="178" fillId="46" borderId="2" xfId="0" applyNumberFormat="1" applyFont="1" applyFill="1" applyBorder="1" applyAlignment="1">
      <alignment horizontal="left"/>
    </xf>
    <xf numFmtId="166" fontId="178" fillId="46" borderId="2" xfId="0" applyNumberFormat="1" applyFont="1" applyFill="1" applyBorder="1" applyAlignment="1">
      <alignment horizontal="left"/>
    </xf>
    <xf numFmtId="0" fontId="118" fillId="0" borderId="30" xfId="0" applyFont="1" applyBorder="1"/>
    <xf numFmtId="1" fontId="177" fillId="22" borderId="30" xfId="0" applyNumberFormat="1" applyFont="1" applyFill="1" applyBorder="1" applyAlignment="1">
      <alignment horizontal="right"/>
    </xf>
    <xf numFmtId="166" fontId="177" fillId="22" borderId="30" xfId="0" applyNumberFormat="1" applyFont="1" applyFill="1" applyBorder="1" applyAlignment="1">
      <alignment horizontal="right"/>
    </xf>
    <xf numFmtId="0" fontId="178" fillId="46" borderId="5" xfId="0" applyFont="1" applyFill="1" applyBorder="1" applyAlignment="1">
      <alignment horizontal="left"/>
    </xf>
    <xf numFmtId="1" fontId="178" fillId="46" borderId="5" xfId="0" applyNumberFormat="1" applyFont="1" applyFill="1" applyBorder="1" applyAlignment="1">
      <alignment horizontal="left"/>
    </xf>
    <xf numFmtId="166" fontId="178" fillId="46" borderId="5" xfId="0" applyNumberFormat="1" applyFont="1" applyFill="1" applyBorder="1" applyAlignment="1">
      <alignment horizontal="left"/>
    </xf>
    <xf numFmtId="0" fontId="3" fillId="11" borderId="53" xfId="0" applyFont="1" applyFill="1" applyBorder="1" applyAlignment="1">
      <alignment horizontal="center" vertical="center"/>
    </xf>
    <xf numFmtId="0" fontId="7" fillId="11" borderId="54" xfId="0" applyFont="1" applyFill="1" applyBorder="1" applyAlignment="1">
      <alignment vertical="center" wrapText="1"/>
    </xf>
    <xf numFmtId="0" fontId="39" fillId="45" borderId="25" xfId="0" applyFont="1" applyFill="1" applyBorder="1" applyAlignment="1">
      <alignment horizontal="center" vertical="center" wrapText="1"/>
    </xf>
    <xf numFmtId="172" fontId="37" fillId="0" borderId="102" xfId="0" applyNumberFormat="1" applyFont="1" applyBorder="1" applyAlignment="1">
      <alignment horizontal="center" vertical="center"/>
    </xf>
    <xf numFmtId="0" fontId="37" fillId="0" borderId="115" xfId="0" applyFont="1" applyBorder="1" applyAlignment="1">
      <alignment horizontal="center" vertical="center"/>
    </xf>
    <xf numFmtId="0" fontId="37" fillId="0" borderId="120" xfId="0" applyFont="1" applyBorder="1" applyAlignment="1">
      <alignment horizontal="center" vertical="center"/>
    </xf>
    <xf numFmtId="0" fontId="39" fillId="47" borderId="25" xfId="0" applyFont="1" applyFill="1" applyBorder="1" applyAlignment="1">
      <alignment horizontal="center" vertical="center"/>
    </xf>
    <xf numFmtId="0" fontId="182" fillId="0" borderId="108" xfId="0" applyFont="1" applyBorder="1" applyAlignment="1">
      <alignment horizontal="center" vertical="center"/>
    </xf>
    <xf numFmtId="0" fontId="39" fillId="45" borderId="119" xfId="0" applyFont="1" applyFill="1" applyBorder="1" applyAlignment="1">
      <alignment horizontal="center" vertical="center" wrapText="1"/>
    </xf>
    <xf numFmtId="0" fontId="39" fillId="45" borderId="122" xfId="0" applyFont="1" applyFill="1" applyBorder="1" applyAlignment="1">
      <alignment horizontal="center" vertical="center" wrapText="1"/>
    </xf>
    <xf numFmtId="0" fontId="183" fillId="0" borderId="0" xfId="0" applyFont="1"/>
    <xf numFmtId="20" fontId="184" fillId="0" borderId="0" xfId="0" applyNumberFormat="1" applyFont="1" applyAlignment="1">
      <alignment vertical="center"/>
    </xf>
    <xf numFmtId="0" fontId="185" fillId="0" borderId="0" xfId="0" applyFont="1"/>
    <xf numFmtId="0" fontId="186" fillId="0" borderId="0" xfId="0" applyFont="1"/>
    <xf numFmtId="0" fontId="187" fillId="0" borderId="0" xfId="0" applyFont="1" applyAlignment="1">
      <alignment horizontal="center" vertical="center"/>
    </xf>
    <xf numFmtId="0" fontId="188" fillId="0" borderId="0" xfId="0" applyFont="1" applyAlignment="1">
      <alignment horizontal="right" vertical="center"/>
    </xf>
    <xf numFmtId="167" fontId="187" fillId="0" borderId="0" xfId="0" applyNumberFormat="1" applyFont="1" applyAlignment="1">
      <alignment horizontal="center" vertical="center"/>
    </xf>
    <xf numFmtId="170" fontId="186" fillId="0" borderId="0" xfId="0" applyNumberFormat="1" applyFont="1"/>
    <xf numFmtId="0" fontId="39" fillId="45" borderId="99" xfId="0" applyFont="1" applyFill="1" applyBorder="1" applyAlignment="1">
      <alignment horizontal="center" vertical="center" wrapText="1"/>
    </xf>
    <xf numFmtId="0" fontId="37" fillId="22" borderId="102" xfId="0" applyFont="1" applyFill="1" applyBorder="1" applyAlignment="1">
      <alignment horizontal="center" vertical="center"/>
    </xf>
    <xf numFmtId="0" fontId="37" fillId="22" borderId="103" xfId="0" applyFont="1" applyFill="1" applyBorder="1" applyAlignment="1">
      <alignment horizontal="center" vertical="center"/>
    </xf>
    <xf numFmtId="0" fontId="37" fillId="22" borderId="109" xfId="0" applyFont="1" applyFill="1" applyBorder="1" applyAlignment="1">
      <alignment horizontal="center" vertical="center"/>
    </xf>
    <xf numFmtId="0" fontId="37" fillId="22" borderId="113" xfId="0" applyFont="1" applyFill="1" applyBorder="1" applyAlignment="1">
      <alignment horizontal="center" vertical="center"/>
    </xf>
    <xf numFmtId="0" fontId="37" fillId="22" borderId="99" xfId="0" applyFont="1" applyFill="1" applyBorder="1" applyAlignment="1">
      <alignment horizontal="center" vertical="center"/>
    </xf>
    <xf numFmtId="0" fontId="37" fillId="22" borderId="100" xfId="0" applyFont="1" applyFill="1" applyBorder="1" applyAlignment="1">
      <alignment horizontal="center" vertical="center"/>
    </xf>
    <xf numFmtId="0" fontId="39" fillId="45" borderId="123" xfId="0" applyFont="1" applyFill="1" applyBorder="1" applyAlignment="1">
      <alignment horizontal="center" vertical="center" wrapText="1"/>
    </xf>
    <xf numFmtId="0" fontId="39" fillId="45" borderId="125" xfId="0" applyFont="1" applyFill="1" applyBorder="1" applyAlignment="1">
      <alignment horizontal="center" vertical="center" wrapText="1"/>
    </xf>
    <xf numFmtId="0" fontId="39" fillId="45" borderId="124" xfId="0" applyFont="1" applyFill="1" applyBorder="1" applyAlignment="1">
      <alignment horizontal="center" wrapText="1"/>
    </xf>
    <xf numFmtId="0" fontId="37" fillId="22" borderId="108" xfId="0" applyFont="1" applyFill="1" applyBorder="1" applyAlignment="1">
      <alignment horizontal="left" vertical="center"/>
    </xf>
    <xf numFmtId="0" fontId="37" fillId="22" borderId="110" xfId="0" applyFont="1" applyFill="1" applyBorder="1" applyAlignment="1">
      <alignment horizontal="left" vertical="center"/>
    </xf>
    <xf numFmtId="0" fontId="37" fillId="22" borderId="112" xfId="0" applyFont="1" applyFill="1" applyBorder="1" applyAlignment="1">
      <alignment horizontal="left" vertical="center"/>
    </xf>
    <xf numFmtId="0" fontId="37" fillId="22" borderId="98" xfId="0" applyFont="1" applyFill="1" applyBorder="1" applyAlignment="1">
      <alignment horizontal="left" vertical="center"/>
    </xf>
    <xf numFmtId="0" fontId="37" fillId="22" borderId="101" xfId="0" applyFont="1" applyFill="1" applyBorder="1" applyAlignment="1">
      <alignment horizontal="left" vertical="center"/>
    </xf>
    <xf numFmtId="0" fontId="37" fillId="22" borderId="114" xfId="0" applyFont="1" applyFill="1" applyBorder="1" applyAlignment="1">
      <alignment horizontal="left" vertical="center"/>
    </xf>
    <xf numFmtId="0" fontId="37" fillId="22" borderId="118" xfId="0" applyFont="1" applyFill="1" applyBorder="1" applyAlignment="1">
      <alignment horizontal="center" vertical="center"/>
    </xf>
    <xf numFmtId="0" fontId="37" fillId="22" borderId="115" xfId="0" applyFont="1" applyFill="1" applyBorder="1" applyAlignment="1">
      <alignment horizontal="center" vertical="center"/>
    </xf>
    <xf numFmtId="0" fontId="37" fillId="22" borderId="116" xfId="0" applyFont="1" applyFill="1" applyBorder="1" applyAlignment="1">
      <alignment horizontal="center" vertical="center"/>
    </xf>
    <xf numFmtId="0" fontId="39" fillId="45" borderId="98" xfId="0" applyFont="1" applyFill="1" applyBorder="1" applyAlignment="1">
      <alignment horizontal="center" vertical="center" wrapText="1"/>
    </xf>
    <xf numFmtId="0" fontId="37" fillId="0" borderId="101" xfId="0" applyFont="1" applyBorder="1" applyAlignment="1">
      <alignment horizontal="left" vertical="center"/>
    </xf>
    <xf numFmtId="0" fontId="37" fillId="0" borderId="104" xfId="0" applyFont="1" applyBorder="1" applyAlignment="1">
      <alignment horizontal="left" vertical="center"/>
    </xf>
    <xf numFmtId="172" fontId="37" fillId="0" borderId="105" xfId="0" applyNumberFormat="1" applyFont="1" applyBorder="1" applyAlignment="1">
      <alignment horizontal="center" vertical="center"/>
    </xf>
    <xf numFmtId="0" fontId="39" fillId="47" borderId="122" xfId="0" applyFont="1" applyFill="1" applyBorder="1" applyAlignment="1">
      <alignment horizontal="center" vertical="center"/>
    </xf>
    <xf numFmtId="172" fontId="39" fillId="47" borderId="123" xfId="0" applyNumberFormat="1" applyFont="1" applyFill="1" applyBorder="1" applyAlignment="1">
      <alignment horizontal="center" vertical="center"/>
    </xf>
    <xf numFmtId="0" fontId="39" fillId="47" borderId="124" xfId="0" applyFont="1" applyFill="1" applyBorder="1" applyAlignment="1">
      <alignment horizontal="center" vertical="center"/>
    </xf>
    <xf numFmtId="0" fontId="39" fillId="45" borderId="112" xfId="0" applyFont="1" applyFill="1" applyBorder="1" applyAlignment="1">
      <alignment horizontal="center" vertical="center" wrapText="1"/>
    </xf>
    <xf numFmtId="0" fontId="182" fillId="0" borderId="121" xfId="0" applyFont="1" applyBorder="1" applyAlignment="1">
      <alignment horizontal="center" vertical="center"/>
    </xf>
    <xf numFmtId="0" fontId="32" fillId="3" borderId="31" xfId="0" applyFont="1" applyFill="1" applyBorder="1" applyAlignment="1">
      <alignment vertical="center"/>
    </xf>
    <xf numFmtId="0" fontId="34" fillId="34" borderId="53" xfId="0" applyFont="1" applyFill="1" applyBorder="1" applyAlignment="1">
      <alignment horizontal="center" vertical="center" wrapText="1"/>
    </xf>
    <xf numFmtId="0" fontId="34" fillId="4" borderId="32" xfId="0" applyFont="1" applyFill="1" applyBorder="1" applyAlignment="1">
      <alignment horizontal="center" vertical="center" wrapText="1"/>
    </xf>
    <xf numFmtId="0" fontId="39" fillId="45" borderId="25" xfId="0" applyFont="1" applyFill="1" applyBorder="1" applyAlignment="1">
      <alignment horizontal="center" vertical="center"/>
    </xf>
    <xf numFmtId="43" fontId="32" fillId="0" borderId="56" xfId="1" applyFont="1" applyFill="1" applyBorder="1" applyAlignment="1" applyProtection="1">
      <alignment horizontal="center" vertical="center"/>
    </xf>
    <xf numFmtId="167" fontId="32" fillId="0" borderId="21" xfId="0" applyNumberFormat="1" applyFont="1" applyBorder="1" applyAlignment="1">
      <alignment horizontal="center" vertical="center"/>
    </xf>
    <xf numFmtId="0" fontId="37" fillId="22" borderId="111" xfId="0" applyFont="1" applyFill="1" applyBorder="1" applyAlignment="1">
      <alignment horizontal="center" vertical="center"/>
    </xf>
    <xf numFmtId="0" fontId="37" fillId="22" borderId="99" xfId="0" applyFont="1" applyFill="1" applyBorder="1" applyAlignment="1">
      <alignment horizontal="left" vertical="center"/>
    </xf>
    <xf numFmtId="0" fontId="37" fillId="22" borderId="112" xfId="0" applyFont="1" applyFill="1" applyBorder="1" applyAlignment="1">
      <alignment horizontal="center" vertical="center"/>
    </xf>
    <xf numFmtId="0" fontId="37" fillId="0" borderId="111" xfId="0" applyFont="1" applyBorder="1" applyAlignment="1">
      <alignment horizontal="center" vertical="center"/>
    </xf>
    <xf numFmtId="0" fontId="37" fillId="0" borderId="99" xfId="0" applyFont="1" applyBorder="1" applyAlignment="1">
      <alignment horizontal="left" vertical="center"/>
    </xf>
    <xf numFmtId="0" fontId="37" fillId="0" borderId="99" xfId="0" applyFont="1" applyBorder="1" applyAlignment="1">
      <alignment horizontal="center" vertical="center"/>
    </xf>
    <xf numFmtId="0" fontId="37" fillId="0" borderId="112" xfId="0" applyFont="1" applyBorder="1" applyAlignment="1">
      <alignment horizontal="center" vertical="center"/>
    </xf>
    <xf numFmtId="43" fontId="32" fillId="0" borderId="47" xfId="1" applyFont="1" applyFill="1" applyBorder="1" applyAlignment="1" applyProtection="1">
      <alignment horizontal="center" vertical="center"/>
    </xf>
    <xf numFmtId="0" fontId="37" fillId="22" borderId="107" xfId="0" applyFont="1" applyFill="1" applyBorder="1" applyAlignment="1">
      <alignment horizontal="center" vertical="center"/>
    </xf>
    <xf numFmtId="0" fontId="37" fillId="22" borderId="102" xfId="0" applyFont="1" applyFill="1" applyBorder="1" applyAlignment="1">
      <alignment horizontal="left" vertical="center"/>
    </xf>
    <xf numFmtId="0" fontId="37" fillId="22" borderId="108" xfId="0" applyFont="1" applyFill="1" applyBorder="1" applyAlignment="1">
      <alignment horizontal="center" vertical="center"/>
    </xf>
    <xf numFmtId="0" fontId="37" fillId="0" borderId="107" xfId="0" applyFont="1" applyBorder="1" applyAlignment="1">
      <alignment horizontal="center" vertical="center"/>
    </xf>
    <xf numFmtId="0" fontId="37" fillId="0" borderId="102" xfId="0" applyFont="1" applyBorder="1" applyAlignment="1">
      <alignment horizontal="left" vertical="center"/>
    </xf>
    <xf numFmtId="0" fontId="37" fillId="0" borderId="102" xfId="0" applyFont="1" applyBorder="1" applyAlignment="1">
      <alignment horizontal="center" vertical="center"/>
    </xf>
    <xf numFmtId="0" fontId="37" fillId="0" borderId="108" xfId="0" applyFont="1" applyBorder="1" applyAlignment="1">
      <alignment horizontal="center" vertical="center"/>
    </xf>
    <xf numFmtId="43" fontId="32" fillId="0" borderId="52" xfId="1" applyFont="1" applyFill="1" applyBorder="1" applyAlignment="1" applyProtection="1">
      <alignment horizontal="center" vertical="center"/>
    </xf>
    <xf numFmtId="167" fontId="32" fillId="0" borderId="24" xfId="0" applyNumberFormat="1" applyFont="1" applyBorder="1" applyAlignment="1">
      <alignment horizontal="center" vertical="center"/>
    </xf>
    <xf numFmtId="43" fontId="32" fillId="0" borderId="26" xfId="1" applyFont="1" applyFill="1" applyBorder="1" applyAlignment="1" applyProtection="1">
      <alignment horizontal="center" vertical="center"/>
    </xf>
    <xf numFmtId="43" fontId="32" fillId="0" borderId="68" xfId="1" applyFont="1" applyFill="1" applyBorder="1" applyAlignment="1" applyProtection="1">
      <alignment horizontal="center" vertical="center"/>
    </xf>
    <xf numFmtId="43" fontId="32" fillId="0" borderId="21" xfId="1" applyFont="1" applyFill="1" applyBorder="1" applyAlignment="1" applyProtection="1">
      <alignment horizontal="center" vertical="center"/>
    </xf>
    <xf numFmtId="43" fontId="32" fillId="0" borderId="24" xfId="1" applyFont="1" applyFill="1" applyBorder="1" applyAlignment="1" applyProtection="1">
      <alignment horizontal="center" vertical="center"/>
    </xf>
    <xf numFmtId="43" fontId="32" fillId="0" borderId="31" xfId="1" applyFont="1" applyFill="1" applyBorder="1" applyAlignment="1" applyProtection="1">
      <alignment horizontal="center" vertical="center"/>
    </xf>
    <xf numFmtId="43" fontId="32" fillId="0" borderId="67" xfId="1" applyFont="1" applyFill="1" applyBorder="1" applyAlignment="1" applyProtection="1">
      <alignment horizontal="center" vertical="center"/>
    </xf>
    <xf numFmtId="43" fontId="32" fillId="0" borderId="41" xfId="1" applyFont="1" applyFill="1" applyBorder="1" applyAlignment="1" applyProtection="1">
      <alignment horizontal="center" vertical="center"/>
    </xf>
    <xf numFmtId="0" fontId="37" fillId="22" borderId="117" xfId="0" applyFont="1" applyFill="1" applyBorder="1" applyAlignment="1">
      <alignment horizontal="center" vertical="center"/>
    </xf>
    <xf numFmtId="0" fontId="37" fillId="22" borderId="105" xfId="0" applyFont="1" applyFill="1" applyBorder="1" applyAlignment="1">
      <alignment horizontal="left" vertical="center"/>
    </xf>
    <xf numFmtId="0" fontId="37" fillId="22" borderId="105" xfId="0" applyFont="1" applyFill="1" applyBorder="1" applyAlignment="1">
      <alignment horizontal="center" vertical="center"/>
    </xf>
    <xf numFmtId="0" fontId="37" fillId="22" borderId="121" xfId="0" applyFont="1" applyFill="1" applyBorder="1" applyAlignment="1">
      <alignment horizontal="center" vertical="center"/>
    </xf>
    <xf numFmtId="0" fontId="37" fillId="0" borderId="117" xfId="0" applyFont="1" applyBorder="1" applyAlignment="1">
      <alignment horizontal="center" vertical="center"/>
    </xf>
    <xf numFmtId="0" fontId="37" fillId="0" borderId="105" xfId="0" applyFont="1" applyBorder="1" applyAlignment="1">
      <alignment horizontal="left" vertical="center"/>
    </xf>
    <xf numFmtId="0" fontId="37" fillId="0" borderId="105" xfId="0" applyFont="1" applyBorder="1" applyAlignment="1">
      <alignment horizontal="center" vertical="center"/>
    </xf>
    <xf numFmtId="0" fontId="37" fillId="0" borderId="121" xfId="0" applyFont="1" applyBorder="1" applyAlignment="1">
      <alignment horizontal="center" vertical="center"/>
    </xf>
    <xf numFmtId="0" fontId="39" fillId="47" borderId="123" xfId="0" applyFont="1" applyFill="1" applyBorder="1" applyAlignment="1">
      <alignment horizontal="center" vertical="center"/>
    </xf>
    <xf numFmtId="43" fontId="32" fillId="0" borderId="34" xfId="1" applyFont="1" applyFill="1" applyBorder="1" applyAlignment="1" applyProtection="1">
      <alignment horizontal="center" vertical="center"/>
    </xf>
    <xf numFmtId="43" fontId="32" fillId="0" borderId="23" xfId="1" applyFont="1" applyFill="1" applyBorder="1" applyAlignment="1" applyProtection="1">
      <alignment horizontal="center" vertical="center"/>
    </xf>
    <xf numFmtId="0" fontId="35" fillId="4" borderId="25" xfId="0" applyFont="1" applyFill="1" applyBorder="1" applyAlignment="1">
      <alignment horizontal="center" vertical="center" wrapText="1"/>
    </xf>
    <xf numFmtId="43" fontId="32" fillId="0" borderId="25" xfId="1" applyFont="1" applyFill="1" applyBorder="1" applyAlignment="1" applyProtection="1">
      <alignment horizontal="center" vertical="center"/>
    </xf>
    <xf numFmtId="0" fontId="36" fillId="4" borderId="53" xfId="0" applyFont="1" applyFill="1" applyBorder="1" applyAlignment="1">
      <alignment horizontal="center" vertical="center" wrapText="1"/>
    </xf>
    <xf numFmtId="0" fontId="63" fillId="0" borderId="0" xfId="0" applyFont="1"/>
    <xf numFmtId="0" fontId="42" fillId="0" borderId="0" xfId="0" applyFont="1" applyProtection="1">
      <protection locked="0"/>
    </xf>
    <xf numFmtId="0" fontId="156" fillId="33" borderId="84" xfId="0" applyFont="1" applyFill="1" applyBorder="1" applyAlignment="1" applyProtection="1">
      <alignment horizontal="center" vertical="center"/>
      <protection locked="0"/>
    </xf>
    <xf numFmtId="0" fontId="156" fillId="33" borderId="91" xfId="0" applyFont="1" applyFill="1" applyBorder="1" applyAlignment="1" applyProtection="1">
      <alignment horizontal="center" vertical="center"/>
      <protection locked="0"/>
    </xf>
    <xf numFmtId="0" fontId="156" fillId="33" borderId="92" xfId="0" applyFont="1" applyFill="1" applyBorder="1" applyAlignment="1" applyProtection="1">
      <alignment horizontal="center" vertical="center"/>
      <protection locked="0"/>
    </xf>
    <xf numFmtId="0" fontId="39" fillId="45" borderId="107" xfId="0" applyFont="1" applyFill="1" applyBorder="1" applyAlignment="1">
      <alignment horizontal="center" vertical="center" wrapText="1"/>
    </xf>
    <xf numFmtId="0" fontId="39" fillId="45" borderId="102" xfId="0" applyFont="1" applyFill="1" applyBorder="1" applyAlignment="1">
      <alignment horizontal="center" vertical="center" wrapText="1"/>
    </xf>
    <xf numFmtId="0" fontId="39" fillId="45" borderId="108" xfId="0" applyFont="1" applyFill="1" applyBorder="1" applyAlignment="1">
      <alignment horizontal="center" vertical="center" wrapText="1"/>
    </xf>
    <xf numFmtId="0" fontId="35" fillId="4" borderId="60" xfId="0" applyFont="1" applyFill="1" applyBorder="1" applyAlignment="1">
      <alignment horizontal="center" vertical="center" wrapText="1"/>
    </xf>
    <xf numFmtId="0" fontId="35" fillId="4" borderId="32" xfId="0" applyFont="1" applyFill="1" applyBorder="1" applyAlignment="1">
      <alignment vertical="center" wrapText="1"/>
    </xf>
    <xf numFmtId="43" fontId="32" fillId="0" borderId="31" xfId="1" applyFont="1" applyBorder="1" applyAlignment="1" applyProtection="1">
      <alignment horizontal="center" vertical="center"/>
    </xf>
    <xf numFmtId="0" fontId="32" fillId="4" borderId="25" xfId="0" applyFont="1" applyFill="1" applyBorder="1" applyAlignment="1">
      <alignment horizontal="center" vertical="center" wrapText="1"/>
    </xf>
    <xf numFmtId="168" fontId="32" fillId="4" borderId="32" xfId="0" applyNumberFormat="1" applyFont="1" applyFill="1" applyBorder="1" applyAlignment="1">
      <alignment horizontal="center" vertical="center" wrapText="1"/>
    </xf>
    <xf numFmtId="0" fontId="189" fillId="0" borderId="0" xfId="0" applyFont="1" applyAlignment="1">
      <alignment horizontal="center" vertical="center"/>
    </xf>
    <xf numFmtId="0" fontId="32" fillId="3" borderId="17" xfId="0" applyFont="1" applyFill="1" applyBorder="1" applyAlignment="1">
      <alignment horizontal="center" vertical="center"/>
    </xf>
    <xf numFmtId="0" fontId="32" fillId="3" borderId="17" xfId="0" applyFont="1" applyFill="1" applyBorder="1" applyAlignment="1">
      <alignment vertical="center"/>
    </xf>
    <xf numFmtId="0" fontId="34" fillId="4" borderId="31" xfId="0" applyFont="1" applyFill="1" applyBorder="1" applyAlignment="1">
      <alignment horizontal="center" vertical="center" wrapText="1"/>
    </xf>
    <xf numFmtId="0" fontId="34" fillId="4" borderId="0" xfId="0" applyFont="1" applyFill="1" applyAlignment="1">
      <alignment horizontal="center" vertical="center" wrapText="1"/>
    </xf>
    <xf numFmtId="0" fontId="190" fillId="0" borderId="0" xfId="0" applyFont="1" applyAlignment="1">
      <alignment horizontal="center" vertical="center" wrapText="1"/>
    </xf>
    <xf numFmtId="43" fontId="32" fillId="0" borderId="56" xfId="0" applyNumberFormat="1" applyFont="1" applyBorder="1" applyAlignment="1">
      <alignment horizontal="center" vertical="center"/>
    </xf>
    <xf numFmtId="0" fontId="32" fillId="4" borderId="0" xfId="0" applyFont="1" applyFill="1" applyAlignment="1">
      <alignment horizontal="center" vertical="center" wrapText="1"/>
    </xf>
    <xf numFmtId="0" fontId="191" fillId="0" borderId="96" xfId="0" applyFont="1" applyBorder="1" applyAlignment="1">
      <alignment horizontal="center" vertical="center"/>
    </xf>
    <xf numFmtId="43" fontId="32" fillId="0" borderId="47" xfId="0" applyNumberFormat="1" applyFont="1" applyBorder="1" applyAlignment="1">
      <alignment horizontal="center" vertical="center"/>
    </xf>
    <xf numFmtId="167" fontId="32" fillId="0" borderId="23" xfId="0" applyNumberFormat="1" applyFont="1" applyBorder="1" applyAlignment="1">
      <alignment horizontal="center" vertical="center"/>
    </xf>
    <xf numFmtId="0" fontId="191" fillId="0" borderId="97" xfId="0" applyFont="1" applyBorder="1" applyAlignment="1">
      <alignment horizontal="center" vertical="center"/>
    </xf>
    <xf numFmtId="167" fontId="32" fillId="0" borderId="40" xfId="0" applyNumberFormat="1" applyFont="1" applyBorder="1" applyAlignment="1">
      <alignment horizontal="center" vertical="center"/>
    </xf>
    <xf numFmtId="43" fontId="32" fillId="0" borderId="48" xfId="0" applyNumberFormat="1" applyFont="1" applyBorder="1" applyAlignment="1">
      <alignment horizontal="center" vertical="center"/>
    </xf>
    <xf numFmtId="167" fontId="32" fillId="0" borderId="60" xfId="0" applyNumberFormat="1" applyFont="1" applyBorder="1" applyAlignment="1">
      <alignment horizontal="center" vertical="center"/>
    </xf>
    <xf numFmtId="167" fontId="32" fillId="0" borderId="25" xfId="0" applyNumberFormat="1" applyFont="1" applyBorder="1" applyAlignment="1">
      <alignment horizontal="center" vertical="center"/>
    </xf>
    <xf numFmtId="0" fontId="190" fillId="0" borderId="106" xfId="0" applyFont="1" applyBorder="1" applyAlignment="1">
      <alignment horizontal="center" vertical="center"/>
    </xf>
    <xf numFmtId="0" fontId="39" fillId="38" borderId="123" xfId="0" applyFont="1" applyFill="1" applyBorder="1" applyAlignment="1">
      <alignment horizontal="center" vertical="center"/>
    </xf>
    <xf numFmtId="0" fontId="39" fillId="38" borderId="124" xfId="0" applyFont="1" applyFill="1" applyBorder="1" applyAlignment="1">
      <alignment horizontal="center" vertical="center"/>
    </xf>
    <xf numFmtId="0" fontId="29" fillId="4" borderId="0" xfId="0" applyFont="1" applyFill="1"/>
    <xf numFmtId="167" fontId="32" fillId="4" borderId="23" xfId="0" applyNumberFormat="1" applyFont="1" applyFill="1" applyBorder="1" applyAlignment="1">
      <alignment horizontal="center" vertical="center"/>
    </xf>
    <xf numFmtId="0" fontId="32" fillId="4" borderId="0" xfId="0" applyFont="1" applyFill="1" applyAlignment="1">
      <alignment horizontal="center" vertical="center"/>
    </xf>
    <xf numFmtId="0" fontId="35" fillId="4" borderId="0" xfId="0" applyFont="1" applyFill="1" applyAlignment="1">
      <alignment horizontal="center" vertical="center" wrapText="1"/>
    </xf>
    <xf numFmtId="0" fontId="36" fillId="4" borderId="0" xfId="0" applyFont="1" applyFill="1" applyAlignment="1">
      <alignment horizontal="center" vertical="center" wrapText="1"/>
    </xf>
    <xf numFmtId="0" fontId="32" fillId="4" borderId="0" xfId="0" applyFont="1" applyFill="1" applyAlignment="1">
      <alignment vertical="center" wrapText="1"/>
    </xf>
    <xf numFmtId="0" fontId="34" fillId="4" borderId="0" xfId="0" applyFont="1" applyFill="1" applyAlignment="1">
      <alignment horizontal="center" vertical="center"/>
    </xf>
    <xf numFmtId="0" fontId="180" fillId="45" borderId="2" xfId="0" applyFont="1" applyFill="1" applyBorder="1" applyAlignment="1">
      <alignment horizontal="center" vertical="center" wrapText="1"/>
    </xf>
    <xf numFmtId="0" fontId="180" fillId="45" borderId="8" xfId="0" applyFont="1" applyFill="1" applyBorder="1" applyAlignment="1">
      <alignment horizontal="center" vertical="center" wrapText="1"/>
    </xf>
    <xf numFmtId="0" fontId="39" fillId="45" borderId="7" xfId="0" applyFont="1" applyFill="1" applyBorder="1" applyAlignment="1">
      <alignment horizontal="center" vertical="center" wrapText="1"/>
    </xf>
    <xf numFmtId="0" fontId="39" fillId="45" borderId="2" xfId="0" applyFont="1" applyFill="1" applyBorder="1" applyAlignment="1">
      <alignment horizontal="center" vertical="center" wrapText="1"/>
    </xf>
    <xf numFmtId="0" fontId="39" fillId="45" borderId="8" xfId="0" applyFont="1" applyFill="1" applyBorder="1" applyAlignment="1">
      <alignment horizontal="center" vertical="center" wrapText="1"/>
    </xf>
    <xf numFmtId="43" fontId="32" fillId="0" borderId="41" xfId="0" applyNumberFormat="1" applyFont="1" applyBorder="1" applyAlignment="1">
      <alignment horizontal="center" vertical="center"/>
    </xf>
    <xf numFmtId="167" fontId="32" fillId="0" borderId="0" xfId="0" applyNumberFormat="1" applyFont="1" applyAlignment="1">
      <alignment horizontal="center" vertical="center"/>
    </xf>
    <xf numFmtId="0" fontId="37" fillId="22" borderId="7" xfId="0" applyFont="1" applyFill="1" applyBorder="1" applyAlignment="1">
      <alignment horizontal="center" vertical="center"/>
    </xf>
    <xf numFmtId="0" fontId="37" fillId="22" borderId="2" xfId="0" applyFont="1" applyFill="1" applyBorder="1" applyAlignment="1">
      <alignment horizontal="left" vertical="center"/>
    </xf>
    <xf numFmtId="0" fontId="37" fillId="22" borderId="2" xfId="0" applyFont="1" applyFill="1" applyBorder="1" applyAlignment="1">
      <alignment horizontal="center" vertical="center"/>
    </xf>
    <xf numFmtId="0" fontId="37" fillId="22" borderId="8" xfId="0" applyFont="1" applyFill="1" applyBorder="1" applyAlignment="1">
      <alignment horizontal="center" vertical="center"/>
    </xf>
    <xf numFmtId="43" fontId="32" fillId="0" borderId="26" xfId="0" applyNumberFormat="1" applyFont="1" applyBorder="1" applyAlignment="1">
      <alignment horizontal="center" vertical="center"/>
    </xf>
    <xf numFmtId="43" fontId="32" fillId="0" borderId="0" xfId="1" applyFont="1" applyFill="1" applyBorder="1" applyAlignment="1" applyProtection="1">
      <alignment horizontal="center" vertical="center"/>
    </xf>
    <xf numFmtId="43" fontId="32" fillId="0" borderId="68" xfId="0" applyNumberFormat="1" applyFont="1" applyBorder="1" applyAlignment="1">
      <alignment horizontal="center" vertical="center"/>
    </xf>
    <xf numFmtId="43" fontId="32" fillId="0" borderId="34" xfId="0" applyNumberFormat="1" applyFont="1" applyBorder="1" applyAlignment="1">
      <alignment horizontal="center" vertical="center"/>
    </xf>
    <xf numFmtId="43" fontId="32" fillId="0" borderId="67" xfId="0" applyNumberFormat="1" applyFont="1" applyBorder="1" applyAlignment="1">
      <alignment horizontal="center" vertical="center"/>
    </xf>
    <xf numFmtId="43" fontId="32" fillId="0" borderId="31" xfId="0" applyNumberFormat="1" applyFont="1" applyBorder="1" applyAlignment="1">
      <alignment horizontal="center" vertical="center"/>
    </xf>
    <xf numFmtId="0" fontId="180" fillId="47" borderId="9" xfId="0" applyFont="1" applyFill="1" applyBorder="1" applyAlignment="1">
      <alignment horizontal="center"/>
    </xf>
    <xf numFmtId="0" fontId="180" fillId="47" borderId="10" xfId="0" applyFont="1" applyFill="1" applyBorder="1" applyAlignment="1">
      <alignment horizontal="center"/>
    </xf>
    <xf numFmtId="0" fontId="180" fillId="47" borderId="11" xfId="0" applyFont="1" applyFill="1" applyBorder="1" applyAlignment="1">
      <alignment horizontal="center"/>
    </xf>
    <xf numFmtId="0" fontId="39" fillId="38" borderId="10" xfId="0" applyFont="1" applyFill="1" applyBorder="1" applyAlignment="1">
      <alignment horizontal="center" vertical="center"/>
    </xf>
    <xf numFmtId="0" fontId="39" fillId="38" borderId="11" xfId="0" applyFont="1" applyFill="1" applyBorder="1" applyAlignment="1">
      <alignment horizontal="center" vertical="center"/>
    </xf>
    <xf numFmtId="167" fontId="32" fillId="4" borderId="0" xfId="0" applyNumberFormat="1" applyFont="1" applyFill="1" applyAlignment="1">
      <alignment horizontal="center" vertical="center"/>
    </xf>
    <xf numFmtId="0" fontId="35" fillId="4" borderId="45" xfId="0" applyFont="1" applyFill="1" applyBorder="1" applyAlignment="1">
      <alignment vertical="center" wrapText="1"/>
    </xf>
    <xf numFmtId="168" fontId="32" fillId="4" borderId="0" xfId="0" applyNumberFormat="1" applyFont="1" applyFill="1" applyAlignment="1">
      <alignment horizontal="center" vertical="center" wrapText="1"/>
    </xf>
    <xf numFmtId="0" fontId="192" fillId="47" borderId="129" xfId="0" applyFont="1" applyFill="1" applyBorder="1" applyAlignment="1">
      <alignment horizontal="center" vertical="center"/>
    </xf>
    <xf numFmtId="0" fontId="192" fillId="47" borderId="123" xfId="0" applyFont="1" applyFill="1" applyBorder="1" applyAlignment="1">
      <alignment horizontal="center" vertical="center"/>
    </xf>
    <xf numFmtId="0" fontId="156" fillId="33" borderId="93" xfId="0" applyFont="1" applyFill="1" applyBorder="1" applyAlignment="1" applyProtection="1">
      <alignment horizontal="center" vertical="center"/>
      <protection locked="0"/>
    </xf>
    <xf numFmtId="43" fontId="32" fillId="0" borderId="56" xfId="1" applyFont="1" applyBorder="1" applyAlignment="1" applyProtection="1">
      <alignment horizontal="center" vertical="center"/>
    </xf>
    <xf numFmtId="43" fontId="32" fillId="0" borderId="0" xfId="1" applyFont="1" applyBorder="1" applyAlignment="1" applyProtection="1">
      <alignment horizontal="center" vertical="center"/>
    </xf>
    <xf numFmtId="43" fontId="32" fillId="0" borderId="48" xfId="1" applyFont="1" applyBorder="1" applyAlignment="1" applyProtection="1">
      <alignment horizontal="center" vertical="center"/>
    </xf>
    <xf numFmtId="43" fontId="32" fillId="0" borderId="41" xfId="1" applyFont="1" applyBorder="1" applyAlignment="1" applyProtection="1">
      <alignment horizontal="center" vertical="center"/>
    </xf>
    <xf numFmtId="43" fontId="32" fillId="0" borderId="26" xfId="1" applyFont="1" applyBorder="1" applyAlignment="1" applyProtection="1">
      <alignment horizontal="center" vertical="center"/>
    </xf>
    <xf numFmtId="43" fontId="32" fillId="0" borderId="34" xfId="1" applyFont="1" applyBorder="1" applyAlignment="1" applyProtection="1">
      <alignment horizontal="center" vertical="center"/>
    </xf>
    <xf numFmtId="43" fontId="32" fillId="0" borderId="67" xfId="1" applyFont="1" applyBorder="1" applyAlignment="1" applyProtection="1">
      <alignment horizontal="center" vertical="center"/>
    </xf>
    <xf numFmtId="43" fontId="32" fillId="0" borderId="68" xfId="1" applyFont="1" applyBorder="1" applyAlignment="1" applyProtection="1">
      <alignment horizontal="center" vertical="center"/>
    </xf>
    <xf numFmtId="0" fontId="32" fillId="4" borderId="5" xfId="5" applyFont="1" applyFill="1" applyBorder="1" applyAlignment="1" applyProtection="1">
      <alignment horizontal="center" vertical="center"/>
      <protection locked="0"/>
    </xf>
    <xf numFmtId="0" fontId="32" fillId="4" borderId="10" xfId="5" applyFont="1" applyFill="1" applyBorder="1" applyAlignment="1" applyProtection="1">
      <alignment horizontal="center" vertical="center"/>
      <protection locked="0"/>
    </xf>
    <xf numFmtId="0" fontId="32" fillId="4" borderId="2" xfId="5" applyFont="1" applyFill="1" applyBorder="1" applyAlignment="1" applyProtection="1">
      <alignment horizontal="center" vertical="center"/>
      <protection locked="0"/>
    </xf>
    <xf numFmtId="0" fontId="3" fillId="4" borderId="0" xfId="2" applyNumberFormat="1" applyFont="1" applyFill="1" applyBorder="1" applyAlignment="1" applyProtection="1">
      <alignment horizontal="center"/>
    </xf>
    <xf numFmtId="166" fontId="3" fillId="0" borderId="0" xfId="2" applyNumberFormat="1" applyFont="1" applyProtection="1"/>
    <xf numFmtId="9" fontId="6" fillId="0" borderId="0" xfId="2" applyFont="1" applyAlignment="1" applyProtection="1">
      <alignment horizontal="left"/>
    </xf>
    <xf numFmtId="0" fontId="204" fillId="0" borderId="0" xfId="0" applyFont="1" applyAlignment="1">
      <alignment horizontal="center"/>
    </xf>
    <xf numFmtId="1" fontId="204" fillId="0" borderId="0" xfId="0" applyNumberFormat="1" applyFont="1" applyAlignment="1">
      <alignment horizontal="center"/>
    </xf>
    <xf numFmtId="165" fontId="204" fillId="0" borderId="0" xfId="0" applyNumberFormat="1" applyFont="1" applyAlignment="1">
      <alignment horizontal="center"/>
    </xf>
    <xf numFmtId="0" fontId="120" fillId="22" borderId="5" xfId="27" applyFont="1" applyFill="1" applyBorder="1" applyAlignment="1" applyProtection="1">
      <alignment horizontal="center" vertical="center"/>
      <protection locked="0"/>
    </xf>
    <xf numFmtId="0" fontId="95" fillId="22" borderId="5" xfId="0" applyFont="1" applyFill="1" applyBorder="1" applyAlignment="1" applyProtection="1">
      <alignment horizontal="center" vertical="center"/>
      <protection locked="0"/>
    </xf>
    <xf numFmtId="0" fontId="32" fillId="0" borderId="2" xfId="0" applyFont="1" applyBorder="1" applyAlignment="1" applyProtection="1">
      <alignment horizontal="center"/>
      <protection locked="0"/>
    </xf>
    <xf numFmtId="0" fontId="120" fillId="22" borderId="10" xfId="27" applyFont="1" applyFill="1" applyBorder="1" applyAlignment="1" applyProtection="1">
      <alignment horizontal="center" vertical="center"/>
      <protection locked="0"/>
    </xf>
    <xf numFmtId="0" fontId="95" fillId="22" borderId="10" xfId="0" applyFont="1" applyFill="1" applyBorder="1" applyAlignment="1" applyProtection="1">
      <alignment horizontal="center" vertical="center"/>
      <protection locked="0"/>
    </xf>
    <xf numFmtId="0" fontId="99" fillId="22" borderId="5" xfId="14" applyFont="1" applyFill="1" applyBorder="1" applyAlignment="1" applyProtection="1">
      <alignment horizontal="center" vertical="center"/>
      <protection locked="0"/>
    </xf>
    <xf numFmtId="0" fontId="99" fillId="22" borderId="2" xfId="14" applyFont="1" applyFill="1" applyBorder="1" applyAlignment="1" applyProtection="1">
      <alignment horizontal="center" vertical="center"/>
      <protection locked="0"/>
    </xf>
    <xf numFmtId="0" fontId="95" fillId="22" borderId="2" xfId="0" applyFont="1" applyFill="1" applyBorder="1" applyAlignment="1" applyProtection="1">
      <alignment horizontal="center" vertical="center"/>
      <protection locked="0"/>
    </xf>
    <xf numFmtId="0" fontId="120" fillId="22" borderId="2" xfId="27" applyFont="1" applyFill="1" applyBorder="1" applyAlignment="1" applyProtection="1">
      <alignment horizontal="center" vertical="center"/>
      <protection locked="0"/>
    </xf>
    <xf numFmtId="0" fontId="120" fillId="0" borderId="2" xfId="27" applyFont="1" applyBorder="1" applyAlignment="1" applyProtection="1">
      <alignment horizontal="center" vertical="center"/>
      <protection locked="0"/>
    </xf>
    <xf numFmtId="0" fontId="99" fillId="22" borderId="10" xfId="14" applyFont="1" applyFill="1" applyBorder="1" applyAlignment="1" applyProtection="1">
      <alignment horizontal="center" vertical="center"/>
      <protection locked="0"/>
    </xf>
    <xf numFmtId="0" fontId="99" fillId="22" borderId="54" xfId="14" applyFont="1" applyFill="1" applyBorder="1" applyAlignment="1" applyProtection="1">
      <alignment horizontal="center" vertical="center"/>
      <protection locked="0"/>
    </xf>
    <xf numFmtId="0" fontId="99" fillId="22" borderId="54" xfId="0" applyFont="1" applyFill="1" applyBorder="1" applyAlignment="1" applyProtection="1">
      <alignment horizontal="center" vertical="center"/>
      <protection locked="0"/>
    </xf>
    <xf numFmtId="0" fontId="95" fillId="22" borderId="54" xfId="0" applyFont="1" applyFill="1" applyBorder="1" applyAlignment="1" applyProtection="1">
      <alignment horizontal="center" vertical="center"/>
      <protection locked="0"/>
    </xf>
    <xf numFmtId="0" fontId="99" fillId="22" borderId="2" xfId="0" applyFont="1" applyFill="1" applyBorder="1" applyAlignment="1" applyProtection="1">
      <alignment horizontal="center" vertical="center"/>
      <protection locked="0"/>
    </xf>
    <xf numFmtId="0" fontId="99" fillId="22" borderId="5" xfId="0" applyFont="1" applyFill="1" applyBorder="1" applyAlignment="1" applyProtection="1">
      <alignment horizontal="center" vertical="center"/>
      <protection locked="0"/>
    </xf>
    <xf numFmtId="0" fontId="99" fillId="22" borderId="2" xfId="14" applyFont="1" applyFill="1" applyBorder="1" applyAlignment="1" applyProtection="1">
      <alignment horizontal="center" vertical="center" wrapText="1"/>
      <protection locked="0"/>
    </xf>
    <xf numFmtId="0" fontId="99" fillId="22" borderId="10" xfId="0" applyFont="1" applyFill="1" applyBorder="1" applyAlignment="1" applyProtection="1">
      <alignment horizontal="center" vertical="center"/>
      <protection locked="0"/>
    </xf>
    <xf numFmtId="0" fontId="87" fillId="22" borderId="54" xfId="0" applyFont="1" applyFill="1" applyBorder="1" applyAlignment="1" applyProtection="1">
      <alignment horizontal="center" vertical="center"/>
      <protection locked="0"/>
    </xf>
    <xf numFmtId="0" fontId="87" fillId="22" borderId="2" xfId="0" applyFont="1" applyFill="1" applyBorder="1" applyAlignment="1" applyProtection="1">
      <alignment horizontal="center" vertical="center"/>
      <protection locked="0"/>
    </xf>
    <xf numFmtId="9" fontId="3" fillId="0" borderId="0" xfId="2" applyFont="1" applyFill="1" applyBorder="1" applyProtection="1"/>
    <xf numFmtId="0" fontId="3" fillId="0" borderId="0" xfId="2" applyNumberFormat="1" applyFont="1" applyFill="1" applyBorder="1" applyAlignment="1" applyProtection="1">
      <alignment horizontal="center"/>
    </xf>
    <xf numFmtId="43" fontId="3" fillId="7" borderId="17" xfId="1" applyFont="1" applyFill="1" applyBorder="1" applyAlignment="1" applyProtection="1">
      <alignment horizontal="center" vertical="center"/>
    </xf>
    <xf numFmtId="43" fontId="3" fillId="0" borderId="17" xfId="1" applyFont="1" applyFill="1" applyBorder="1" applyAlignment="1" applyProtection="1">
      <alignment horizontal="center" vertical="center"/>
    </xf>
    <xf numFmtId="43" fontId="3" fillId="18" borderId="17" xfId="1" applyFont="1" applyFill="1" applyBorder="1" applyAlignment="1" applyProtection="1">
      <alignment horizontal="center" vertical="center"/>
    </xf>
    <xf numFmtId="43" fontId="3" fillId="7" borderId="20" xfId="1" applyFont="1" applyFill="1" applyBorder="1" applyAlignment="1" applyProtection="1">
      <alignment horizontal="center" vertical="center"/>
    </xf>
    <xf numFmtId="43" fontId="3" fillId="0" borderId="20" xfId="1" applyFont="1" applyFill="1" applyBorder="1" applyAlignment="1" applyProtection="1">
      <alignment horizontal="center" vertical="center"/>
    </xf>
    <xf numFmtId="43" fontId="3" fillId="18" borderId="20" xfId="1" applyFont="1" applyFill="1" applyBorder="1" applyAlignment="1" applyProtection="1">
      <alignment horizontal="center" vertical="center"/>
    </xf>
    <xf numFmtId="43" fontId="3" fillId="7" borderId="13" xfId="1" applyFont="1" applyFill="1" applyBorder="1" applyAlignment="1" applyProtection="1">
      <alignment horizontal="center" vertical="center"/>
    </xf>
    <xf numFmtId="43" fontId="3" fillId="0" borderId="13" xfId="1" applyFont="1" applyFill="1" applyBorder="1" applyAlignment="1" applyProtection="1">
      <alignment horizontal="center" vertical="center"/>
    </xf>
    <xf numFmtId="43" fontId="3" fillId="18" borderId="13" xfId="1" applyFont="1" applyFill="1" applyBorder="1" applyAlignment="1" applyProtection="1">
      <alignment horizontal="center" vertical="center"/>
    </xf>
    <xf numFmtId="43" fontId="3" fillId="0" borderId="38" xfId="1" applyFont="1" applyFill="1" applyBorder="1" applyAlignment="1" applyProtection="1">
      <alignment horizontal="center" vertical="center"/>
    </xf>
    <xf numFmtId="43" fontId="3" fillId="0" borderId="16" xfId="1" applyFont="1" applyFill="1" applyBorder="1" applyAlignment="1" applyProtection="1">
      <alignment horizontal="center" vertical="center"/>
    </xf>
    <xf numFmtId="43" fontId="3" fillId="0" borderId="0" xfId="1" applyFont="1" applyFill="1" applyBorder="1" applyAlignment="1" applyProtection="1">
      <alignment horizontal="center" vertical="center"/>
    </xf>
    <xf numFmtId="43" fontId="3" fillId="0" borderId="19" xfId="1" applyFont="1" applyFill="1" applyBorder="1" applyAlignment="1" applyProtection="1">
      <alignment horizontal="center" vertical="center"/>
    </xf>
    <xf numFmtId="0" fontId="3" fillId="0" borderId="0" xfId="0" applyFont="1" applyAlignment="1">
      <alignment vertical="center"/>
    </xf>
    <xf numFmtId="43" fontId="3" fillId="0" borderId="15" xfId="1" applyFont="1" applyFill="1" applyBorder="1" applyAlignment="1" applyProtection="1">
      <alignment horizontal="center" vertical="center"/>
    </xf>
    <xf numFmtId="43" fontId="3" fillId="0" borderId="14" xfId="1" applyFont="1" applyFill="1" applyBorder="1" applyAlignment="1" applyProtection="1">
      <alignment horizontal="center" vertical="center"/>
    </xf>
    <xf numFmtId="43" fontId="3" fillId="7" borderId="25" xfId="1" applyFont="1" applyFill="1" applyBorder="1" applyAlignment="1" applyProtection="1">
      <alignment horizontal="center" vertical="center"/>
    </xf>
    <xf numFmtId="43" fontId="3" fillId="0" borderId="33" xfId="1" applyFont="1" applyFill="1" applyBorder="1" applyAlignment="1" applyProtection="1">
      <alignment horizontal="center" vertical="center"/>
    </xf>
    <xf numFmtId="43" fontId="3" fillId="0" borderId="25" xfId="1" applyFont="1" applyFill="1" applyBorder="1" applyAlignment="1" applyProtection="1">
      <alignment horizontal="center" vertical="center"/>
    </xf>
    <xf numFmtId="43" fontId="3" fillId="0" borderId="32" xfId="1" applyFont="1" applyFill="1" applyBorder="1" applyAlignment="1" applyProtection="1">
      <alignment horizontal="center" vertical="center"/>
    </xf>
    <xf numFmtId="43" fontId="3" fillId="18" borderId="25" xfId="1" applyFont="1" applyFill="1" applyBorder="1" applyAlignment="1" applyProtection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2" fontId="15" fillId="0" borderId="2" xfId="0" applyNumberFormat="1" applyFont="1" applyBorder="1" applyAlignment="1">
      <alignment horizontal="center"/>
    </xf>
    <xf numFmtId="0" fontId="30" fillId="4" borderId="38" xfId="0" applyFont="1" applyFill="1" applyBorder="1"/>
    <xf numFmtId="0" fontId="34" fillId="4" borderId="16" xfId="0" applyFont="1" applyFill="1" applyBorder="1" applyAlignment="1">
      <alignment horizontal="center" vertical="center"/>
    </xf>
    <xf numFmtId="0" fontId="180" fillId="45" borderId="2" xfId="0" applyFont="1" applyFill="1" applyBorder="1" applyAlignment="1">
      <alignment horizontal="center" vertical="center"/>
    </xf>
    <xf numFmtId="173" fontId="181" fillId="22" borderId="2" xfId="0" applyNumberFormat="1" applyFont="1" applyFill="1" applyBorder="1" applyAlignment="1">
      <alignment horizontal="center"/>
    </xf>
    <xf numFmtId="43" fontId="32" fillId="0" borderId="20" xfId="0" applyNumberFormat="1" applyFont="1" applyBorder="1" applyAlignment="1">
      <alignment horizontal="center" vertical="center"/>
    </xf>
    <xf numFmtId="167" fontId="32" fillId="0" borderId="19" xfId="0" applyNumberFormat="1" applyFont="1" applyBorder="1" applyAlignment="1">
      <alignment horizontal="center" vertical="center"/>
    </xf>
    <xf numFmtId="0" fontId="152" fillId="0" borderId="0" xfId="0" applyFont="1"/>
    <xf numFmtId="0" fontId="37" fillId="4" borderId="0" xfId="0" applyFont="1" applyFill="1"/>
    <xf numFmtId="0" fontId="155" fillId="0" borderId="0" xfId="0" applyFont="1"/>
    <xf numFmtId="173" fontId="0" fillId="0" borderId="0" xfId="0" applyNumberFormat="1"/>
    <xf numFmtId="0" fontId="39" fillId="45" borderId="17" xfId="0" applyFont="1" applyFill="1" applyBorder="1" applyAlignment="1">
      <alignment horizontal="center" vertical="center" wrapText="1"/>
    </xf>
    <xf numFmtId="173" fontId="192" fillId="47" borderId="142" xfId="0" applyNumberFormat="1" applyFont="1" applyFill="1" applyBorder="1" applyAlignment="1">
      <alignment horizontal="center" vertical="center"/>
    </xf>
    <xf numFmtId="1" fontId="192" fillId="47" borderId="142" xfId="0" applyNumberFormat="1" applyFont="1" applyFill="1" applyBorder="1" applyAlignment="1">
      <alignment horizontal="center" vertical="center"/>
    </xf>
    <xf numFmtId="0" fontId="192" fillId="47" borderId="142" xfId="0" applyFont="1" applyFill="1" applyBorder="1" applyAlignment="1">
      <alignment horizontal="center" vertical="center"/>
    </xf>
    <xf numFmtId="0" fontId="192" fillId="47" borderId="143" xfId="0" applyFont="1" applyFill="1" applyBorder="1" applyAlignment="1">
      <alignment horizontal="center" vertical="center"/>
    </xf>
    <xf numFmtId="1" fontId="37" fillId="0" borderId="2" xfId="0" applyNumberFormat="1" applyFont="1" applyBorder="1" applyAlignment="1">
      <alignment horizontal="center"/>
    </xf>
    <xf numFmtId="0" fontId="37" fillId="0" borderId="2" xfId="0" applyFont="1" applyBorder="1" applyAlignment="1">
      <alignment horizontal="center"/>
    </xf>
    <xf numFmtId="0" fontId="39" fillId="38" borderId="102" xfId="0" applyFont="1" applyFill="1" applyBorder="1" applyAlignment="1">
      <alignment horizontal="center" vertical="center"/>
    </xf>
    <xf numFmtId="0" fontId="35" fillId="4" borderId="13" xfId="0" applyFont="1" applyFill="1" applyBorder="1" applyAlignment="1">
      <alignment horizontal="center" vertical="center" wrapText="1"/>
    </xf>
    <xf numFmtId="0" fontId="37" fillId="0" borderId="0" xfId="0" applyFont="1" applyProtection="1">
      <protection locked="0"/>
    </xf>
    <xf numFmtId="0" fontId="41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>
      <alignment vertical="center" wrapText="1"/>
    </xf>
    <xf numFmtId="0" fontId="5" fillId="0" borderId="0" xfId="0" applyFont="1" applyAlignment="1">
      <alignment horizontal="center"/>
    </xf>
    <xf numFmtId="0" fontId="3" fillId="0" borderId="31" xfId="0" applyFont="1" applyBorder="1" applyAlignment="1">
      <alignment vertical="center"/>
    </xf>
    <xf numFmtId="0" fontId="3" fillId="0" borderId="32" xfId="0" applyFont="1" applyBorder="1" applyAlignment="1">
      <alignment vertical="center"/>
    </xf>
    <xf numFmtId="0" fontId="3" fillId="0" borderId="25" xfId="0" applyFont="1" applyBorder="1" applyAlignment="1">
      <alignment horizontal="center" vertical="center" wrapText="1"/>
    </xf>
    <xf numFmtId="0" fontId="3" fillId="0" borderId="41" xfId="0" applyFont="1" applyBorder="1" applyAlignment="1">
      <alignment vertical="center"/>
    </xf>
    <xf numFmtId="0" fontId="3" fillId="0" borderId="43" xfId="0" applyFont="1" applyBorder="1" applyAlignment="1">
      <alignment vertical="center"/>
    </xf>
    <xf numFmtId="0" fontId="3" fillId="0" borderId="21" xfId="0" applyFont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0" fontId="3" fillId="0" borderId="44" xfId="0" applyFont="1" applyBorder="1" applyAlignment="1">
      <alignment vertical="center"/>
    </xf>
    <xf numFmtId="14" fontId="3" fillId="4" borderId="23" xfId="0" applyNumberFormat="1" applyFont="1" applyFill="1" applyBorder="1" applyAlignment="1">
      <alignment horizontal="right" vertical="center"/>
    </xf>
    <xf numFmtId="14" fontId="6" fillId="0" borderId="23" xfId="0" applyNumberFormat="1" applyFont="1" applyBorder="1" applyAlignment="1">
      <alignment horizontal="right" vertical="center"/>
    </xf>
    <xf numFmtId="2" fontId="3" fillId="0" borderId="0" xfId="0" applyNumberFormat="1" applyFont="1"/>
    <xf numFmtId="0" fontId="3" fillId="0" borderId="26" xfId="0" applyFont="1" applyBorder="1" applyAlignment="1">
      <alignment horizontal="left" vertical="center"/>
    </xf>
    <xf numFmtId="0" fontId="3" fillId="0" borderId="44" xfId="0" applyFont="1" applyBorder="1" applyAlignment="1">
      <alignment horizontal="left" vertical="center"/>
    </xf>
    <xf numFmtId="0" fontId="6" fillId="4" borderId="23" xfId="0" applyFont="1" applyFill="1" applyBorder="1" applyAlignment="1">
      <alignment horizontal="right" vertical="center"/>
    </xf>
    <xf numFmtId="0" fontId="25" fillId="0" borderId="0" xfId="0" applyFont="1" applyAlignment="1">
      <alignment horizontal="center"/>
    </xf>
    <xf numFmtId="0" fontId="3" fillId="4" borderId="40" xfId="0" applyFont="1" applyFill="1" applyBorder="1" applyAlignment="1">
      <alignment horizontal="right" vertical="center"/>
    </xf>
    <xf numFmtId="0" fontId="3" fillId="0" borderId="34" xfId="0" applyFont="1" applyBorder="1" applyAlignment="1">
      <alignment horizontal="left" vertical="center"/>
    </xf>
    <xf numFmtId="0" fontId="3" fillId="0" borderId="45" xfId="0" applyFont="1" applyBorder="1" applyAlignment="1">
      <alignment horizontal="left" vertical="center"/>
    </xf>
    <xf numFmtId="0" fontId="3" fillId="4" borderId="24" xfId="0" quotePrefix="1" applyFont="1" applyFill="1" applyBorder="1" applyAlignment="1">
      <alignment horizontal="right" vertical="center"/>
    </xf>
    <xf numFmtId="0" fontId="6" fillId="0" borderId="0" xfId="0" applyFont="1"/>
    <xf numFmtId="0" fontId="3" fillId="3" borderId="25" xfId="0" applyFont="1" applyFill="1" applyBorder="1" applyAlignment="1">
      <alignment horizontal="right"/>
    </xf>
    <xf numFmtId="0" fontId="3" fillId="0" borderId="31" xfId="0" applyFont="1" applyBorder="1"/>
    <xf numFmtId="4" fontId="13" fillId="0" borderId="25" xfId="0" applyNumberFormat="1" applyFont="1" applyBorder="1"/>
    <xf numFmtId="4" fontId="3" fillId="0" borderId="25" xfId="0" applyNumberFormat="1" applyFont="1" applyBorder="1"/>
    <xf numFmtId="14" fontId="3" fillId="7" borderId="25" xfId="0" applyNumberFormat="1" applyFont="1" applyFill="1" applyBorder="1" applyAlignment="1">
      <alignment horizontal="center"/>
    </xf>
    <xf numFmtId="14" fontId="3" fillId="7" borderId="31" xfId="0" applyNumberFormat="1" applyFont="1" applyFill="1" applyBorder="1" applyAlignment="1">
      <alignment horizontal="center"/>
    </xf>
    <xf numFmtId="14" fontId="3" fillId="18" borderId="25" xfId="0" applyNumberFormat="1" applyFont="1" applyFill="1" applyBorder="1" applyAlignment="1">
      <alignment horizontal="center"/>
    </xf>
    <xf numFmtId="14" fontId="3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center"/>
    </xf>
    <xf numFmtId="0" fontId="6" fillId="11" borderId="25" xfId="0" applyFont="1" applyFill="1" applyBorder="1" applyAlignment="1">
      <alignment horizontal="center"/>
    </xf>
    <xf numFmtId="0" fontId="3" fillId="11" borderId="38" xfId="0" applyFont="1" applyFill="1" applyBorder="1"/>
    <xf numFmtId="0" fontId="3" fillId="11" borderId="17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17" xfId="0" applyFont="1" applyFill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9" fillId="0" borderId="38" xfId="0" applyFont="1" applyBorder="1"/>
    <xf numFmtId="0" fontId="3" fillId="15" borderId="0" xfId="0" applyFont="1" applyFill="1" applyAlignment="1">
      <alignment horizontal="center"/>
    </xf>
    <xf numFmtId="0" fontId="4" fillId="0" borderId="20" xfId="0" applyFont="1" applyBorder="1" applyAlignment="1">
      <alignment horizontal="center"/>
    </xf>
    <xf numFmtId="0" fontId="9" fillId="0" borderId="0" xfId="0" applyFont="1"/>
    <xf numFmtId="0" fontId="4" fillId="0" borderId="13" xfId="0" applyFont="1" applyBorder="1" applyAlignment="1">
      <alignment horizontal="center"/>
    </xf>
    <xf numFmtId="0" fontId="9" fillId="0" borderId="15" xfId="0" applyFont="1" applyBorder="1"/>
    <xf numFmtId="0" fontId="9" fillId="0" borderId="3" xfId="0" applyFont="1" applyBorder="1"/>
    <xf numFmtId="0" fontId="9" fillId="0" borderId="16" xfId="0" applyFont="1" applyBorder="1"/>
    <xf numFmtId="0" fontId="9" fillId="0" borderId="18" xfId="0" applyFont="1" applyBorder="1"/>
    <xf numFmtId="0" fontId="9" fillId="0" borderId="19" xfId="0" applyFont="1" applyBorder="1"/>
    <xf numFmtId="0" fontId="9" fillId="0" borderId="12" xfId="0" applyFont="1" applyBorder="1"/>
    <xf numFmtId="0" fontId="9" fillId="0" borderId="14" xfId="0" applyFont="1" applyBorder="1"/>
    <xf numFmtId="0" fontId="4" fillId="0" borderId="25" xfId="0" applyFont="1" applyBorder="1" applyAlignment="1">
      <alignment horizontal="center"/>
    </xf>
    <xf numFmtId="0" fontId="9" fillId="0" borderId="32" xfId="0" applyFont="1" applyBorder="1"/>
    <xf numFmtId="43" fontId="3" fillId="7" borderId="25" xfId="0" applyNumberFormat="1" applyFont="1" applyFill="1" applyBorder="1" applyAlignment="1">
      <alignment horizontal="center" vertical="center"/>
    </xf>
    <xf numFmtId="43" fontId="3" fillId="0" borderId="31" xfId="0" applyNumberFormat="1" applyFont="1" applyBorder="1" applyAlignment="1">
      <alignment horizontal="center" vertical="center"/>
    </xf>
    <xf numFmtId="43" fontId="3" fillId="0" borderId="25" xfId="0" applyNumberFormat="1" applyFont="1" applyBorder="1" applyAlignment="1">
      <alignment horizontal="center" vertical="center"/>
    </xf>
    <xf numFmtId="43" fontId="3" fillId="0" borderId="33" xfId="0" applyNumberFormat="1" applyFont="1" applyBorder="1" applyAlignment="1">
      <alignment vertical="center"/>
    </xf>
    <xf numFmtId="164" fontId="3" fillId="0" borderId="25" xfId="0" applyNumberFormat="1" applyFont="1" applyBorder="1" applyAlignment="1">
      <alignment horizontal="center" vertical="center"/>
    </xf>
    <xf numFmtId="43" fontId="4" fillId="4" borderId="0" xfId="0" applyNumberFormat="1" applyFont="1" applyFill="1"/>
    <xf numFmtId="164" fontId="3" fillId="4" borderId="0" xfId="0" applyNumberFormat="1" applyFont="1" applyFill="1" applyAlignment="1">
      <alignment horizontal="center" vertical="center"/>
    </xf>
    <xf numFmtId="0" fontId="3" fillId="43" borderId="31" xfId="0" applyFont="1" applyFill="1" applyBorder="1" applyAlignment="1">
      <alignment horizontal="center"/>
    </xf>
    <xf numFmtId="0" fontId="3" fillId="43" borderId="32" xfId="0" applyFont="1" applyFill="1" applyBorder="1" applyAlignment="1">
      <alignment horizontal="center"/>
    </xf>
    <xf numFmtId="0" fontId="3" fillId="43" borderId="17" xfId="0" applyFont="1" applyFill="1" applyBorder="1" applyAlignment="1">
      <alignment horizontal="center"/>
    </xf>
    <xf numFmtId="165" fontId="3" fillId="0" borderId="21" xfId="0" applyNumberFormat="1" applyFont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161" fillId="0" borderId="0" xfId="0" applyFont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10" borderId="32" xfId="0" applyFont="1" applyFill="1" applyBorder="1" applyAlignment="1" applyProtection="1">
      <alignment horizontal="center"/>
      <protection locked="0"/>
    </xf>
    <xf numFmtId="2" fontId="4" fillId="0" borderId="32" xfId="0" applyNumberFormat="1" applyFont="1" applyBorder="1" applyAlignment="1" applyProtection="1">
      <alignment horizontal="center"/>
      <protection locked="0"/>
    </xf>
    <xf numFmtId="2" fontId="4" fillId="0" borderId="25" xfId="0" applyNumberFormat="1" applyFont="1" applyBorder="1" applyAlignment="1" applyProtection="1">
      <alignment horizontal="center"/>
      <protection locked="0"/>
    </xf>
    <xf numFmtId="0" fontId="4" fillId="0" borderId="33" xfId="0" applyFont="1" applyBorder="1" applyAlignment="1" applyProtection="1">
      <alignment horizontal="center"/>
      <protection locked="0"/>
    </xf>
    <xf numFmtId="0" fontId="194" fillId="4" borderId="0" xfId="0" applyFont="1" applyFill="1"/>
    <xf numFmtId="0" fontId="209" fillId="4" borderId="0" xfId="0" applyFont="1" applyFill="1"/>
    <xf numFmtId="0" fontId="201" fillId="4" borderId="0" xfId="0" applyFont="1" applyFill="1"/>
    <xf numFmtId="0" fontId="210" fillId="4" borderId="0" xfId="0" applyFont="1" applyFill="1" applyAlignment="1">
      <alignment horizontal="center" vertical="center" wrapText="1"/>
    </xf>
    <xf numFmtId="0" fontId="138" fillId="4" borderId="0" xfId="0" applyFont="1" applyFill="1"/>
    <xf numFmtId="0" fontId="211" fillId="4" borderId="0" xfId="0" applyFont="1" applyFill="1" applyAlignment="1">
      <alignment horizontal="center" wrapText="1"/>
    </xf>
    <xf numFmtId="1" fontId="211" fillId="4" borderId="0" xfId="0" applyNumberFormat="1" applyFont="1" applyFill="1" applyAlignment="1">
      <alignment horizontal="center"/>
    </xf>
    <xf numFmtId="0" fontId="212" fillId="4" borderId="0" xfId="0" applyFont="1" applyFill="1"/>
    <xf numFmtId="1" fontId="212" fillId="4" borderId="0" xfId="0" applyNumberFormat="1" applyFont="1" applyFill="1"/>
    <xf numFmtId="165" fontId="212" fillId="4" borderId="0" xfId="0" applyNumberFormat="1" applyFont="1" applyFill="1"/>
    <xf numFmtId="165" fontId="211" fillId="4" borderId="0" xfId="0" applyNumberFormat="1" applyFont="1" applyFill="1"/>
    <xf numFmtId="0" fontId="27" fillId="4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207" fillId="4" borderId="0" xfId="0" applyFont="1" applyFill="1"/>
    <xf numFmtId="0" fontId="207" fillId="4" borderId="0" xfId="0" applyFont="1" applyFill="1" applyAlignment="1">
      <alignment horizontal="center"/>
    </xf>
    <xf numFmtId="165" fontId="193" fillId="0" borderId="2" xfId="0" applyNumberFormat="1" applyFont="1" applyBorder="1"/>
    <xf numFmtId="0" fontId="194" fillId="0" borderId="2" xfId="0" applyFont="1" applyBorder="1"/>
    <xf numFmtId="43" fontId="194" fillId="4" borderId="0" xfId="0" applyNumberFormat="1" applyFont="1" applyFill="1"/>
    <xf numFmtId="0" fontId="202" fillId="0" borderId="137" xfId="0" applyFont="1" applyBorder="1" applyAlignment="1">
      <alignment horizontal="center"/>
    </xf>
    <xf numFmtId="0" fontId="202" fillId="0" borderId="84" xfId="0" applyFont="1" applyBorder="1" applyAlignment="1">
      <alignment horizontal="left"/>
    </xf>
    <xf numFmtId="165" fontId="202" fillId="0" borderId="84" xfId="0" applyNumberFormat="1" applyFont="1" applyBorder="1" applyAlignment="1">
      <alignment horizontal="center"/>
    </xf>
    <xf numFmtId="0" fontId="202" fillId="0" borderId="138" xfId="0" applyFont="1" applyBorder="1" applyAlignment="1">
      <alignment horizontal="center"/>
    </xf>
    <xf numFmtId="0" fontId="208" fillId="4" borderId="0" xfId="0" applyFont="1" applyFill="1"/>
    <xf numFmtId="1" fontId="193" fillId="0" borderId="2" xfId="0" applyNumberFormat="1" applyFont="1" applyBorder="1"/>
    <xf numFmtId="165" fontId="194" fillId="0" borderId="2" xfId="0" applyNumberFormat="1" applyFont="1" applyBorder="1"/>
    <xf numFmtId="0" fontId="5" fillId="4" borderId="0" xfId="0" applyFont="1" applyFill="1" applyAlignment="1">
      <alignment horizontal="center"/>
    </xf>
    <xf numFmtId="0" fontId="193" fillId="0" borderId="2" xfId="0" applyFont="1" applyBorder="1"/>
    <xf numFmtId="174" fontId="3" fillId="4" borderId="0" xfId="0" applyNumberFormat="1" applyFont="1" applyFill="1" applyAlignment="1">
      <alignment horizontal="center"/>
    </xf>
    <xf numFmtId="0" fontId="208" fillId="4" borderId="0" xfId="0" applyFont="1" applyFill="1" applyAlignment="1">
      <alignment horizontal="center"/>
    </xf>
    <xf numFmtId="0" fontId="202" fillId="0" borderId="139" xfId="0" applyFont="1" applyBorder="1" applyAlignment="1">
      <alignment horizontal="center"/>
    </xf>
    <xf numFmtId="0" fontId="202" fillId="0" borderId="140" xfId="0" applyFont="1" applyBorder="1" applyAlignment="1">
      <alignment horizontal="left"/>
    </xf>
    <xf numFmtId="165" fontId="202" fillId="0" borderId="140" xfId="0" applyNumberFormat="1" applyFont="1" applyBorder="1" applyAlignment="1">
      <alignment horizontal="center"/>
    </xf>
    <xf numFmtId="0" fontId="202" fillId="0" borderId="141" xfId="0" applyFont="1" applyBorder="1" applyAlignment="1">
      <alignment horizontal="center"/>
    </xf>
    <xf numFmtId="0" fontId="118" fillId="0" borderId="0" xfId="0" applyFont="1"/>
    <xf numFmtId="175" fontId="208" fillId="4" borderId="0" xfId="0" applyNumberFormat="1" applyFont="1" applyFill="1"/>
    <xf numFmtId="164" fontId="207" fillId="4" borderId="0" xfId="0" applyNumberFormat="1" applyFont="1" applyFill="1" applyAlignment="1">
      <alignment horizontal="center" vertical="center"/>
    </xf>
    <xf numFmtId="0" fontId="4" fillId="4" borderId="0" xfId="0" applyFont="1" applyFill="1" applyProtection="1">
      <protection locked="0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vertical="center" wrapText="1"/>
      <protection locked="0"/>
    </xf>
    <xf numFmtId="0" fontId="3" fillId="0" borderId="31" xfId="0" applyFont="1" applyBorder="1" applyAlignment="1" applyProtection="1">
      <alignment horizontal="left" vertical="center"/>
      <protection locked="0"/>
    </xf>
    <xf numFmtId="0" fontId="3" fillId="0" borderId="32" xfId="0" applyFont="1" applyBorder="1" applyAlignment="1" applyProtection="1">
      <alignment horizontal="left" vertical="center"/>
      <protection locked="0"/>
    </xf>
    <xf numFmtId="0" fontId="3" fillId="0" borderId="25" xfId="0" applyFont="1" applyBorder="1" applyAlignment="1" applyProtection="1">
      <alignment horizontal="center" vertical="center" wrapText="1"/>
      <protection locked="0"/>
    </xf>
    <xf numFmtId="0" fontId="3" fillId="0" borderId="41" xfId="0" applyFont="1" applyBorder="1" applyAlignment="1" applyProtection="1">
      <alignment horizontal="left" vertical="center"/>
      <protection locked="0"/>
    </xf>
    <xf numFmtId="0" fontId="3" fillId="0" borderId="43" xfId="0" applyFont="1" applyBorder="1" applyAlignment="1" applyProtection="1">
      <alignment horizontal="left" vertical="center"/>
      <protection locked="0"/>
    </xf>
    <xf numFmtId="0" fontId="3" fillId="0" borderId="21" xfId="0" applyFont="1" applyBorder="1" applyAlignment="1" applyProtection="1">
      <alignment horizontal="center" vertical="center"/>
      <protection locked="0"/>
    </xf>
    <xf numFmtId="0" fontId="3" fillId="0" borderId="26" xfId="0" applyFont="1" applyBorder="1" applyAlignment="1" applyProtection="1">
      <alignment horizontal="left" vertical="center"/>
      <protection locked="0"/>
    </xf>
    <xf numFmtId="0" fontId="3" fillId="0" borderId="44" xfId="0" applyFont="1" applyBorder="1" applyAlignment="1" applyProtection="1">
      <alignment horizontal="left" vertical="center"/>
      <protection locked="0"/>
    </xf>
    <xf numFmtId="174" fontId="3" fillId="4" borderId="23" xfId="0" applyNumberFormat="1" applyFont="1" applyFill="1" applyBorder="1" applyAlignment="1" applyProtection="1">
      <alignment horizontal="right" vertic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174" fontId="6" fillId="0" borderId="23" xfId="0" applyNumberFormat="1" applyFont="1" applyBorder="1" applyAlignment="1" applyProtection="1">
      <alignment horizontal="right" vertical="center"/>
      <protection locked="0"/>
    </xf>
    <xf numFmtId="2" fontId="3" fillId="4" borderId="0" xfId="0" applyNumberFormat="1" applyFont="1" applyFill="1" applyProtection="1">
      <protection locked="0"/>
    </xf>
    <xf numFmtId="0" fontId="6" fillId="4" borderId="23" xfId="0" applyFont="1" applyFill="1" applyBorder="1" applyAlignment="1" applyProtection="1">
      <alignment horizontal="right" vertical="center"/>
      <protection locked="0"/>
    </xf>
    <xf numFmtId="0" fontId="25" fillId="4" borderId="0" xfId="0" applyFont="1" applyFill="1" applyAlignment="1" applyProtection="1">
      <alignment horizontal="center"/>
      <protection locked="0"/>
    </xf>
    <xf numFmtId="0" fontId="3" fillId="4" borderId="40" xfId="0" applyFont="1" applyFill="1" applyBorder="1" applyAlignment="1" applyProtection="1">
      <alignment horizontal="right" vertical="center"/>
      <protection locked="0"/>
    </xf>
    <xf numFmtId="9" fontId="3" fillId="4" borderId="0" xfId="2" applyFont="1" applyFill="1" applyBorder="1" applyProtection="1">
      <protection locked="0"/>
    </xf>
    <xf numFmtId="0" fontId="3" fillId="0" borderId="34" xfId="0" applyFont="1" applyBorder="1" applyAlignment="1" applyProtection="1">
      <alignment horizontal="left" vertical="center"/>
      <protection locked="0"/>
    </xf>
    <xf numFmtId="0" fontId="3" fillId="0" borderId="45" xfId="0" applyFont="1" applyBorder="1" applyAlignment="1" applyProtection="1">
      <alignment horizontal="left" vertical="center"/>
      <protection locked="0"/>
    </xf>
    <xf numFmtId="0" fontId="3" fillId="4" borderId="24" xfId="0" quotePrefix="1" applyFont="1" applyFill="1" applyBorder="1" applyAlignment="1" applyProtection="1">
      <alignment horizontal="right" vertical="center"/>
      <protection locked="0"/>
    </xf>
    <xf numFmtId="0" fontId="6" fillId="4" borderId="0" xfId="0" applyFont="1" applyFill="1" applyProtection="1">
      <protection locked="0"/>
    </xf>
    <xf numFmtId="0" fontId="3" fillId="3" borderId="31" xfId="0" applyFont="1" applyFill="1" applyBorder="1" applyAlignment="1" applyProtection="1">
      <alignment horizontal="left"/>
      <protection locked="0"/>
    </xf>
    <xf numFmtId="0" fontId="3" fillId="3" borderId="32" xfId="0" applyFont="1" applyFill="1" applyBorder="1" applyAlignment="1" applyProtection="1">
      <alignment horizontal="left"/>
      <protection locked="0"/>
    </xf>
    <xf numFmtId="0" fontId="3" fillId="3" borderId="25" xfId="0" applyFont="1" applyFill="1" applyBorder="1" applyAlignment="1" applyProtection="1">
      <alignment horizontal="right"/>
      <protection locked="0"/>
    </xf>
    <xf numFmtId="0" fontId="3" fillId="0" borderId="31" xfId="0" applyFont="1" applyBorder="1" applyProtection="1">
      <protection locked="0"/>
    </xf>
    <xf numFmtId="0" fontId="4" fillId="0" borderId="31" xfId="0" applyFont="1" applyBorder="1" applyAlignment="1" applyProtection="1">
      <alignment horizontal="center"/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32" xfId="0" applyFont="1" applyBorder="1" applyAlignment="1" applyProtection="1">
      <alignment horizont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174" fontId="3" fillId="10" borderId="32" xfId="0" applyNumberFormat="1" applyFont="1" applyFill="1" applyBorder="1" applyAlignment="1" applyProtection="1">
      <alignment horizontal="center"/>
      <protection locked="0"/>
    </xf>
    <xf numFmtId="0" fontId="6" fillId="0" borderId="24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4" fontId="13" fillId="0" borderId="25" xfId="0" applyNumberFormat="1" applyFont="1" applyBorder="1" applyProtection="1">
      <protection locked="0"/>
    </xf>
    <xf numFmtId="0" fontId="3" fillId="4" borderId="31" xfId="0" applyFont="1" applyFill="1" applyBorder="1" applyAlignment="1" applyProtection="1">
      <alignment horizontal="center"/>
      <protection locked="0"/>
    </xf>
    <xf numFmtId="0" fontId="3" fillId="4" borderId="33" xfId="0" applyFont="1" applyFill="1" applyBorder="1" applyAlignment="1" applyProtection="1">
      <alignment horizontal="center"/>
      <protection locked="0"/>
    </xf>
    <xf numFmtId="0" fontId="3" fillId="4" borderId="32" xfId="0" applyFont="1" applyFill="1" applyBorder="1" applyAlignment="1" applyProtection="1">
      <alignment horizontal="center"/>
      <protection locked="0"/>
    </xf>
    <xf numFmtId="4" fontId="3" fillId="0" borderId="25" xfId="0" applyNumberFormat="1" applyFont="1" applyBorder="1" applyProtection="1">
      <protection locked="0"/>
    </xf>
    <xf numFmtId="0" fontId="4" fillId="0" borderId="0" xfId="0" applyFont="1" applyProtection="1">
      <protection locked="0"/>
    </xf>
    <xf numFmtId="0" fontId="6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174" fontId="3" fillId="7" borderId="25" xfId="0" applyNumberFormat="1" applyFont="1" applyFill="1" applyBorder="1" applyAlignment="1" applyProtection="1">
      <alignment horizontal="center"/>
      <protection locked="0"/>
    </xf>
    <xf numFmtId="174" fontId="3" fillId="7" borderId="31" xfId="0" applyNumberFormat="1" applyFont="1" applyFill="1" applyBorder="1" applyAlignment="1" applyProtection="1">
      <alignment horizontal="center"/>
      <protection locked="0"/>
    </xf>
    <xf numFmtId="174" fontId="3" fillId="18" borderId="25" xfId="0" applyNumberFormat="1" applyFont="1" applyFill="1" applyBorder="1" applyAlignment="1" applyProtection="1">
      <alignment horizontal="center"/>
      <protection locked="0"/>
    </xf>
    <xf numFmtId="174" fontId="3" fillId="4" borderId="0" xfId="0" applyNumberFormat="1" applyFont="1" applyFill="1" applyAlignment="1" applyProtection="1">
      <alignment horizontal="right"/>
      <protection locked="0"/>
    </xf>
    <xf numFmtId="0" fontId="6" fillId="11" borderId="25" xfId="0" applyFont="1" applyFill="1" applyBorder="1" applyAlignment="1" applyProtection="1">
      <alignment horizontal="center"/>
      <protection locked="0"/>
    </xf>
    <xf numFmtId="0" fontId="3" fillId="11" borderId="38" xfId="0" applyFont="1" applyFill="1" applyBorder="1" applyProtection="1">
      <protection locked="0"/>
    </xf>
    <xf numFmtId="0" fontId="3" fillId="11" borderId="17" xfId="0" applyFont="1" applyFill="1" applyBorder="1" applyAlignment="1" applyProtection="1">
      <alignment horizontal="center" vertical="center"/>
      <protection locked="0"/>
    </xf>
    <xf numFmtId="0" fontId="3" fillId="11" borderId="3" xfId="0" applyFont="1" applyFill="1" applyBorder="1" applyAlignment="1" applyProtection="1">
      <alignment horizontal="center" vertical="center"/>
      <protection locked="0"/>
    </xf>
    <xf numFmtId="0" fontId="3" fillId="11" borderId="17" xfId="0" applyFont="1" applyFill="1" applyBorder="1" applyAlignment="1" applyProtection="1">
      <alignment horizontal="center"/>
      <protection locked="0"/>
    </xf>
    <xf numFmtId="0" fontId="4" fillId="0" borderId="17" xfId="0" applyFont="1" applyBorder="1" applyAlignment="1" applyProtection="1">
      <alignment horizontal="center"/>
      <protection locked="0"/>
    </xf>
    <xf numFmtId="175" fontId="3" fillId="7" borderId="17" xfId="1" applyNumberFormat="1" applyFont="1" applyFill="1" applyBorder="1" applyAlignment="1" applyProtection="1">
      <alignment horizontal="center" vertical="center"/>
      <protection locked="0"/>
    </xf>
    <xf numFmtId="175" fontId="3" fillId="0" borderId="17" xfId="1" applyNumberFormat="1" applyFont="1" applyFill="1" applyBorder="1" applyAlignment="1" applyProtection="1">
      <alignment horizontal="center" vertical="center"/>
      <protection locked="0"/>
    </xf>
    <xf numFmtId="175" fontId="3" fillId="18" borderId="17" xfId="1" applyNumberFormat="1" applyFont="1" applyFill="1" applyBorder="1" applyAlignment="1" applyProtection="1">
      <alignment horizontal="center" vertical="center"/>
      <protection locked="0"/>
    </xf>
    <xf numFmtId="0" fontId="4" fillId="0" borderId="20" xfId="0" applyFont="1" applyBorder="1" applyAlignment="1" applyProtection="1">
      <alignment horizontal="center"/>
      <protection locked="0"/>
    </xf>
    <xf numFmtId="175" fontId="3" fillId="7" borderId="20" xfId="1" applyNumberFormat="1" applyFont="1" applyFill="1" applyBorder="1" applyAlignment="1" applyProtection="1">
      <alignment horizontal="center" vertical="center"/>
      <protection locked="0"/>
    </xf>
    <xf numFmtId="175" fontId="3" fillId="0" borderId="20" xfId="1" applyNumberFormat="1" applyFont="1" applyFill="1" applyBorder="1" applyAlignment="1" applyProtection="1">
      <alignment horizontal="center" vertical="center"/>
      <protection locked="0"/>
    </xf>
    <xf numFmtId="175" fontId="3" fillId="18" borderId="20" xfId="1" applyNumberFormat="1" applyFont="1" applyFill="1" applyBorder="1" applyAlignment="1" applyProtection="1">
      <alignment horizontal="center" vertical="center"/>
      <protection locked="0"/>
    </xf>
    <xf numFmtId="0" fontId="4" fillId="0" borderId="13" xfId="0" applyFont="1" applyBorder="1" applyAlignment="1" applyProtection="1">
      <alignment horizontal="center"/>
      <protection locked="0"/>
    </xf>
    <xf numFmtId="175" fontId="3" fillId="7" borderId="13" xfId="1" applyNumberFormat="1" applyFont="1" applyFill="1" applyBorder="1" applyAlignment="1" applyProtection="1">
      <alignment horizontal="center" vertical="center"/>
      <protection locked="0"/>
    </xf>
    <xf numFmtId="175" fontId="3" fillId="0" borderId="13" xfId="1" applyNumberFormat="1" applyFont="1" applyFill="1" applyBorder="1" applyAlignment="1" applyProtection="1">
      <alignment horizontal="center" vertical="center"/>
      <protection locked="0"/>
    </xf>
    <xf numFmtId="175" fontId="3" fillId="18" borderId="13" xfId="1" applyNumberFormat="1" applyFont="1" applyFill="1" applyBorder="1" applyAlignment="1" applyProtection="1">
      <alignment horizontal="center" vertical="center"/>
      <protection locked="0"/>
    </xf>
    <xf numFmtId="175" fontId="3" fillId="0" borderId="38" xfId="1" applyNumberFormat="1" applyFont="1" applyFill="1" applyBorder="1" applyAlignment="1" applyProtection="1">
      <alignment horizontal="center" vertical="center"/>
      <protection locked="0"/>
    </xf>
    <xf numFmtId="175" fontId="3" fillId="0" borderId="16" xfId="1" applyNumberFormat="1" applyFont="1" applyFill="1" applyBorder="1" applyAlignment="1" applyProtection="1">
      <alignment horizontal="center" vertical="center"/>
      <protection locked="0"/>
    </xf>
    <xf numFmtId="175" fontId="3" fillId="0" borderId="0" xfId="1" applyNumberFormat="1" applyFont="1" applyFill="1" applyBorder="1" applyAlignment="1" applyProtection="1">
      <alignment horizontal="center" vertical="center"/>
      <protection locked="0"/>
    </xf>
    <xf numFmtId="175" fontId="3" fillId="0" borderId="19" xfId="1" applyNumberFormat="1" applyFont="1" applyFill="1" applyBorder="1" applyAlignment="1" applyProtection="1">
      <alignment horizontal="center" vertical="center"/>
      <protection locked="0"/>
    </xf>
    <xf numFmtId="175" fontId="3" fillId="0" borderId="15" xfId="1" applyNumberFormat="1" applyFont="1" applyFill="1" applyBorder="1" applyAlignment="1" applyProtection="1">
      <alignment horizontal="center" vertical="center"/>
      <protection locked="0"/>
    </xf>
    <xf numFmtId="175" fontId="3" fillId="0" borderId="14" xfId="1" applyNumberFormat="1" applyFont="1" applyFill="1" applyBorder="1" applyAlignment="1" applyProtection="1">
      <alignment horizontal="center" vertical="center"/>
      <protection locked="0"/>
    </xf>
    <xf numFmtId="175" fontId="3" fillId="7" borderId="25" xfId="1" applyNumberFormat="1" applyFont="1" applyFill="1" applyBorder="1" applyAlignment="1" applyProtection="1">
      <alignment horizontal="center" vertical="center"/>
      <protection locked="0"/>
    </xf>
    <xf numFmtId="175" fontId="3" fillId="0" borderId="33" xfId="1" applyNumberFormat="1" applyFont="1" applyFill="1" applyBorder="1" applyAlignment="1" applyProtection="1">
      <alignment horizontal="center" vertical="center"/>
      <protection locked="0"/>
    </xf>
    <xf numFmtId="175" fontId="3" fillId="0" borderId="25" xfId="1" applyNumberFormat="1" applyFont="1" applyFill="1" applyBorder="1" applyAlignment="1" applyProtection="1">
      <alignment horizontal="center" vertical="center"/>
      <protection locked="0"/>
    </xf>
    <xf numFmtId="175" fontId="3" fillId="0" borderId="32" xfId="1" applyNumberFormat="1" applyFont="1" applyFill="1" applyBorder="1" applyAlignment="1" applyProtection="1">
      <alignment horizontal="center" vertical="center"/>
      <protection locked="0"/>
    </xf>
    <xf numFmtId="175" fontId="3" fillId="7" borderId="38" xfId="1" applyNumberFormat="1" applyFont="1" applyFill="1" applyBorder="1" applyAlignment="1" applyProtection="1">
      <alignment horizontal="center" vertical="center"/>
      <protection locked="0"/>
    </xf>
    <xf numFmtId="175" fontId="3" fillId="7" borderId="15" xfId="1" applyNumberFormat="1" applyFont="1" applyFill="1" applyBorder="1" applyAlignment="1" applyProtection="1">
      <alignment horizontal="center" vertical="center"/>
      <protection locked="0"/>
    </xf>
    <xf numFmtId="175" fontId="3" fillId="18" borderId="25" xfId="1" applyNumberFormat="1" applyFont="1" applyFill="1" applyBorder="1" applyAlignment="1" applyProtection="1">
      <alignment horizontal="center" vertical="center"/>
      <protection locked="0"/>
    </xf>
    <xf numFmtId="0" fontId="9" fillId="0" borderId="38" xfId="0" applyFont="1" applyBorder="1" applyProtection="1">
      <protection locked="0"/>
    </xf>
    <xf numFmtId="0" fontId="3" fillId="0" borderId="31" xfId="0" applyFont="1" applyBorder="1" applyAlignment="1" applyProtection="1">
      <alignment horizontal="center"/>
      <protection locked="0"/>
    </xf>
    <xf numFmtId="0" fontId="3" fillId="0" borderId="33" xfId="0" applyFont="1" applyBorder="1" applyAlignment="1" applyProtection="1">
      <alignment horizontal="center"/>
      <protection locked="0"/>
    </xf>
    <xf numFmtId="0" fontId="3" fillId="0" borderId="32" xfId="0" applyFont="1" applyBorder="1" applyAlignment="1" applyProtection="1">
      <alignment horizontal="center"/>
      <protection locked="0"/>
    </xf>
    <xf numFmtId="175" fontId="3" fillId="7" borderId="25" xfId="0" applyNumberFormat="1" applyFont="1" applyFill="1" applyBorder="1" applyAlignment="1" applyProtection="1">
      <alignment horizontal="center" vertical="center"/>
      <protection locked="0"/>
    </xf>
    <xf numFmtId="175" fontId="3" fillId="0" borderId="31" xfId="0" applyNumberFormat="1" applyFont="1" applyBorder="1" applyAlignment="1" applyProtection="1">
      <alignment horizontal="center" vertical="center"/>
      <protection locked="0"/>
    </xf>
    <xf numFmtId="175" fontId="3" fillId="0" borderId="25" xfId="0" applyNumberFormat="1" applyFont="1" applyBorder="1" applyAlignment="1" applyProtection="1">
      <alignment horizontal="center" vertical="center"/>
      <protection locked="0"/>
    </xf>
    <xf numFmtId="175" fontId="3" fillId="0" borderId="33" xfId="0" applyNumberFormat="1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29" fillId="9" borderId="0" xfId="0" applyFont="1" applyFill="1" applyAlignment="1" applyProtection="1">
      <alignment vertical="center"/>
      <protection locked="0"/>
    </xf>
    <xf numFmtId="0" fontId="99" fillId="0" borderId="2" xfId="14" applyFont="1" applyBorder="1" applyAlignment="1" applyProtection="1">
      <alignment horizontal="center" vertical="center"/>
      <protection locked="0"/>
    </xf>
    <xf numFmtId="0" fontId="175" fillId="35" borderId="0" xfId="0" applyFont="1" applyFill="1" applyAlignment="1" applyProtection="1">
      <alignment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0" fontId="63" fillId="0" borderId="0" xfId="0" applyFont="1" applyAlignment="1" applyProtection="1">
      <alignment horizontal="center" vertical="center"/>
      <protection locked="0"/>
    </xf>
    <xf numFmtId="0" fontId="30" fillId="0" borderId="0" xfId="0" applyFont="1" applyProtection="1">
      <protection locked="0"/>
    </xf>
    <xf numFmtId="20" fontId="32" fillId="0" borderId="0" xfId="0" applyNumberFormat="1" applyFont="1" applyAlignment="1" applyProtection="1">
      <alignment vertical="center"/>
      <protection locked="0"/>
    </xf>
    <xf numFmtId="0" fontId="34" fillId="4" borderId="70" xfId="0" applyFont="1" applyFill="1" applyBorder="1" applyAlignment="1" applyProtection="1">
      <alignment horizontal="center" vertical="center" wrapText="1"/>
      <protection locked="0"/>
    </xf>
    <xf numFmtId="0" fontId="38" fillId="0" borderId="2" xfId="0" applyFont="1" applyBorder="1" applyAlignment="1" applyProtection="1">
      <alignment horizontal="center" vertical="center"/>
      <protection locked="0"/>
    </xf>
    <xf numFmtId="0" fontId="30" fillId="0" borderId="38" xfId="0" applyFont="1" applyBorder="1" applyProtection="1">
      <protection locked="0"/>
    </xf>
    <xf numFmtId="0" fontId="30" fillId="0" borderId="33" xfId="0" applyFont="1" applyBorder="1" applyProtection="1">
      <protection locked="0"/>
    </xf>
    <xf numFmtId="0" fontId="33" fillId="0" borderId="0" xfId="0" applyFont="1" applyProtection="1">
      <protection locked="0"/>
    </xf>
    <xf numFmtId="0" fontId="196" fillId="0" borderId="0" xfId="0" applyFont="1" applyProtection="1">
      <protection locked="0"/>
    </xf>
    <xf numFmtId="167" fontId="32" fillId="0" borderId="6" xfId="0" applyNumberFormat="1" applyFont="1" applyBorder="1" applyAlignment="1" applyProtection="1">
      <alignment horizontal="center" vertical="center"/>
      <protection locked="0"/>
    </xf>
    <xf numFmtId="167" fontId="32" fillId="0" borderId="11" xfId="0" applyNumberFormat="1" applyFont="1" applyBorder="1" applyAlignment="1" applyProtection="1">
      <alignment horizontal="center" vertical="center"/>
      <protection locked="0"/>
    </xf>
    <xf numFmtId="0" fontId="62" fillId="0" borderId="0" xfId="0" applyFont="1" applyProtection="1">
      <protection locked="0"/>
    </xf>
    <xf numFmtId="0" fontId="64" fillId="0" borderId="0" xfId="0" applyFont="1" applyProtection="1">
      <protection locked="0"/>
    </xf>
    <xf numFmtId="0" fontId="153" fillId="0" borderId="0" xfId="0" applyFont="1" applyProtection="1">
      <protection locked="0"/>
    </xf>
    <xf numFmtId="0" fontId="37" fillId="0" borderId="0" xfId="0" applyFont="1" applyAlignment="1" applyProtection="1">
      <alignment horizontal="center" vertical="center"/>
      <protection locked="0"/>
    </xf>
    <xf numFmtId="0" fontId="32" fillId="4" borderId="22" xfId="0" applyFont="1" applyFill="1" applyBorder="1" applyAlignment="1" applyProtection="1">
      <alignment vertical="center" wrapText="1"/>
      <protection locked="0"/>
    </xf>
    <xf numFmtId="165" fontId="39" fillId="2" borderId="2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Font="1" applyProtection="1">
      <protection locked="0"/>
    </xf>
    <xf numFmtId="0" fontId="199" fillId="52" borderId="2" xfId="0" applyFont="1" applyFill="1" applyBorder="1" applyAlignment="1">
      <alignment horizontal="center"/>
    </xf>
    <xf numFmtId="0" fontId="214" fillId="37" borderId="84" xfId="0" applyFont="1" applyFill="1" applyBorder="1" applyAlignment="1">
      <alignment horizontal="center" vertical="center" wrapText="1"/>
    </xf>
    <xf numFmtId="0" fontId="214" fillId="37" borderId="84" xfId="0" applyFont="1" applyFill="1" applyBorder="1" applyAlignment="1">
      <alignment horizontal="center" wrapText="1"/>
    </xf>
    <xf numFmtId="0" fontId="215" fillId="0" borderId="84" xfId="0" applyFont="1" applyBorder="1" applyAlignment="1">
      <alignment horizontal="center"/>
    </xf>
    <xf numFmtId="0" fontId="215" fillId="0" borderId="84" xfId="0" applyFont="1" applyBorder="1" applyAlignment="1">
      <alignment horizontal="left"/>
    </xf>
    <xf numFmtId="165" fontId="216" fillId="0" borderId="84" xfId="0" applyNumberFormat="1" applyFont="1" applyBorder="1" applyAlignment="1">
      <alignment horizontal="center"/>
    </xf>
    <xf numFmtId="165" fontId="216" fillId="54" borderId="84" xfId="0" applyNumberFormat="1" applyFont="1" applyFill="1" applyBorder="1" applyAlignment="1">
      <alignment horizontal="center"/>
    </xf>
    <xf numFmtId="1" fontId="216" fillId="0" borderId="84" xfId="0" applyNumberFormat="1" applyFont="1" applyBorder="1" applyAlignment="1">
      <alignment horizontal="center"/>
    </xf>
    <xf numFmtId="0" fontId="214" fillId="0" borderId="84" xfId="0" applyFont="1" applyBorder="1" applyAlignment="1">
      <alignment horizontal="center"/>
    </xf>
    <xf numFmtId="0" fontId="215" fillId="0" borderId="92" xfId="0" applyFont="1" applyBorder="1" applyAlignment="1">
      <alignment horizontal="center"/>
    </xf>
    <xf numFmtId="0" fontId="215" fillId="0" borderId="92" xfId="0" applyFont="1" applyBorder="1" applyAlignment="1">
      <alignment horizontal="left"/>
    </xf>
    <xf numFmtId="165" fontId="216" fillId="0" borderId="92" xfId="0" applyNumberFormat="1" applyFont="1" applyBorder="1" applyAlignment="1">
      <alignment horizontal="center"/>
    </xf>
    <xf numFmtId="165" fontId="216" fillId="54" borderId="92" xfId="0" applyNumberFormat="1" applyFont="1" applyFill="1" applyBorder="1" applyAlignment="1">
      <alignment horizontal="center"/>
    </xf>
    <xf numFmtId="1" fontId="216" fillId="0" borderId="92" xfId="0" applyNumberFormat="1" applyFont="1" applyBorder="1" applyAlignment="1">
      <alignment horizontal="center"/>
    </xf>
    <xf numFmtId="0" fontId="214" fillId="0" borderId="92" xfId="0" applyFont="1" applyBorder="1" applyAlignment="1">
      <alignment horizontal="center"/>
    </xf>
    <xf numFmtId="0" fontId="214" fillId="38" borderId="133" xfId="0" applyFont="1" applyFill="1" applyBorder="1" applyAlignment="1">
      <alignment horizontal="center"/>
    </xf>
    <xf numFmtId="0" fontId="214" fillId="38" borderId="133" xfId="0" applyFont="1" applyFill="1" applyBorder="1" applyAlignment="1">
      <alignment horizontal="left"/>
    </xf>
    <xf numFmtId="165" fontId="214" fillId="38" borderId="133" xfId="0" applyNumberFormat="1" applyFont="1" applyFill="1" applyBorder="1" applyAlignment="1">
      <alignment horizontal="center"/>
    </xf>
    <xf numFmtId="1" fontId="214" fillId="38" borderId="133" xfId="0" applyNumberFormat="1" applyFont="1" applyFill="1" applyBorder="1" applyAlignment="1">
      <alignment horizontal="center"/>
    </xf>
    <xf numFmtId="0" fontId="214" fillId="50" borderId="137" xfId="0" applyFont="1" applyFill="1" applyBorder="1" applyAlignment="1">
      <alignment horizontal="center" wrapText="1"/>
    </xf>
    <xf numFmtId="0" fontId="214" fillId="50" borderId="84" xfId="0" applyFont="1" applyFill="1" applyBorder="1" applyAlignment="1">
      <alignment horizontal="center" vertical="center" wrapText="1"/>
    </xf>
    <xf numFmtId="0" fontId="214" fillId="50" borderId="84" xfId="0" applyFont="1" applyFill="1" applyBorder="1" applyAlignment="1">
      <alignment horizontal="center" wrapText="1"/>
    </xf>
    <xf numFmtId="0" fontId="214" fillId="50" borderId="138" xfId="0" applyFont="1" applyFill="1" applyBorder="1" applyAlignment="1">
      <alignment horizontal="center" vertical="center" wrapText="1"/>
    </xf>
    <xf numFmtId="0" fontId="216" fillId="0" borderId="137" xfId="0" applyFont="1" applyBorder="1" applyAlignment="1">
      <alignment horizontal="center"/>
    </xf>
    <xf numFmtId="0" fontId="216" fillId="0" borderId="84" xfId="0" applyFont="1" applyBorder="1" applyAlignment="1">
      <alignment horizontal="left"/>
    </xf>
    <xf numFmtId="0" fontId="216" fillId="0" borderId="138" xfId="0" applyFont="1" applyBorder="1" applyAlignment="1">
      <alignment horizontal="center"/>
    </xf>
    <xf numFmtId="0" fontId="215" fillId="4" borderId="0" xfId="0" applyFont="1" applyFill="1"/>
    <xf numFmtId="0" fontId="217" fillId="0" borderId="25" xfId="0" applyFont="1" applyBorder="1" applyAlignment="1">
      <alignment horizontal="center" vertical="center" wrapText="1"/>
    </xf>
    <xf numFmtId="0" fontId="217" fillId="0" borderId="0" xfId="0" applyFont="1" applyAlignment="1">
      <alignment horizontal="center" vertical="center" wrapText="1"/>
    </xf>
    <xf numFmtId="0" fontId="215" fillId="0" borderId="50" xfId="0" applyFont="1" applyBorder="1"/>
    <xf numFmtId="0" fontId="216" fillId="0" borderId="1" xfId="0" applyFont="1" applyBorder="1" applyAlignment="1">
      <alignment horizontal="center"/>
    </xf>
    <xf numFmtId="0" fontId="216" fillId="0" borderId="1" xfId="0" applyFont="1" applyBorder="1" applyAlignment="1">
      <alignment horizontal="left"/>
    </xf>
    <xf numFmtId="1" fontId="216" fillId="0" borderId="1" xfId="0" applyNumberFormat="1" applyFont="1" applyBorder="1"/>
    <xf numFmtId="165" fontId="216" fillId="0" borderId="2" xfId="0" applyNumberFormat="1" applyFont="1" applyBorder="1"/>
    <xf numFmtId="165" fontId="216" fillId="0" borderId="1" xfId="0" applyNumberFormat="1" applyFont="1" applyBorder="1"/>
    <xf numFmtId="165" fontId="215" fillId="0" borderId="1" xfId="0" applyNumberFormat="1" applyFont="1" applyBorder="1"/>
    <xf numFmtId="165" fontId="215" fillId="0" borderId="1" xfId="0" applyNumberFormat="1" applyFont="1" applyBorder="1" applyAlignment="1">
      <alignment horizontal="left"/>
    </xf>
    <xf numFmtId="0" fontId="215" fillId="0" borderId="2" xfId="0" applyFont="1" applyBorder="1"/>
    <xf numFmtId="0" fontId="216" fillId="0" borderId="2" xfId="0" applyFont="1" applyBorder="1" applyAlignment="1">
      <alignment horizontal="center"/>
    </xf>
    <xf numFmtId="0" fontId="216" fillId="0" borderId="2" xfId="0" applyFont="1" applyBorder="1" applyAlignment="1">
      <alignment horizontal="left"/>
    </xf>
    <xf numFmtId="1" fontId="216" fillId="0" borderId="2" xfId="0" applyNumberFormat="1" applyFont="1" applyBorder="1"/>
    <xf numFmtId="165" fontId="215" fillId="0" borderId="2" xfId="0" applyNumberFormat="1" applyFont="1" applyBorder="1"/>
    <xf numFmtId="165" fontId="215" fillId="0" borderId="2" xfId="0" applyNumberFormat="1" applyFont="1" applyBorder="1" applyAlignment="1">
      <alignment horizontal="left"/>
    </xf>
    <xf numFmtId="0" fontId="216" fillId="0" borderId="2" xfId="0" applyFont="1" applyBorder="1"/>
    <xf numFmtId="174" fontId="3" fillId="10" borderId="14" xfId="0" applyNumberFormat="1" applyFont="1" applyFill="1" applyBorder="1" applyAlignment="1" applyProtection="1">
      <alignment horizontal="center"/>
      <protection locked="0"/>
    </xf>
    <xf numFmtId="174" fontId="3" fillId="4" borderId="0" xfId="0" applyNumberFormat="1" applyFont="1" applyFill="1" applyAlignment="1" applyProtection="1">
      <alignment horizontal="center"/>
      <protection locked="0"/>
    </xf>
    <xf numFmtId="0" fontId="3" fillId="10" borderId="14" xfId="0" applyFont="1" applyFill="1" applyBorder="1" applyAlignment="1" applyProtection="1">
      <alignment horizontal="center"/>
      <protection locked="0"/>
    </xf>
    <xf numFmtId="175" fontId="3" fillId="0" borderId="3" xfId="1" applyNumberFormat="1" applyFont="1" applyFill="1" applyBorder="1" applyAlignment="1" applyProtection="1">
      <alignment horizontal="center" vertical="center"/>
      <protection locked="0"/>
    </xf>
    <xf numFmtId="175" fontId="3" fillId="0" borderId="18" xfId="1" applyNumberFormat="1" applyFont="1" applyFill="1" applyBorder="1" applyAlignment="1" applyProtection="1">
      <alignment horizontal="center" vertical="center"/>
      <protection locked="0"/>
    </xf>
    <xf numFmtId="175" fontId="3" fillId="0" borderId="12" xfId="1" applyNumberFormat="1" applyFont="1" applyFill="1" applyBorder="1" applyAlignment="1" applyProtection="1">
      <alignment horizontal="center" vertical="center"/>
      <protection locked="0"/>
    </xf>
    <xf numFmtId="175" fontId="3" fillId="0" borderId="31" xfId="1" applyNumberFormat="1" applyFont="1" applyFill="1" applyBorder="1" applyAlignment="1" applyProtection="1">
      <alignment horizontal="center" vertical="center"/>
      <protection locked="0"/>
    </xf>
    <xf numFmtId="167" fontId="42" fillId="19" borderId="27" xfId="0" applyNumberFormat="1" applyFont="1" applyFill="1" applyBorder="1" applyProtection="1">
      <protection locked="0"/>
    </xf>
    <xf numFmtId="0" fontId="219" fillId="0" borderId="0" xfId="0" applyFont="1"/>
    <xf numFmtId="0" fontId="3" fillId="0" borderId="0" xfId="0" applyFont="1" applyAlignment="1">
      <alignment horizontal="left" vertical="center"/>
    </xf>
    <xf numFmtId="43" fontId="3" fillId="7" borderId="19" xfId="1" applyFont="1" applyFill="1" applyBorder="1" applyAlignment="1" applyProtection="1">
      <alignment horizontal="center" vertical="center"/>
    </xf>
    <xf numFmtId="0" fontId="156" fillId="33" borderId="145" xfId="0" applyFont="1" applyFill="1" applyBorder="1" applyAlignment="1" applyProtection="1">
      <alignment horizontal="center" vertical="center"/>
      <protection locked="0"/>
    </xf>
    <xf numFmtId="0" fontId="32" fillId="4" borderId="89" xfId="0" applyFont="1" applyFill="1" applyBorder="1" applyAlignment="1" applyProtection="1">
      <alignment horizontal="center" vertical="center"/>
      <protection locked="0"/>
    </xf>
    <xf numFmtId="0" fontId="32" fillId="3" borderId="16" xfId="0" applyFont="1" applyFill="1" applyBorder="1" applyAlignment="1">
      <alignment vertical="center"/>
    </xf>
    <xf numFmtId="0" fontId="32" fillId="4" borderId="13" xfId="0" applyFont="1" applyFill="1" applyBorder="1" applyAlignment="1">
      <alignment vertical="center" wrapText="1"/>
    </xf>
    <xf numFmtId="0" fontId="32" fillId="3" borderId="3" xfId="0" applyFont="1" applyFill="1" applyBorder="1" applyAlignment="1">
      <alignment vertical="center"/>
    </xf>
    <xf numFmtId="0" fontId="35" fillId="4" borderId="40" xfId="0" applyFont="1" applyFill="1" applyBorder="1" applyAlignment="1">
      <alignment horizontal="center" vertical="center" wrapText="1"/>
    </xf>
    <xf numFmtId="0" fontId="32" fillId="4" borderId="86" xfId="0" applyFont="1" applyFill="1" applyBorder="1" applyAlignment="1" applyProtection="1">
      <alignment horizontal="center" vertical="center"/>
      <protection locked="0"/>
    </xf>
    <xf numFmtId="43" fontId="32" fillId="0" borderId="13" xfId="0" applyNumberFormat="1" applyFont="1" applyBorder="1" applyAlignment="1">
      <alignment horizontal="center" vertical="center"/>
    </xf>
    <xf numFmtId="167" fontId="32" fillId="0" borderId="14" xfId="0" applyNumberFormat="1" applyFont="1" applyBorder="1" applyAlignment="1">
      <alignment horizontal="center" vertical="center"/>
    </xf>
    <xf numFmtId="43" fontId="32" fillId="0" borderId="21" xfId="1" applyFont="1" applyBorder="1" applyAlignment="1" applyProtection="1">
      <alignment horizontal="center" vertical="center"/>
    </xf>
    <xf numFmtId="43" fontId="32" fillId="0" borderId="23" xfId="1" applyFont="1" applyBorder="1" applyAlignment="1" applyProtection="1">
      <alignment horizontal="center" vertical="center"/>
    </xf>
    <xf numFmtId="43" fontId="32" fillId="0" borderId="60" xfId="1" applyFont="1" applyBorder="1" applyAlignment="1" applyProtection="1">
      <alignment horizontal="center" vertical="center"/>
    </xf>
    <xf numFmtId="43" fontId="32" fillId="0" borderId="13" xfId="1" applyFont="1" applyBorder="1" applyAlignment="1" applyProtection="1">
      <alignment horizontal="center" vertical="center"/>
    </xf>
    <xf numFmtId="0" fontId="32" fillId="3" borderId="38" xfId="0" applyFont="1" applyFill="1" applyBorder="1" applyAlignment="1">
      <alignment vertical="center"/>
    </xf>
    <xf numFmtId="43" fontId="32" fillId="0" borderId="39" xfId="1" applyFont="1" applyBorder="1" applyAlignment="1">
      <alignment horizontal="center" vertical="center"/>
    </xf>
    <xf numFmtId="43" fontId="32" fillId="0" borderId="89" xfId="1" applyFont="1" applyBorder="1" applyAlignment="1">
      <alignment horizontal="center" vertical="center"/>
    </xf>
    <xf numFmtId="0" fontId="34" fillId="4" borderId="17" xfId="0" applyFont="1" applyFill="1" applyBorder="1" applyAlignment="1">
      <alignment horizontal="center" vertical="center"/>
    </xf>
    <xf numFmtId="43" fontId="32" fillId="0" borderId="24" xfId="1" applyFont="1" applyBorder="1" applyAlignment="1" applyProtection="1">
      <alignment horizontal="center" vertical="center"/>
    </xf>
    <xf numFmtId="43" fontId="32" fillId="0" borderId="40" xfId="1" applyFont="1" applyBorder="1" applyAlignment="1" applyProtection="1">
      <alignment horizontal="center" vertical="center"/>
    </xf>
    <xf numFmtId="43" fontId="32" fillId="0" borderId="25" xfId="1" applyFont="1" applyBorder="1" applyAlignment="1" applyProtection="1">
      <alignment horizontal="center" vertical="center"/>
    </xf>
    <xf numFmtId="0" fontId="120" fillId="22" borderId="39" xfId="27" applyFont="1" applyFill="1" applyBorder="1" applyAlignment="1" applyProtection="1">
      <alignment horizontal="center" vertical="center"/>
      <protection locked="0"/>
    </xf>
    <xf numFmtId="0" fontId="120" fillId="22" borderId="89" xfId="27" applyFont="1" applyFill="1" applyBorder="1" applyAlignment="1" applyProtection="1">
      <alignment horizontal="center" vertical="center"/>
      <protection locked="0"/>
    </xf>
    <xf numFmtId="0" fontId="99" fillId="22" borderId="39" xfId="14" applyFont="1" applyFill="1" applyBorder="1" applyAlignment="1" applyProtection="1">
      <alignment horizontal="center" vertical="center"/>
      <protection locked="0"/>
    </xf>
    <xf numFmtId="0" fontId="99" fillId="22" borderId="27" xfId="14" applyFont="1" applyFill="1" applyBorder="1" applyAlignment="1" applyProtection="1">
      <alignment horizontal="center" vertical="center"/>
      <protection locked="0"/>
    </xf>
    <xf numFmtId="0" fontId="120" fillId="22" borderId="27" xfId="27" applyFont="1" applyFill="1" applyBorder="1" applyAlignment="1" applyProtection="1">
      <alignment horizontal="center" vertical="center"/>
      <protection locked="0"/>
    </xf>
    <xf numFmtId="0" fontId="99" fillId="22" borderId="89" xfId="14" applyFont="1" applyFill="1" applyBorder="1" applyAlignment="1" applyProtection="1">
      <alignment horizontal="center" vertical="center"/>
      <protection locked="0"/>
    </xf>
    <xf numFmtId="0" fontId="99" fillId="22" borderId="58" xfId="14" applyFont="1" applyFill="1" applyBorder="1" applyAlignment="1" applyProtection="1">
      <alignment horizontal="center" vertical="center"/>
      <protection locked="0"/>
    </xf>
    <xf numFmtId="0" fontId="99" fillId="22" borderId="27" xfId="14" applyFont="1" applyFill="1" applyBorder="1" applyAlignment="1" applyProtection="1">
      <alignment horizontal="center" vertical="center" wrapText="1"/>
      <protection locked="0"/>
    </xf>
    <xf numFmtId="0" fontId="87" fillId="22" borderId="27" xfId="0" applyFont="1" applyFill="1" applyBorder="1" applyAlignment="1" applyProtection="1">
      <alignment horizontal="center" vertical="center"/>
      <protection locked="0"/>
    </xf>
    <xf numFmtId="0" fontId="87" fillId="22" borderId="58" xfId="0" applyFont="1" applyFill="1" applyBorder="1" applyAlignment="1" applyProtection="1">
      <alignment horizontal="center" vertical="center"/>
      <protection locked="0"/>
    </xf>
    <xf numFmtId="0" fontId="32" fillId="15" borderId="16" xfId="0" applyFont="1" applyFill="1" applyBorder="1" applyAlignment="1" applyProtection="1">
      <alignment vertical="center"/>
      <protection locked="0"/>
    </xf>
    <xf numFmtId="0" fontId="32" fillId="15" borderId="17" xfId="0" applyFont="1" applyFill="1" applyBorder="1" applyAlignment="1" applyProtection="1">
      <alignment horizontal="center" vertical="center"/>
      <protection locked="0"/>
    </xf>
    <xf numFmtId="0" fontId="34" fillId="4" borderId="69" xfId="0" applyFont="1" applyFill="1" applyBorder="1" applyAlignment="1" applyProtection="1">
      <alignment horizontal="center" vertical="center" wrapText="1"/>
      <protection locked="0"/>
    </xf>
    <xf numFmtId="0" fontId="32" fillId="16" borderId="17" xfId="0" applyFont="1" applyFill="1" applyBorder="1" applyAlignment="1" applyProtection="1">
      <alignment horizontal="center" vertical="center"/>
      <protection locked="0"/>
    </xf>
    <xf numFmtId="167" fontId="32" fillId="0" borderId="2" xfId="1" applyNumberFormat="1" applyFont="1" applyBorder="1" applyAlignment="1" applyProtection="1">
      <alignment horizontal="center" vertical="center"/>
      <protection locked="0"/>
    </xf>
    <xf numFmtId="167" fontId="32" fillId="0" borderId="2" xfId="0" applyNumberFormat="1" applyFont="1" applyBorder="1" applyAlignment="1" applyProtection="1">
      <alignment horizontal="center" vertical="center"/>
      <protection locked="0"/>
    </xf>
    <xf numFmtId="0" fontId="90" fillId="22" borderId="2" xfId="5" applyFont="1" applyFill="1" applyBorder="1" applyAlignment="1" applyProtection="1">
      <alignment horizontal="center" vertical="center"/>
      <protection locked="0"/>
    </xf>
    <xf numFmtId="0" fontId="29" fillId="0" borderId="2" xfId="0" applyFont="1" applyBorder="1" applyProtection="1">
      <protection locked="0"/>
    </xf>
    <xf numFmtId="167" fontId="32" fillId="0" borderId="5" xfId="1" applyNumberFormat="1" applyFont="1" applyBorder="1" applyAlignment="1" applyProtection="1">
      <alignment horizontal="center" vertical="center"/>
      <protection locked="0"/>
    </xf>
    <xf numFmtId="167" fontId="32" fillId="0" borderId="5" xfId="0" applyNumberFormat="1" applyFont="1" applyBorder="1" applyAlignment="1" applyProtection="1">
      <alignment horizontal="center" vertical="center"/>
      <protection locked="0"/>
    </xf>
    <xf numFmtId="167" fontId="32" fillId="0" borderId="8" xfId="0" applyNumberFormat="1" applyFont="1" applyBorder="1" applyAlignment="1" applyProtection="1">
      <alignment horizontal="center" vertical="center"/>
      <protection locked="0"/>
    </xf>
    <xf numFmtId="0" fontId="90" fillId="22" borderId="10" xfId="5" applyFont="1" applyFill="1" applyBorder="1" applyAlignment="1" applyProtection="1">
      <alignment horizontal="center" vertical="center"/>
      <protection locked="0"/>
    </xf>
    <xf numFmtId="167" fontId="32" fillId="0" borderId="10" xfId="1" applyNumberFormat="1" applyFont="1" applyBorder="1" applyAlignment="1" applyProtection="1">
      <alignment horizontal="center" vertical="center"/>
      <protection locked="0"/>
    </xf>
    <xf numFmtId="167" fontId="32" fillId="0" borderId="10" xfId="0" applyNumberFormat="1" applyFont="1" applyBorder="1" applyAlignment="1" applyProtection="1">
      <alignment horizontal="center" vertical="center"/>
      <protection locked="0"/>
    </xf>
    <xf numFmtId="167" fontId="32" fillId="0" borderId="54" xfId="1" applyNumberFormat="1" applyFont="1" applyBorder="1" applyAlignment="1" applyProtection="1">
      <alignment horizontal="center" vertical="center"/>
      <protection locked="0"/>
    </xf>
    <xf numFmtId="167" fontId="32" fillId="0" borderId="54" xfId="0" applyNumberFormat="1" applyFont="1" applyBorder="1" applyAlignment="1" applyProtection="1">
      <alignment horizontal="center" vertical="center"/>
      <protection locked="0"/>
    </xf>
    <xf numFmtId="167" fontId="32" fillId="0" borderId="55" xfId="0" applyNumberFormat="1" applyFont="1" applyBorder="1" applyAlignment="1" applyProtection="1">
      <alignment horizontal="center" vertical="center"/>
      <protection locked="0"/>
    </xf>
    <xf numFmtId="0" fontId="87" fillId="22" borderId="10" xfId="0" applyFont="1" applyFill="1" applyBorder="1" applyAlignment="1" applyProtection="1">
      <alignment horizontal="center" vertical="center"/>
      <protection locked="0"/>
    </xf>
    <xf numFmtId="0" fontId="87" fillId="22" borderId="5" xfId="0" applyFont="1" applyFill="1" applyBorder="1" applyAlignment="1" applyProtection="1">
      <alignment horizontal="center" vertical="center"/>
      <protection locked="0"/>
    </xf>
    <xf numFmtId="0" fontId="32" fillId="4" borderId="54" xfId="0" applyFont="1" applyFill="1" applyBorder="1" applyAlignment="1" applyProtection="1">
      <alignment vertical="center" wrapText="1"/>
      <protection locked="0"/>
    </xf>
    <xf numFmtId="0" fontId="36" fillId="4" borderId="54" xfId="0" applyFont="1" applyFill="1" applyBorder="1" applyAlignment="1" applyProtection="1">
      <alignment horizontal="center" vertical="center" wrapText="1"/>
      <protection locked="0"/>
    </xf>
    <xf numFmtId="167" fontId="32" fillId="4" borderId="54" xfId="0" applyNumberFormat="1" applyFont="1" applyFill="1" applyBorder="1" applyAlignment="1" applyProtection="1">
      <alignment horizontal="center" vertical="center" wrapText="1"/>
      <protection locked="0"/>
    </xf>
    <xf numFmtId="168" fontId="32" fillId="4" borderId="55" xfId="0" applyNumberFormat="1" applyFont="1" applyFill="1" applyBorder="1" applyAlignment="1" applyProtection="1">
      <alignment horizontal="center" vertical="center" wrapText="1"/>
      <protection locked="0"/>
    </xf>
    <xf numFmtId="0" fontId="90" fillId="22" borderId="27" xfId="5" applyFont="1" applyFill="1" applyBorder="1" applyAlignment="1" applyProtection="1">
      <alignment horizontal="center" vertical="center"/>
      <protection locked="0"/>
    </xf>
    <xf numFmtId="0" fontId="90" fillId="22" borderId="89" xfId="5" applyFont="1" applyFill="1" applyBorder="1" applyAlignment="1" applyProtection="1">
      <alignment horizontal="center" vertical="center"/>
      <protection locked="0"/>
    </xf>
    <xf numFmtId="0" fontId="87" fillId="22" borderId="39" xfId="0" applyFont="1" applyFill="1" applyBorder="1" applyAlignment="1" applyProtection="1">
      <alignment horizontal="center" vertical="center"/>
      <protection locked="0"/>
    </xf>
    <xf numFmtId="0" fontId="87" fillId="22" borderId="89" xfId="0" applyFont="1" applyFill="1" applyBorder="1" applyAlignment="1" applyProtection="1">
      <alignment horizontal="center" vertical="center"/>
      <protection locked="0"/>
    </xf>
    <xf numFmtId="0" fontId="32" fillId="0" borderId="5" xfId="0" applyFont="1" applyBorder="1" applyAlignment="1" applyProtection="1">
      <alignment horizontal="center" vertical="center"/>
      <protection locked="0"/>
    </xf>
    <xf numFmtId="0" fontId="32" fillId="0" borderId="10" xfId="0" applyFont="1" applyBorder="1" applyAlignment="1" applyProtection="1">
      <alignment horizontal="center" vertical="center"/>
      <protection locked="0"/>
    </xf>
    <xf numFmtId="0" fontId="199" fillId="35" borderId="2" xfId="0" applyFont="1" applyFill="1" applyBorder="1" applyAlignment="1">
      <alignment horizontal="center"/>
    </xf>
    <xf numFmtId="0" fontId="15" fillId="0" borderId="3" xfId="0" applyFont="1" applyBorder="1"/>
    <xf numFmtId="0" fontId="47" fillId="0" borderId="38" xfId="0" applyFont="1" applyBorder="1"/>
    <xf numFmtId="0" fontId="14" fillId="0" borderId="38" xfId="0" applyFont="1" applyBorder="1"/>
    <xf numFmtId="0" fontId="14" fillId="0" borderId="38" xfId="0" applyFont="1" applyBorder="1" applyAlignment="1">
      <alignment horizontal="center"/>
    </xf>
    <xf numFmtId="0" fontId="15" fillId="0" borderId="38" xfId="0" applyFont="1" applyBorder="1"/>
    <xf numFmtId="0" fontId="15" fillId="0" borderId="18" xfId="0" applyFont="1" applyBorder="1"/>
    <xf numFmtId="0" fontId="15" fillId="0" borderId="12" xfId="0" applyFont="1" applyBorder="1"/>
    <xf numFmtId="0" fontId="15" fillId="0" borderId="15" xfId="0" applyFont="1" applyBorder="1"/>
    <xf numFmtId="0" fontId="14" fillId="0" borderId="15" xfId="0" applyFont="1" applyBorder="1"/>
    <xf numFmtId="0" fontId="14" fillId="0" borderId="15" xfId="0" applyFont="1" applyBorder="1" applyAlignment="1">
      <alignment horizontal="center"/>
    </xf>
    <xf numFmtId="0" fontId="35" fillId="4" borderId="28" xfId="0" applyFont="1" applyFill="1" applyBorder="1" applyAlignment="1">
      <alignment vertical="center" wrapText="1"/>
    </xf>
    <xf numFmtId="0" fontId="35" fillId="4" borderId="14" xfId="0" applyFont="1" applyFill="1" applyBorder="1" applyAlignment="1">
      <alignment vertical="center" wrapText="1"/>
    </xf>
    <xf numFmtId="0" fontId="35" fillId="4" borderId="49" xfId="0" applyFont="1" applyFill="1" applyBorder="1" applyAlignment="1">
      <alignment vertical="center" wrapText="1"/>
    </xf>
    <xf numFmtId="0" fontId="35" fillId="4" borderId="56" xfId="0" applyFont="1" applyFill="1" applyBorder="1" applyAlignment="1">
      <alignment vertical="center" wrapText="1"/>
    </xf>
    <xf numFmtId="0" fontId="35" fillId="4" borderId="47" xfId="0" applyFont="1" applyFill="1" applyBorder="1" applyAlignment="1">
      <alignment vertical="center" wrapText="1"/>
    </xf>
    <xf numFmtId="0" fontId="35" fillId="4" borderId="52" xfId="0" applyFont="1" applyFill="1" applyBorder="1" applyAlignment="1">
      <alignment vertical="center" wrapText="1"/>
    </xf>
    <xf numFmtId="0" fontId="35" fillId="4" borderId="48" xfId="0" applyFont="1" applyFill="1" applyBorder="1" applyAlignment="1">
      <alignment vertical="center" wrapText="1"/>
    </xf>
    <xf numFmtId="0" fontId="29" fillId="0" borderId="85" xfId="0" applyFont="1" applyBorder="1" applyAlignment="1" applyProtection="1">
      <alignment horizontal="center" vertical="center"/>
      <protection locked="0"/>
    </xf>
    <xf numFmtId="0" fontId="35" fillId="4" borderId="21" xfId="0" applyFont="1" applyFill="1" applyBorder="1" applyAlignment="1" applyProtection="1">
      <alignment horizontal="center" vertical="center" wrapText="1"/>
      <protection locked="0"/>
    </xf>
    <xf numFmtId="0" fontId="35" fillId="4" borderId="23" xfId="0" applyFont="1" applyFill="1" applyBorder="1" applyAlignment="1" applyProtection="1">
      <alignment horizontal="center" vertical="center" wrapText="1"/>
      <protection locked="0"/>
    </xf>
    <xf numFmtId="0" fontId="35" fillId="4" borderId="24" xfId="0" applyFont="1" applyFill="1" applyBorder="1" applyAlignment="1" applyProtection="1">
      <alignment horizontal="center" vertical="center" wrapText="1"/>
      <protection locked="0"/>
    </xf>
    <xf numFmtId="169" fontId="32" fillId="15" borderId="25" xfId="0" applyNumberFormat="1" applyFont="1" applyFill="1" applyBorder="1" applyAlignment="1" applyProtection="1">
      <alignment vertical="center"/>
      <protection locked="0"/>
    </xf>
    <xf numFmtId="43" fontId="32" fillId="0" borderId="60" xfId="1" applyFont="1" applyFill="1" applyBorder="1" applyAlignment="1" applyProtection="1">
      <alignment horizontal="center" vertical="center"/>
    </xf>
    <xf numFmtId="0" fontId="221" fillId="0" borderId="102" xfId="0" applyFont="1" applyBorder="1"/>
    <xf numFmtId="0" fontId="221" fillId="14" borderId="102" xfId="0" applyFont="1" applyFill="1" applyBorder="1"/>
    <xf numFmtId="0" fontId="221" fillId="2" borderId="102" xfId="0" applyFont="1" applyFill="1" applyBorder="1"/>
    <xf numFmtId="0" fontId="221" fillId="2" borderId="102" xfId="0" applyFont="1" applyFill="1" applyBorder="1" applyAlignment="1">
      <alignment horizontal="center"/>
    </xf>
    <xf numFmtId="0" fontId="221" fillId="0" borderId="102" xfId="0" applyFont="1" applyBorder="1" applyAlignment="1">
      <alignment horizontal="center"/>
    </xf>
    <xf numFmtId="0" fontId="221" fillId="14" borderId="102" xfId="0" applyFont="1" applyFill="1" applyBorder="1" applyAlignment="1">
      <alignment horizontal="center"/>
    </xf>
    <xf numFmtId="0" fontId="222" fillId="0" borderId="105" xfId="0" applyFont="1" applyBorder="1" applyAlignment="1">
      <alignment horizontal="center"/>
    </xf>
    <xf numFmtId="0" fontId="222" fillId="0" borderId="105" xfId="0" applyFont="1" applyBorder="1"/>
    <xf numFmtId="3" fontId="221" fillId="4" borderId="102" xfId="1" applyNumberFormat="1" applyFont="1" applyFill="1" applyBorder="1" applyAlignment="1">
      <alignment horizontal="center" vertical="center"/>
    </xf>
    <xf numFmtId="3" fontId="221" fillId="2" borderId="102" xfId="1" applyNumberFormat="1" applyFont="1" applyFill="1" applyBorder="1" applyAlignment="1">
      <alignment horizontal="center" vertical="center"/>
    </xf>
    <xf numFmtId="3" fontId="221" fillId="0" borderId="102" xfId="1" applyNumberFormat="1" applyFont="1" applyFill="1" applyBorder="1" applyAlignment="1">
      <alignment horizontal="center" vertical="center"/>
    </xf>
    <xf numFmtId="3" fontId="221" fillId="14" borderId="102" xfId="1" applyNumberFormat="1" applyFont="1" applyFill="1" applyBorder="1" applyAlignment="1">
      <alignment horizontal="center" vertical="center"/>
    </xf>
    <xf numFmtId="3" fontId="222" fillId="4" borderId="105" xfId="1" applyNumberFormat="1" applyFont="1" applyFill="1" applyBorder="1" applyAlignment="1">
      <alignment horizontal="center" vertical="center"/>
    </xf>
    <xf numFmtId="3" fontId="222" fillId="0" borderId="105" xfId="1" applyNumberFormat="1" applyFont="1" applyFill="1" applyBorder="1" applyAlignment="1">
      <alignment horizontal="center" vertical="center"/>
    </xf>
    <xf numFmtId="0" fontId="167" fillId="3" borderId="25" xfId="0" applyFont="1" applyFill="1" applyBorder="1" applyAlignment="1">
      <alignment horizontal="center"/>
    </xf>
    <xf numFmtId="3" fontId="3" fillId="0" borderId="0" xfId="2" applyNumberFormat="1" applyFont="1"/>
    <xf numFmtId="3" fontId="6" fillId="0" borderId="0" xfId="0" applyNumberFormat="1" applyFont="1"/>
    <xf numFmtId="0" fontId="176" fillId="36" borderId="2" xfId="0" applyFont="1" applyFill="1" applyBorder="1" applyAlignment="1">
      <alignment horizontal="center" vertical="center"/>
    </xf>
    <xf numFmtId="0" fontId="176" fillId="36" borderId="2" xfId="0" applyFont="1" applyFill="1" applyBorder="1" applyAlignment="1">
      <alignment vertical="center"/>
    </xf>
    <xf numFmtId="0" fontId="176" fillId="36" borderId="2" xfId="0" applyFont="1" applyFill="1" applyBorder="1" applyAlignment="1">
      <alignment horizontal="center" vertical="center" wrapText="1"/>
    </xf>
    <xf numFmtId="0" fontId="176" fillId="37" borderId="30" xfId="0" applyFont="1" applyFill="1" applyBorder="1" applyAlignment="1">
      <alignment horizontal="center"/>
    </xf>
    <xf numFmtId="167" fontId="176" fillId="37" borderId="30" xfId="1" applyNumberFormat="1" applyFont="1" applyFill="1" applyBorder="1" applyAlignment="1">
      <alignment horizontal="center" vertical="center"/>
    </xf>
    <xf numFmtId="9" fontId="223" fillId="36" borderId="0" xfId="0" applyNumberFormat="1" applyFont="1" applyFill="1" applyAlignment="1">
      <alignment horizontal="center"/>
    </xf>
    <xf numFmtId="0" fontId="45" fillId="37" borderId="2" xfId="0" applyFont="1" applyFill="1" applyBorder="1" applyAlignment="1">
      <alignment horizontal="center" vertical="center" wrapText="1"/>
    </xf>
    <xf numFmtId="0" fontId="186" fillId="0" borderId="1" xfId="0" applyFont="1" applyBorder="1" applyAlignment="1" applyProtection="1">
      <alignment horizontal="center" vertical="center"/>
      <protection locked="0"/>
    </xf>
    <xf numFmtId="0" fontId="225" fillId="24" borderId="1" xfId="0" applyFont="1" applyFill="1" applyBorder="1" applyAlignment="1" applyProtection="1">
      <alignment horizontal="center" vertical="center"/>
      <protection locked="0"/>
    </xf>
    <xf numFmtId="165" fontId="157" fillId="0" borderId="1" xfId="0" applyNumberFormat="1" applyFont="1" applyBorder="1" applyAlignment="1" applyProtection="1">
      <alignment horizontal="center"/>
      <protection locked="0"/>
    </xf>
    <xf numFmtId="0" fontId="157" fillId="0" borderId="37" xfId="0" applyFont="1" applyBorder="1" applyAlignment="1" applyProtection="1">
      <alignment horizontal="center" vertical="center"/>
      <protection locked="0"/>
    </xf>
    <xf numFmtId="0" fontId="157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13" fillId="0" borderId="26" xfId="0" applyFont="1" applyBorder="1" applyAlignment="1">
      <alignment horizontal="center" vertical="center"/>
    </xf>
    <xf numFmtId="0" fontId="226" fillId="0" borderId="7" xfId="0" applyFont="1" applyBorder="1" applyAlignment="1">
      <alignment horizontal="center" vertical="center" wrapText="1"/>
    </xf>
    <xf numFmtId="0" fontId="226" fillId="0" borderId="2" xfId="0" applyFont="1" applyBorder="1" applyAlignment="1">
      <alignment horizontal="center" vertical="center" wrapText="1"/>
    </xf>
    <xf numFmtId="9" fontId="226" fillId="0" borderId="2" xfId="0" applyNumberFormat="1" applyFont="1" applyBorder="1" applyAlignment="1">
      <alignment horizontal="center" vertical="center" wrapText="1"/>
    </xf>
    <xf numFmtId="0" fontId="227" fillId="22" borderId="8" xfId="0" applyFont="1" applyFill="1" applyBorder="1" applyAlignment="1">
      <alignment horizontal="center" vertical="center" wrapText="1"/>
    </xf>
    <xf numFmtId="0" fontId="227" fillId="2" borderId="8" xfId="0" applyFont="1" applyFill="1" applyBorder="1" applyAlignment="1">
      <alignment horizontal="center" vertical="center" wrapText="1"/>
    </xf>
    <xf numFmtId="0" fontId="228" fillId="9" borderId="8" xfId="0" applyFont="1" applyFill="1" applyBorder="1" applyAlignment="1">
      <alignment horizontal="center" vertical="center" wrapText="1"/>
    </xf>
    <xf numFmtId="0" fontId="226" fillId="0" borderId="9" xfId="0" applyFont="1" applyBorder="1" applyAlignment="1">
      <alignment horizontal="center" vertical="center" wrapText="1"/>
    </xf>
    <xf numFmtId="0" fontId="226" fillId="0" borderId="10" xfId="0" applyFont="1" applyBorder="1" applyAlignment="1">
      <alignment horizontal="center" vertical="center" wrapText="1"/>
    </xf>
    <xf numFmtId="9" fontId="226" fillId="0" borderId="10" xfId="0" applyNumberFormat="1" applyFont="1" applyBorder="1" applyAlignment="1">
      <alignment horizontal="center" vertical="center" wrapText="1"/>
    </xf>
    <xf numFmtId="0" fontId="118" fillId="61" borderId="149" xfId="0" applyFont="1" applyFill="1" applyBorder="1" applyAlignment="1">
      <alignment horizontal="center"/>
    </xf>
    <xf numFmtId="0" fontId="118" fillId="63" borderId="149" xfId="0" applyFont="1" applyFill="1" applyBorder="1" applyAlignment="1">
      <alignment horizontal="center"/>
    </xf>
    <xf numFmtId="0" fontId="118" fillId="64" borderId="149" xfId="0" applyFont="1" applyFill="1" applyBorder="1" applyAlignment="1">
      <alignment horizontal="center"/>
    </xf>
    <xf numFmtId="0" fontId="118" fillId="61" borderId="152" xfId="0" applyFont="1" applyFill="1" applyBorder="1" applyAlignment="1">
      <alignment horizontal="left"/>
    </xf>
    <xf numFmtId="3" fontId="118" fillId="63" borderId="152" xfId="0" applyNumberFormat="1" applyFont="1" applyFill="1" applyBorder="1" applyAlignment="1">
      <alignment horizontal="center"/>
    </xf>
    <xf numFmtId="3" fontId="118" fillId="64" borderId="152" xfId="0" applyNumberFormat="1" applyFont="1" applyFill="1" applyBorder="1" applyAlignment="1">
      <alignment horizontal="center"/>
    </xf>
    <xf numFmtId="0" fontId="162" fillId="66" borderId="153" xfId="0" applyFont="1" applyFill="1" applyBorder="1" applyAlignment="1">
      <alignment horizontal="center"/>
    </xf>
    <xf numFmtId="168" fontId="118" fillId="62" borderId="150" xfId="0" applyNumberFormat="1" applyFont="1" applyFill="1" applyBorder="1" applyAlignment="1">
      <alignment horizontal="center"/>
    </xf>
    <xf numFmtId="168" fontId="118" fillId="62" borderId="149" xfId="0" applyNumberFormat="1" applyFont="1" applyFill="1" applyBorder="1" applyAlignment="1">
      <alignment horizontal="center"/>
    </xf>
    <xf numFmtId="168" fontId="118" fillId="62" borderId="152" xfId="0" applyNumberFormat="1" applyFont="1" applyFill="1" applyBorder="1" applyAlignment="1">
      <alignment horizontal="center"/>
    </xf>
    <xf numFmtId="168" fontId="118" fillId="63" borderId="150" xfId="0" applyNumberFormat="1" applyFont="1" applyFill="1" applyBorder="1" applyAlignment="1">
      <alignment horizontal="center"/>
    </xf>
    <xf numFmtId="168" fontId="118" fillId="64" borderId="150" xfId="0" applyNumberFormat="1" applyFont="1" applyFill="1" applyBorder="1" applyAlignment="1">
      <alignment horizontal="center"/>
    </xf>
    <xf numFmtId="168" fontId="118" fillId="65" borderId="150" xfId="0" applyNumberFormat="1" applyFont="1" applyFill="1" applyBorder="1" applyAlignment="1">
      <alignment horizontal="center"/>
    </xf>
    <xf numFmtId="168" fontId="118" fillId="65" borderId="148" xfId="0" applyNumberFormat="1" applyFont="1" applyFill="1" applyBorder="1" applyAlignment="1">
      <alignment horizontal="center"/>
    </xf>
    <xf numFmtId="0" fontId="95" fillId="22" borderId="39" xfId="0" applyFont="1" applyFill="1" applyBorder="1" applyAlignment="1" applyProtection="1">
      <alignment horizontal="center" vertical="center"/>
      <protection locked="0"/>
    </xf>
    <xf numFmtId="0" fontId="95" fillId="22" borderId="27" xfId="0" applyFont="1" applyFill="1" applyBorder="1" applyAlignment="1" applyProtection="1">
      <alignment horizontal="center" vertical="center"/>
      <protection locked="0"/>
    </xf>
    <xf numFmtId="0" fontId="95" fillId="22" borderId="89" xfId="0" applyFont="1" applyFill="1" applyBorder="1" applyAlignment="1" applyProtection="1">
      <alignment horizontal="center" vertical="center"/>
      <protection locked="0"/>
    </xf>
    <xf numFmtId="0" fontId="95" fillId="22" borderId="58" xfId="0" applyFont="1" applyFill="1" applyBorder="1" applyAlignment="1" applyProtection="1">
      <alignment horizontal="center" vertical="center"/>
      <protection locked="0"/>
    </xf>
    <xf numFmtId="0" fontId="99" fillId="22" borderId="50" xfId="14" applyFont="1" applyFill="1" applyBorder="1" applyAlignment="1" applyProtection="1">
      <alignment horizontal="center" vertical="center"/>
      <protection locked="0"/>
    </xf>
    <xf numFmtId="0" fontId="99" fillId="22" borderId="1" xfId="14" applyFont="1" applyFill="1" applyBorder="1" applyAlignment="1" applyProtection="1">
      <alignment horizontal="center" vertical="center"/>
      <protection locked="0"/>
    </xf>
    <xf numFmtId="0" fontId="99" fillId="22" borderId="1" xfId="0" applyFont="1" applyFill="1" applyBorder="1" applyAlignment="1" applyProtection="1">
      <alignment horizontal="center" vertical="center"/>
      <protection locked="0"/>
    </xf>
    <xf numFmtId="0" fontId="95" fillId="22" borderId="1" xfId="0" applyFont="1" applyFill="1" applyBorder="1" applyAlignment="1" applyProtection="1">
      <alignment horizontal="center" vertical="center"/>
      <protection locked="0"/>
    </xf>
    <xf numFmtId="0" fontId="120" fillId="22" borderId="154" xfId="27" applyFont="1" applyFill="1" applyBorder="1" applyAlignment="1" applyProtection="1">
      <alignment horizontal="center" vertical="center"/>
      <protection locked="0"/>
    </xf>
    <xf numFmtId="0" fontId="99" fillId="22" borderId="154" xfId="14" applyFont="1" applyFill="1" applyBorder="1" applyAlignment="1" applyProtection="1">
      <alignment horizontal="center" vertical="center"/>
      <protection locked="0"/>
    </xf>
    <xf numFmtId="0" fontId="99" fillId="22" borderId="154" xfId="0" applyFont="1" applyFill="1" applyBorder="1" applyAlignment="1" applyProtection="1">
      <alignment horizontal="center" vertical="center"/>
      <protection locked="0"/>
    </xf>
    <xf numFmtId="0" fontId="95" fillId="22" borderId="154" xfId="0" applyFont="1" applyFill="1" applyBorder="1" applyAlignment="1" applyProtection="1">
      <alignment horizontal="center" vertical="center"/>
      <protection locked="0"/>
    </xf>
    <xf numFmtId="0" fontId="95" fillId="22" borderId="155" xfId="0" applyFont="1" applyFill="1" applyBorder="1" applyAlignment="1" applyProtection="1">
      <alignment horizontal="center" vertical="center"/>
      <protection locked="0"/>
    </xf>
    <xf numFmtId="0" fontId="95" fillId="22" borderId="156" xfId="0" applyFont="1" applyFill="1" applyBorder="1" applyAlignment="1" applyProtection="1">
      <alignment horizontal="center" vertical="center"/>
      <protection locked="0"/>
    </xf>
    <xf numFmtId="0" fontId="95" fillId="22" borderId="157" xfId="0" applyFont="1" applyFill="1" applyBorder="1" applyAlignment="1" applyProtection="1">
      <alignment horizontal="center" vertical="center"/>
      <protection locked="0"/>
    </xf>
    <xf numFmtId="0" fontId="95" fillId="22" borderId="158" xfId="0" applyFont="1" applyFill="1" applyBorder="1" applyAlignment="1" applyProtection="1">
      <alignment horizontal="center" vertical="center"/>
      <protection locked="0"/>
    </xf>
    <xf numFmtId="0" fontId="95" fillId="22" borderId="159" xfId="0" applyFont="1" applyFill="1" applyBorder="1" applyAlignment="1" applyProtection="1">
      <alignment horizontal="center" vertical="center"/>
      <protection locked="0"/>
    </xf>
    <xf numFmtId="0" fontId="87" fillId="22" borderId="2" xfId="14" applyFont="1" applyFill="1" applyBorder="1" applyAlignment="1" applyProtection="1">
      <alignment horizontal="center" vertical="center"/>
      <protection locked="0"/>
    </xf>
    <xf numFmtId="0" fontId="87" fillId="22" borderId="154" xfId="27" applyFont="1" applyFill="1" applyBorder="1" applyAlignment="1" applyProtection="1">
      <alignment horizontal="center" vertical="center"/>
      <protection locked="0"/>
    </xf>
    <xf numFmtId="0" fontId="87" fillId="22" borderId="154" xfId="0" applyFont="1" applyFill="1" applyBorder="1" applyAlignment="1" applyProtection="1">
      <alignment horizontal="center" vertical="center"/>
      <protection locked="0"/>
    </xf>
    <xf numFmtId="0" fontId="87" fillId="22" borderId="155" xfId="0" applyFont="1" applyFill="1" applyBorder="1" applyAlignment="1" applyProtection="1">
      <alignment horizontal="center" vertical="center"/>
      <protection locked="0"/>
    </xf>
    <xf numFmtId="0" fontId="87" fillId="22" borderId="27" xfId="14" applyFont="1" applyFill="1" applyBorder="1" applyAlignment="1" applyProtection="1">
      <alignment horizontal="center" vertical="center" wrapText="1"/>
      <protection locked="0"/>
    </xf>
    <xf numFmtId="0" fontId="120" fillId="22" borderId="160" xfId="27" applyFont="1" applyFill="1" applyBorder="1" applyAlignment="1" applyProtection="1">
      <alignment horizontal="center" vertical="center"/>
      <protection locked="0"/>
    </xf>
    <xf numFmtId="0" fontId="35" fillId="4" borderId="21" xfId="0" applyFont="1" applyFill="1" applyBorder="1" applyAlignment="1" applyProtection="1">
      <alignment vertical="center" wrapText="1"/>
      <protection locked="0"/>
    </xf>
    <xf numFmtId="0" fontId="35" fillId="4" borderId="23" xfId="0" applyFont="1" applyFill="1" applyBorder="1" applyAlignment="1" applyProtection="1">
      <alignment vertical="center" wrapText="1"/>
      <protection locked="0"/>
    </xf>
    <xf numFmtId="0" fontId="35" fillId="4" borderId="24" xfId="0" applyFont="1" applyFill="1" applyBorder="1" applyAlignment="1" applyProtection="1">
      <alignment vertical="center" wrapText="1"/>
      <protection locked="0"/>
    </xf>
    <xf numFmtId="0" fontId="35" fillId="4" borderId="25" xfId="0" applyFont="1" applyFill="1" applyBorder="1" applyAlignment="1" applyProtection="1">
      <alignment vertical="center" wrapText="1"/>
      <protection locked="0"/>
    </xf>
    <xf numFmtId="1" fontId="200" fillId="22" borderId="2" xfId="0" applyNumberFormat="1" applyFont="1" applyFill="1" applyBorder="1" applyAlignment="1">
      <alignment horizontal="center"/>
    </xf>
    <xf numFmtId="1" fontId="200" fillId="22" borderId="2" xfId="0" applyNumberFormat="1" applyFont="1" applyFill="1" applyBorder="1" applyAlignment="1">
      <alignment horizontal="left"/>
    </xf>
    <xf numFmtId="1" fontId="37" fillId="0" borderId="2" xfId="0" applyNumberFormat="1" applyFont="1" applyBorder="1"/>
    <xf numFmtId="1" fontId="197" fillId="0" borderId="2" xfId="0" applyNumberFormat="1" applyFont="1" applyBorder="1" applyAlignment="1">
      <alignment horizontal="center"/>
    </xf>
    <xf numFmtId="1" fontId="197" fillId="0" borderId="2" xfId="0" applyNumberFormat="1" applyFont="1" applyBorder="1" applyAlignment="1">
      <alignment horizontal="left"/>
    </xf>
    <xf numFmtId="1" fontId="198" fillId="0" borderId="0" xfId="0" applyNumberFormat="1" applyFont="1" applyAlignment="1" applyProtection="1">
      <alignment horizontal="center"/>
      <protection locked="0"/>
    </xf>
    <xf numFmtId="1" fontId="29" fillId="0" borderId="0" xfId="0" applyNumberFormat="1" applyFont="1" applyProtection="1">
      <protection locked="0"/>
    </xf>
    <xf numFmtId="1" fontId="0" fillId="0" borderId="0" xfId="0" applyNumberFormat="1" applyProtection="1">
      <protection locked="0"/>
    </xf>
    <xf numFmtId="0" fontId="180" fillId="45" borderId="62" xfId="0" applyFont="1" applyFill="1" applyBorder="1" applyAlignment="1">
      <alignment horizontal="center" vertical="center" wrapText="1"/>
    </xf>
    <xf numFmtId="0" fontId="62" fillId="0" borderId="0" xfId="0" applyFont="1" applyAlignment="1">
      <alignment horizontal="right" vertical="center"/>
    </xf>
    <xf numFmtId="167" fontId="31" fillId="0" borderId="0" xfId="0" applyNumberFormat="1" applyFont="1" applyAlignment="1">
      <alignment horizontal="center" vertical="center"/>
    </xf>
    <xf numFmtId="0" fontId="157" fillId="0" borderId="92" xfId="26" applyFont="1" applyBorder="1" applyAlignment="1">
      <alignment horizontal="center" vertical="center"/>
    </xf>
    <xf numFmtId="0" fontId="157" fillId="0" borderId="92" xfId="26" applyFont="1" applyBorder="1" applyAlignment="1">
      <alignment horizontal="center"/>
    </xf>
    <xf numFmtId="0" fontId="105" fillId="0" borderId="92" xfId="26" applyFont="1" applyBorder="1" applyAlignment="1">
      <alignment horizontal="center"/>
    </xf>
    <xf numFmtId="0" fontId="157" fillId="0" borderId="2" xfId="26" applyFont="1" applyBorder="1" applyAlignment="1">
      <alignment horizontal="center" vertical="center"/>
    </xf>
    <xf numFmtId="0" fontId="105" fillId="0" borderId="2" xfId="26" applyFont="1" applyBorder="1" applyAlignment="1">
      <alignment horizontal="center"/>
    </xf>
    <xf numFmtId="0" fontId="171" fillId="40" borderId="8" xfId="0" applyFont="1" applyFill="1" applyBorder="1" applyAlignment="1">
      <alignment horizontal="center" vertical="center" wrapText="1"/>
    </xf>
    <xf numFmtId="0" fontId="173" fillId="41" borderId="8" xfId="0" applyFont="1" applyFill="1" applyBorder="1" applyAlignment="1">
      <alignment horizontal="center" vertical="center" wrapText="1"/>
    </xf>
    <xf numFmtId="0" fontId="173" fillId="24" borderId="8" xfId="0" applyFont="1" applyFill="1" applyBorder="1" applyAlignment="1">
      <alignment horizontal="center" vertical="center" wrapText="1"/>
    </xf>
    <xf numFmtId="0" fontId="171" fillId="5" borderId="8" xfId="0" applyFont="1" applyFill="1" applyBorder="1" applyAlignment="1">
      <alignment horizontal="center" vertical="center" wrapText="1"/>
    </xf>
    <xf numFmtId="0" fontId="227" fillId="41" borderId="8" xfId="0" applyFont="1" applyFill="1" applyBorder="1" applyAlignment="1">
      <alignment horizontal="center" vertical="center" wrapText="1"/>
    </xf>
    <xf numFmtId="0" fontId="228" fillId="5" borderId="8" xfId="0" applyFont="1" applyFill="1" applyBorder="1" applyAlignment="1">
      <alignment horizontal="center" vertical="center" wrapText="1"/>
    </xf>
    <xf numFmtId="0" fontId="228" fillId="40" borderId="8" xfId="0" applyFont="1" applyFill="1" applyBorder="1" applyAlignment="1">
      <alignment horizontal="center" vertical="center" wrapText="1"/>
    </xf>
    <xf numFmtId="0" fontId="227" fillId="42" borderId="11" xfId="0" applyFont="1" applyFill="1" applyBorder="1" applyAlignment="1">
      <alignment horizontal="center" vertical="center" wrapText="1"/>
    </xf>
    <xf numFmtId="0" fontId="40" fillId="0" borderId="0" xfId="0" applyFont="1" applyAlignment="1">
      <alignment vertical="center"/>
    </xf>
    <xf numFmtId="0" fontId="83" fillId="4" borderId="0" xfId="0" applyFont="1" applyFill="1" applyAlignment="1">
      <alignment horizontal="center" vertical="center"/>
    </xf>
    <xf numFmtId="0" fontId="128" fillId="0" borderId="0" xfId="0" applyFont="1"/>
    <xf numFmtId="165" fontId="128" fillId="0" borderId="0" xfId="0" applyNumberFormat="1" applyFont="1"/>
    <xf numFmtId="2" fontId="14" fillId="0" borderId="0" xfId="0" applyNumberFormat="1" applyFont="1"/>
    <xf numFmtId="176" fontId="14" fillId="0" borderId="0" xfId="0" applyNumberFormat="1" applyFont="1" applyAlignment="1">
      <alignment horizontal="center"/>
    </xf>
    <xf numFmtId="176" fontId="14" fillId="0" borderId="0" xfId="0" applyNumberFormat="1" applyFont="1"/>
    <xf numFmtId="2" fontId="158" fillId="0" borderId="0" xfId="0" applyNumberFormat="1" applyFont="1"/>
    <xf numFmtId="0" fontId="14" fillId="45" borderId="0" xfId="0" applyFont="1" applyFill="1" applyAlignment="1">
      <alignment horizontal="center"/>
    </xf>
    <xf numFmtId="0" fontId="230" fillId="67" borderId="25" xfId="0" applyFont="1" applyFill="1" applyBorder="1" applyAlignment="1">
      <alignment horizontal="center"/>
    </xf>
    <xf numFmtId="0" fontId="230" fillId="67" borderId="0" xfId="0" applyFont="1" applyFill="1" applyAlignment="1">
      <alignment horizontal="center"/>
    </xf>
    <xf numFmtId="0" fontId="231" fillId="68" borderId="25" xfId="0" applyFont="1" applyFill="1" applyBorder="1" applyAlignment="1">
      <alignment horizontal="center"/>
    </xf>
    <xf numFmtId="0" fontId="231" fillId="68" borderId="0" xfId="0" applyFont="1" applyFill="1" applyAlignment="1">
      <alignment horizontal="center"/>
    </xf>
    <xf numFmtId="2" fontId="14" fillId="0" borderId="0" xfId="0" applyNumberFormat="1" applyFont="1" applyAlignment="1">
      <alignment vertical="center"/>
    </xf>
    <xf numFmtId="165" fontId="14" fillId="43" borderId="2" xfId="0" applyNumberFormat="1" applyFont="1" applyFill="1" applyBorder="1" applyAlignment="1">
      <alignment vertical="center"/>
    </xf>
    <xf numFmtId="0" fontId="15" fillId="0" borderId="2" xfId="0" applyFont="1" applyBorder="1" applyAlignment="1">
      <alignment horizontal="center" vertical="center"/>
    </xf>
    <xf numFmtId="0" fontId="32" fillId="0" borderId="30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center" vertical="center"/>
      <protection locked="0"/>
    </xf>
    <xf numFmtId="0" fontId="32" fillId="0" borderId="54" xfId="0" applyFont="1" applyBorder="1" applyAlignment="1" applyProtection="1">
      <alignment horizontal="center" vertical="center"/>
      <protection locked="0"/>
    </xf>
    <xf numFmtId="0" fontId="36" fillId="0" borderId="54" xfId="0" applyFont="1" applyBorder="1" applyAlignment="1">
      <alignment horizontal="center" vertical="center" wrapText="1"/>
    </xf>
    <xf numFmtId="0" fontId="233" fillId="45" borderId="25" xfId="0" applyFont="1" applyFill="1" applyBorder="1" applyAlignment="1">
      <alignment horizontal="center" vertical="center" wrapText="1"/>
    </xf>
    <xf numFmtId="0" fontId="233" fillId="45" borderId="33" xfId="0" applyFont="1" applyFill="1" applyBorder="1" applyAlignment="1">
      <alignment horizontal="center" vertical="center" wrapText="1"/>
    </xf>
    <xf numFmtId="0" fontId="234" fillId="22" borderId="111" xfId="0" applyFont="1" applyFill="1" applyBorder="1" applyAlignment="1">
      <alignment horizontal="center" vertical="center"/>
    </xf>
    <xf numFmtId="0" fontId="234" fillId="22" borderId="112" xfId="0" applyFont="1" applyFill="1" applyBorder="1" applyAlignment="1">
      <alignment horizontal="center" vertical="center"/>
    </xf>
    <xf numFmtId="0" fontId="234" fillId="22" borderId="107" xfId="0" applyFont="1" applyFill="1" applyBorder="1" applyAlignment="1">
      <alignment horizontal="center" vertical="center"/>
    </xf>
    <xf numFmtId="0" fontId="234" fillId="22" borderId="108" xfId="0" applyFont="1" applyFill="1" applyBorder="1" applyAlignment="1">
      <alignment horizontal="center" vertical="center"/>
    </xf>
    <xf numFmtId="0" fontId="235" fillId="45" borderId="25" xfId="0" applyFont="1" applyFill="1" applyBorder="1" applyAlignment="1">
      <alignment horizontal="center" vertical="center" wrapText="1"/>
    </xf>
    <xf numFmtId="0" fontId="235" fillId="45" borderId="33" xfId="0" applyFont="1" applyFill="1" applyBorder="1" applyAlignment="1">
      <alignment horizontal="center" vertical="center" wrapText="1"/>
    </xf>
    <xf numFmtId="0" fontId="236" fillId="22" borderId="99" xfId="0" applyFont="1" applyFill="1" applyBorder="1" applyAlignment="1">
      <alignment horizontal="center" vertical="center"/>
    </xf>
    <xf numFmtId="0" fontId="236" fillId="22" borderId="102" xfId="0" applyFont="1" applyFill="1" applyBorder="1" applyAlignment="1">
      <alignment horizontal="center" vertical="center"/>
    </xf>
    <xf numFmtId="0" fontId="236" fillId="22" borderId="99" xfId="0" applyFont="1" applyFill="1" applyBorder="1" applyAlignment="1">
      <alignment horizontal="left" vertical="center"/>
    </xf>
    <xf numFmtId="0" fontId="236" fillId="22" borderId="102" xfId="0" applyFont="1" applyFill="1" applyBorder="1" applyAlignment="1">
      <alignment horizontal="left" vertical="center"/>
    </xf>
    <xf numFmtId="0" fontId="39" fillId="22" borderId="99" xfId="0" applyFont="1" applyFill="1" applyBorder="1" applyAlignment="1">
      <alignment horizontal="center" vertical="center"/>
    </xf>
    <xf numFmtId="0" fontId="39" fillId="22" borderId="102" xfId="0" applyFont="1" applyFill="1" applyBorder="1" applyAlignment="1">
      <alignment horizontal="center" vertical="center"/>
    </xf>
    <xf numFmtId="0" fontId="239" fillId="0" borderId="84" xfId="0" applyFont="1" applyBorder="1" applyAlignment="1">
      <alignment horizontal="center" vertical="center" wrapText="1"/>
    </xf>
    <xf numFmtId="1" fontId="240" fillId="4" borderId="84" xfId="0" applyNumberFormat="1" applyFont="1" applyFill="1" applyBorder="1" applyAlignment="1">
      <alignment horizontal="center" vertical="center" wrapText="1"/>
    </xf>
    <xf numFmtId="173" fontId="243" fillId="4" borderId="84" xfId="0" applyNumberFormat="1" applyFont="1" applyFill="1" applyBorder="1" applyAlignment="1">
      <alignment horizontal="center" vertical="center" wrapText="1"/>
    </xf>
    <xf numFmtId="173" fontId="239" fillId="0" borderId="84" xfId="0" applyNumberFormat="1" applyFont="1" applyBorder="1" applyAlignment="1">
      <alignment horizontal="center" vertical="center" wrapText="1"/>
    </xf>
    <xf numFmtId="177" fontId="239" fillId="0" borderId="84" xfId="0" applyNumberFormat="1" applyFont="1" applyBorder="1" applyAlignment="1">
      <alignment horizontal="center" vertical="center" wrapText="1"/>
    </xf>
    <xf numFmtId="177" fontId="239" fillId="4" borderId="84" xfId="0" applyNumberFormat="1" applyFont="1" applyFill="1" applyBorder="1" applyAlignment="1">
      <alignment horizontal="center" vertical="center" wrapText="1"/>
    </xf>
    <xf numFmtId="173" fontId="239" fillId="4" borderId="84" xfId="0" applyNumberFormat="1" applyFont="1" applyFill="1" applyBorder="1" applyAlignment="1">
      <alignment horizontal="center" vertical="center" wrapText="1"/>
    </xf>
    <xf numFmtId="0" fontId="238" fillId="4" borderId="84" xfId="0" applyFont="1" applyFill="1" applyBorder="1" applyAlignment="1">
      <alignment horizontal="left" vertical="center" wrapText="1"/>
    </xf>
    <xf numFmtId="0" fontId="244" fillId="0" borderId="0" xfId="0" applyFont="1"/>
    <xf numFmtId="0" fontId="59" fillId="0" borderId="0" xfId="0" applyFont="1" applyAlignment="1">
      <alignment vertical="center"/>
    </xf>
    <xf numFmtId="20" fontId="245" fillId="0" borderId="0" xfId="0" applyNumberFormat="1" applyFont="1" applyAlignment="1">
      <alignment vertical="center"/>
    </xf>
    <xf numFmtId="0" fontId="59" fillId="0" borderId="0" xfId="0" applyFont="1"/>
    <xf numFmtId="173" fontId="237" fillId="22" borderId="2" xfId="0" applyNumberFormat="1" applyFont="1" applyFill="1" applyBorder="1" applyAlignment="1">
      <alignment horizontal="center"/>
    </xf>
    <xf numFmtId="2" fontId="4" fillId="0" borderId="33" xfId="0" applyNumberFormat="1" applyFont="1" applyBorder="1" applyAlignment="1" applyProtection="1">
      <alignment horizontal="center"/>
      <protection locked="0"/>
    </xf>
    <xf numFmtId="2" fontId="15" fillId="0" borderId="0" xfId="0" applyNumberFormat="1" applyFont="1"/>
    <xf numFmtId="0" fontId="248" fillId="0" borderId="0" xfId="0" applyFont="1" applyProtection="1">
      <protection locked="0"/>
    </xf>
    <xf numFmtId="0" fontId="234" fillId="22" borderId="102" xfId="0" applyFont="1" applyFill="1" applyBorder="1" applyAlignment="1">
      <alignment horizontal="left" vertical="center"/>
    </xf>
    <xf numFmtId="0" fontId="234" fillId="22" borderId="102" xfId="0" applyFont="1" applyFill="1" applyBorder="1" applyAlignment="1">
      <alignment horizontal="center" vertical="center"/>
    </xf>
    <xf numFmtId="173" fontId="249" fillId="4" borderId="84" xfId="0" applyNumberFormat="1" applyFont="1" applyFill="1" applyBorder="1" applyAlignment="1">
      <alignment horizontal="center" vertical="center" wrapText="1"/>
    </xf>
    <xf numFmtId="0" fontId="157" fillId="0" borderId="84" xfId="0" applyFont="1" applyBorder="1" applyAlignment="1">
      <alignment horizontal="center"/>
    </xf>
    <xf numFmtId="0" fontId="157" fillId="0" borderId="2" xfId="0" applyFont="1" applyBorder="1" applyAlignment="1">
      <alignment horizontal="center"/>
    </xf>
    <xf numFmtId="20" fontId="4" fillId="0" borderId="0" xfId="0" applyNumberFormat="1" applyFont="1"/>
    <xf numFmtId="0" fontId="195" fillId="0" borderId="0" xfId="0" applyFont="1"/>
    <xf numFmtId="0" fontId="250" fillId="0" borderId="0" xfId="0" applyFont="1"/>
    <xf numFmtId="0" fontId="35" fillId="4" borderId="33" xfId="0" applyFont="1" applyFill="1" applyBorder="1" applyAlignment="1">
      <alignment vertical="center" wrapText="1"/>
    </xf>
    <xf numFmtId="0" fontId="35" fillId="4" borderId="41" xfId="0" applyFont="1" applyFill="1" applyBorder="1" applyAlignment="1">
      <alignment vertical="center" wrapText="1"/>
    </xf>
    <xf numFmtId="0" fontId="29" fillId="0" borderId="2" xfId="0" applyFont="1" applyBorder="1"/>
    <xf numFmtId="0" fontId="248" fillId="0" borderId="0" xfId="0" applyFont="1"/>
    <xf numFmtId="176" fontId="15" fillId="0" borderId="0" xfId="0" applyNumberFormat="1" applyFont="1"/>
    <xf numFmtId="0" fontId="253" fillId="0" borderId="0" xfId="0" applyFont="1" applyAlignment="1">
      <alignment vertical="center"/>
    </xf>
    <xf numFmtId="0" fontId="31" fillId="0" borderId="0" xfId="0" applyFont="1" applyProtection="1">
      <protection locked="0"/>
    </xf>
    <xf numFmtId="43" fontId="32" fillId="4" borderId="31" xfId="0" applyNumberFormat="1" applyFont="1" applyFill="1" applyBorder="1" applyAlignment="1">
      <alignment horizontal="center" vertical="center" wrapText="1"/>
    </xf>
    <xf numFmtId="43" fontId="32" fillId="4" borderId="25" xfId="0" applyNumberFormat="1" applyFont="1" applyFill="1" applyBorder="1" applyAlignment="1">
      <alignment horizontal="center" vertical="center" wrapText="1"/>
    </xf>
    <xf numFmtId="168" fontId="87" fillId="4" borderId="25" xfId="0" applyNumberFormat="1" applyFont="1" applyFill="1" applyBorder="1" applyAlignment="1">
      <alignment horizontal="center" vertical="center" wrapText="1"/>
    </xf>
    <xf numFmtId="0" fontId="181" fillId="47" borderId="10" xfId="0" applyFont="1" applyFill="1" applyBorder="1" applyAlignment="1">
      <alignment horizontal="center"/>
    </xf>
    <xf numFmtId="0" fontId="254" fillId="0" borderId="0" xfId="0" applyFont="1"/>
    <xf numFmtId="0" fontId="15" fillId="0" borderId="93" xfId="26" applyFont="1" applyBorder="1" applyAlignment="1">
      <alignment horizontal="center"/>
    </xf>
    <xf numFmtId="0" fontId="255" fillId="37" borderId="161" xfId="0" applyFont="1" applyFill="1" applyBorder="1" applyAlignment="1">
      <alignment horizontal="center"/>
    </xf>
    <xf numFmtId="0" fontId="256" fillId="0" borderId="161" xfId="0" applyFont="1" applyBorder="1" applyAlignment="1">
      <alignment horizontal="center"/>
    </xf>
    <xf numFmtId="0" fontId="255" fillId="45" borderId="161" xfId="0" applyFont="1" applyFill="1" applyBorder="1" applyAlignment="1">
      <alignment horizontal="center"/>
    </xf>
    <xf numFmtId="3" fontId="256" fillId="0" borderId="161" xfId="0" applyNumberFormat="1" applyFont="1" applyBorder="1" applyAlignment="1">
      <alignment horizontal="center"/>
    </xf>
    <xf numFmtId="3" fontId="255" fillId="37" borderId="161" xfId="0" applyNumberFormat="1" applyFont="1" applyFill="1" applyBorder="1" applyAlignment="1">
      <alignment horizontal="center"/>
    </xf>
    <xf numFmtId="0" fontId="255" fillId="0" borderId="0" xfId="0" applyFont="1" applyAlignment="1">
      <alignment horizontal="center"/>
    </xf>
    <xf numFmtId="176" fontId="0" fillId="0" borderId="0" xfId="0" applyNumberFormat="1"/>
    <xf numFmtId="0" fontId="49" fillId="4" borderId="54" xfId="0" applyFont="1" applyFill="1" applyBorder="1" applyAlignment="1" applyProtection="1">
      <alignment horizontal="center" vertical="center"/>
      <protection locked="0"/>
    </xf>
    <xf numFmtId="0" fontId="49" fillId="4" borderId="5" xfId="0" applyFont="1" applyFill="1" applyBorder="1" applyAlignment="1" applyProtection="1">
      <alignment horizontal="center" vertical="center"/>
      <protection locked="0"/>
    </xf>
    <xf numFmtId="0" fontId="49" fillId="4" borderId="2" xfId="0" applyFont="1" applyFill="1" applyBorder="1" applyAlignment="1" applyProtection="1">
      <alignment horizontal="center" vertical="center"/>
      <protection locked="0"/>
    </xf>
    <xf numFmtId="0" fontId="49" fillId="4" borderId="10" xfId="0" applyFont="1" applyFill="1" applyBorder="1" applyAlignment="1" applyProtection="1">
      <alignment horizontal="center" vertical="center"/>
      <protection locked="0"/>
    </xf>
    <xf numFmtId="0" fontId="257" fillId="0" borderId="0" xfId="0" applyFont="1"/>
    <xf numFmtId="0" fontId="49" fillId="0" borderId="0" xfId="0" applyFont="1"/>
    <xf numFmtId="0" fontId="49" fillId="0" borderId="38" xfId="0" applyFont="1" applyBorder="1"/>
    <xf numFmtId="0" fontId="49" fillId="0" borderId="33" xfId="0" applyFont="1" applyBorder="1"/>
    <xf numFmtId="0" fontId="257" fillId="0" borderId="0" xfId="0" applyFont="1" applyAlignment="1">
      <alignment vertical="center"/>
    </xf>
    <xf numFmtId="0" fontId="257" fillId="35" borderId="0" xfId="0" applyFont="1" applyFill="1" applyAlignment="1" applyProtection="1">
      <alignment vertical="center"/>
      <protection locked="0"/>
    </xf>
    <xf numFmtId="0" fontId="257" fillId="9" borderId="0" xfId="0" applyFont="1" applyFill="1" applyAlignment="1" applyProtection="1">
      <alignment vertical="center"/>
      <protection locked="0"/>
    </xf>
    <xf numFmtId="20" fontId="49" fillId="0" borderId="0" xfId="0" applyNumberFormat="1" applyFont="1" applyAlignment="1">
      <alignment vertical="center"/>
    </xf>
    <xf numFmtId="0" fontId="257" fillId="0" borderId="0" xfId="0" applyFont="1" applyAlignment="1">
      <alignment horizontal="center" vertical="center"/>
    </xf>
    <xf numFmtId="0" fontId="49" fillId="15" borderId="17" xfId="0" applyFont="1" applyFill="1" applyBorder="1" applyAlignment="1">
      <alignment horizontal="center" vertical="center"/>
    </xf>
    <xf numFmtId="0" fontId="49" fillId="4" borderId="69" xfId="0" applyFont="1" applyFill="1" applyBorder="1" applyAlignment="1">
      <alignment horizontal="center" vertical="center" wrapText="1"/>
    </xf>
    <xf numFmtId="0" fontId="49" fillId="16" borderId="17" xfId="0" applyFont="1" applyFill="1" applyBorder="1" applyAlignment="1">
      <alignment horizontal="center" vertical="center"/>
    </xf>
    <xf numFmtId="0" fontId="49" fillId="0" borderId="5" xfId="0" applyFont="1" applyBorder="1" applyAlignment="1" applyProtection="1">
      <alignment horizontal="center" vertical="center"/>
      <protection locked="0"/>
    </xf>
    <xf numFmtId="167" fontId="49" fillId="0" borderId="21" xfId="0" applyNumberFormat="1" applyFont="1" applyBorder="1" applyAlignment="1">
      <alignment horizontal="center" vertical="center"/>
    </xf>
    <xf numFmtId="167" fontId="49" fillId="0" borderId="43" xfId="0" applyNumberFormat="1" applyFont="1" applyBorder="1" applyAlignment="1">
      <alignment horizontal="center" vertical="center"/>
    </xf>
    <xf numFmtId="0" fontId="49" fillId="0" borderId="2" xfId="0" applyFont="1" applyBorder="1" applyAlignment="1" applyProtection="1">
      <alignment horizontal="center" vertical="center"/>
      <protection locked="0"/>
    </xf>
    <xf numFmtId="167" fontId="49" fillId="0" borderId="23" xfId="0" applyNumberFormat="1" applyFont="1" applyBorder="1" applyAlignment="1">
      <alignment horizontal="center" vertical="center"/>
    </xf>
    <xf numFmtId="167" fontId="49" fillId="0" borderId="44" xfId="0" applyNumberFormat="1" applyFont="1" applyBorder="1" applyAlignment="1">
      <alignment horizontal="center" vertical="center"/>
    </xf>
    <xf numFmtId="0" fontId="49" fillId="0" borderId="10" xfId="0" applyFont="1" applyBorder="1" applyAlignment="1" applyProtection="1">
      <alignment horizontal="center" vertical="center"/>
      <protection locked="0"/>
    </xf>
    <xf numFmtId="167" fontId="49" fillId="0" borderId="24" xfId="0" applyNumberFormat="1" applyFont="1" applyBorder="1" applyAlignment="1">
      <alignment horizontal="center" vertical="center"/>
    </xf>
    <xf numFmtId="167" fontId="49" fillId="0" borderId="45" xfId="0" applyNumberFormat="1" applyFont="1" applyBorder="1" applyAlignment="1">
      <alignment horizontal="center" vertical="center"/>
    </xf>
    <xf numFmtId="0" fontId="45" fillId="0" borderId="2" xfId="0" applyFont="1" applyBorder="1" applyAlignment="1" applyProtection="1">
      <alignment horizontal="center" vertical="center"/>
      <protection locked="0"/>
    </xf>
    <xf numFmtId="0" fontId="45" fillId="0" borderId="2" xfId="0" applyFont="1" applyBorder="1" applyAlignment="1">
      <alignment horizontal="center" vertical="center"/>
    </xf>
    <xf numFmtId="167" fontId="49" fillId="0" borderId="31" xfId="0" applyNumberFormat="1" applyFont="1" applyBorder="1" applyAlignment="1">
      <alignment horizontal="center" vertical="center"/>
    </xf>
    <xf numFmtId="167" fontId="49" fillId="0" borderId="25" xfId="0" applyNumberFormat="1" applyFont="1" applyBorder="1" applyAlignment="1">
      <alignment horizontal="center" vertical="center"/>
    </xf>
    <xf numFmtId="167" fontId="49" fillId="0" borderId="32" xfId="0" applyNumberFormat="1" applyFont="1" applyBorder="1" applyAlignment="1">
      <alignment horizontal="center" vertical="center"/>
    </xf>
    <xf numFmtId="0" fontId="45" fillId="22" borderId="10" xfId="0" applyFont="1" applyFill="1" applyBorder="1" applyAlignment="1" applyProtection="1">
      <alignment horizontal="center" vertical="center"/>
      <protection locked="0"/>
    </xf>
    <xf numFmtId="0" fontId="45" fillId="0" borderId="10" xfId="0" applyFont="1" applyBorder="1" applyAlignment="1" applyProtection="1">
      <alignment horizontal="center" vertical="center"/>
      <protection locked="0"/>
    </xf>
    <xf numFmtId="167" fontId="49" fillId="4" borderId="12" xfId="0" applyNumberFormat="1" applyFont="1" applyFill="1" applyBorder="1" applyAlignment="1">
      <alignment horizontal="center" vertical="center" wrapText="1"/>
    </xf>
    <xf numFmtId="167" fontId="49" fillId="4" borderId="13" xfId="0" applyNumberFormat="1" applyFont="1" applyFill="1" applyBorder="1" applyAlignment="1">
      <alignment horizontal="center" vertical="center" wrapText="1"/>
    </xf>
    <xf numFmtId="168" fontId="49" fillId="4" borderId="50" xfId="0" applyNumberFormat="1" applyFont="1" applyFill="1" applyBorder="1" applyAlignment="1">
      <alignment horizontal="center" vertical="center" wrapText="1"/>
    </xf>
    <xf numFmtId="1" fontId="257" fillId="0" borderId="0" xfId="0" applyNumberFormat="1" applyFont="1"/>
    <xf numFmtId="0" fontId="49" fillId="4" borderId="22" xfId="0" applyFont="1" applyFill="1" applyBorder="1" applyAlignment="1">
      <alignment vertical="center" wrapText="1"/>
    </xf>
    <xf numFmtId="0" fontId="257" fillId="0" borderId="2" xfId="0" applyFont="1" applyBorder="1" applyAlignment="1">
      <alignment horizontal="center" vertical="center"/>
    </xf>
    <xf numFmtId="165" fontId="49" fillId="2" borderId="2" xfId="0" applyNumberFormat="1" applyFont="1" applyFill="1" applyBorder="1" applyAlignment="1">
      <alignment horizontal="center" vertical="center"/>
    </xf>
    <xf numFmtId="0" fontId="49" fillId="4" borderId="2" xfId="0" applyFont="1" applyFill="1" applyBorder="1" applyAlignment="1">
      <alignment vertical="center" wrapText="1"/>
    </xf>
    <xf numFmtId="179" fontId="15" fillId="0" borderId="0" xfId="0" applyNumberFormat="1" applyFont="1"/>
    <xf numFmtId="4" fontId="15" fillId="0" borderId="0" xfId="0" applyNumberFormat="1" applyFont="1"/>
    <xf numFmtId="1" fontId="259" fillId="22" borderId="2" xfId="0" applyNumberFormat="1" applyFont="1" applyFill="1" applyBorder="1" applyAlignment="1">
      <alignment horizontal="center"/>
    </xf>
    <xf numFmtId="1" fontId="259" fillId="22" borderId="2" xfId="0" applyNumberFormat="1" applyFont="1" applyFill="1" applyBorder="1" applyAlignment="1">
      <alignment horizontal="left"/>
    </xf>
    <xf numFmtId="1" fontId="260" fillId="22" borderId="2" xfId="0" applyNumberFormat="1" applyFont="1" applyFill="1" applyBorder="1" applyAlignment="1">
      <alignment horizontal="center"/>
    </xf>
    <xf numFmtId="1" fontId="31" fillId="0" borderId="2" xfId="0" applyNumberFormat="1" applyFont="1" applyBorder="1"/>
    <xf numFmtId="0" fontId="125" fillId="0" borderId="32" xfId="0" applyFont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4" fillId="0" borderId="32" xfId="0" applyFont="1" applyBorder="1" applyAlignment="1">
      <alignment horizontal="center"/>
    </xf>
    <xf numFmtId="0" fontId="35" fillId="4" borderId="15" xfId="0" applyFont="1" applyFill="1" applyBorder="1" applyAlignment="1">
      <alignment vertical="center" wrapText="1"/>
    </xf>
    <xf numFmtId="0" fontId="35" fillId="4" borderId="67" xfId="0" applyFont="1" applyFill="1" applyBorder="1" applyAlignment="1">
      <alignment vertical="center" wrapText="1"/>
    </xf>
    <xf numFmtId="0" fontId="0" fillId="0" borderId="161" xfId="0" applyBorder="1"/>
    <xf numFmtId="0" fontId="2" fillId="56" borderId="161" xfId="0" applyFont="1" applyFill="1" applyBorder="1" applyAlignment="1">
      <alignment horizontal="center"/>
    </xf>
    <xf numFmtId="0" fontId="2" fillId="37" borderId="161" xfId="0" applyFont="1" applyFill="1" applyBorder="1"/>
    <xf numFmtId="3" fontId="0" fillId="0" borderId="161" xfId="0" applyNumberFormat="1" applyBorder="1"/>
    <xf numFmtId="3" fontId="2" fillId="37" borderId="161" xfId="0" applyNumberFormat="1" applyFont="1" applyFill="1" applyBorder="1"/>
    <xf numFmtId="0" fontId="2" fillId="37" borderId="0" xfId="0" applyFont="1" applyFill="1"/>
    <xf numFmtId="0" fontId="261" fillId="10" borderId="0" xfId="0" applyFont="1" applyFill="1" applyAlignment="1">
      <alignment horizontal="center" vertical="center"/>
    </xf>
    <xf numFmtId="0" fontId="262" fillId="62" borderId="161" xfId="0" applyFont="1" applyFill="1" applyBorder="1"/>
    <xf numFmtId="0" fontId="263" fillId="4" borderId="21" xfId="0" applyFont="1" applyFill="1" applyBorder="1" applyAlignment="1">
      <alignment horizontal="center" vertical="center" wrapText="1"/>
    </xf>
    <xf numFmtId="0" fontId="263" fillId="4" borderId="43" xfId="0" applyFont="1" applyFill="1" applyBorder="1" applyAlignment="1">
      <alignment vertical="center" wrapText="1"/>
    </xf>
    <xf numFmtId="0" fontId="263" fillId="4" borderId="23" xfId="0" applyFont="1" applyFill="1" applyBorder="1" applyAlignment="1">
      <alignment horizontal="center" vertical="center" wrapText="1"/>
    </xf>
    <xf numFmtId="0" fontId="263" fillId="4" borderId="44" xfId="0" applyFont="1" applyFill="1" applyBorder="1" applyAlignment="1">
      <alignment vertical="center" wrapText="1"/>
    </xf>
    <xf numFmtId="0" fontId="263" fillId="4" borderId="45" xfId="0" applyFont="1" applyFill="1" applyBorder="1" applyAlignment="1">
      <alignment vertical="center" wrapText="1"/>
    </xf>
    <xf numFmtId="0" fontId="263" fillId="4" borderId="32" xfId="0" applyFont="1" applyFill="1" applyBorder="1" applyAlignment="1">
      <alignment vertical="center" wrapText="1"/>
    </xf>
    <xf numFmtId="0" fontId="263" fillId="4" borderId="24" xfId="0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120" fillId="22" borderId="50" xfId="27" applyFont="1" applyFill="1" applyBorder="1" applyAlignment="1" applyProtection="1">
      <alignment horizontal="center" vertical="center"/>
      <protection locked="0"/>
    </xf>
    <xf numFmtId="0" fontId="120" fillId="22" borderId="1" xfId="27" applyFont="1" applyFill="1" applyBorder="1" applyAlignment="1" applyProtection="1">
      <alignment horizontal="center" vertical="center"/>
      <protection locked="0"/>
    </xf>
    <xf numFmtId="0" fontId="87" fillId="22" borderId="1" xfId="27" applyFont="1" applyFill="1" applyBorder="1" applyAlignment="1" applyProtection="1">
      <alignment horizontal="center" vertical="center"/>
      <protection locked="0"/>
    </xf>
    <xf numFmtId="0" fontId="87" fillId="22" borderId="1" xfId="0" applyFont="1" applyFill="1" applyBorder="1" applyAlignment="1" applyProtection="1">
      <alignment horizontal="center" vertical="center"/>
      <protection locked="0"/>
    </xf>
    <xf numFmtId="0" fontId="95" fillId="22" borderId="163" xfId="0" applyFont="1" applyFill="1" applyBorder="1" applyAlignment="1" applyProtection="1">
      <alignment horizontal="center" vertical="center"/>
      <protection locked="0"/>
    </xf>
    <xf numFmtId="0" fontId="95" fillId="22" borderId="50" xfId="0" applyFont="1" applyFill="1" applyBorder="1" applyAlignment="1" applyProtection="1">
      <alignment horizontal="center" vertical="center"/>
      <protection locked="0"/>
    </xf>
    <xf numFmtId="0" fontId="34" fillId="35" borderId="54" xfId="0" applyFont="1" applyFill="1" applyBorder="1" applyAlignment="1" applyProtection="1">
      <alignment horizontal="center" vertical="center" wrapText="1"/>
      <protection locked="0"/>
    </xf>
    <xf numFmtId="0" fontId="31" fillId="4" borderId="4" xfId="0" applyFont="1" applyFill="1" applyBorder="1" applyAlignment="1" applyProtection="1">
      <alignment horizontal="center" vertical="center" wrapText="1"/>
      <protection locked="0"/>
    </xf>
    <xf numFmtId="0" fontId="31" fillId="4" borderId="5" xfId="0" applyFont="1" applyFill="1" applyBorder="1" applyAlignment="1" applyProtection="1">
      <alignment horizontal="center" vertical="center" wrapText="1"/>
      <protection locked="0"/>
    </xf>
    <xf numFmtId="0" fontId="31" fillId="4" borderId="7" xfId="0" applyFont="1" applyFill="1" applyBorder="1" applyAlignment="1" applyProtection="1">
      <alignment horizontal="center" vertical="center" wrapText="1"/>
      <protection locked="0"/>
    </xf>
    <xf numFmtId="0" fontId="31" fillId="4" borderId="2" xfId="0" applyFont="1" applyFill="1" applyBorder="1" applyAlignment="1" applyProtection="1">
      <alignment horizontal="center" vertical="center" wrapText="1"/>
      <protection locked="0"/>
    </xf>
    <xf numFmtId="0" fontId="31" fillId="4" borderId="9" xfId="0" applyFont="1" applyFill="1" applyBorder="1" applyAlignment="1" applyProtection="1">
      <alignment horizontal="center" vertical="center" wrapText="1"/>
      <protection locked="0"/>
    </xf>
    <xf numFmtId="0" fontId="31" fillId="4" borderId="10" xfId="0" applyFont="1" applyFill="1" applyBorder="1" applyAlignment="1" applyProtection="1">
      <alignment horizontal="center" vertical="center" wrapText="1"/>
      <protection locked="0"/>
    </xf>
    <xf numFmtId="0" fontId="31" fillId="4" borderId="53" xfId="0" applyFont="1" applyFill="1" applyBorder="1" applyAlignment="1" applyProtection="1">
      <alignment horizontal="center" vertical="center" wrapText="1"/>
      <protection locked="0"/>
    </xf>
    <xf numFmtId="0" fontId="31" fillId="4" borderId="54" xfId="0" applyFont="1" applyFill="1" applyBorder="1" applyAlignment="1" applyProtection="1">
      <alignment horizontal="center" vertical="center" wrapText="1"/>
      <protection locked="0"/>
    </xf>
    <xf numFmtId="0" fontId="31" fillId="4" borderId="4" xfId="0" applyFont="1" applyFill="1" applyBorder="1" applyAlignment="1" applyProtection="1">
      <alignment horizontal="center" vertical="center"/>
      <protection locked="0"/>
    </xf>
    <xf numFmtId="0" fontId="31" fillId="4" borderId="5" xfId="0" applyFont="1" applyFill="1" applyBorder="1" applyAlignment="1" applyProtection="1">
      <alignment horizontal="center" vertical="center"/>
      <protection locked="0"/>
    </xf>
    <xf numFmtId="0" fontId="31" fillId="4" borderId="7" xfId="0" applyFont="1" applyFill="1" applyBorder="1" applyAlignment="1" applyProtection="1">
      <alignment horizontal="center" vertical="center"/>
      <protection locked="0"/>
    </xf>
    <xf numFmtId="0" fontId="31" fillId="4" borderId="2" xfId="0" applyFont="1" applyFill="1" applyBorder="1" applyAlignment="1" applyProtection="1">
      <alignment horizontal="center" vertical="center"/>
      <protection locked="0"/>
    </xf>
    <xf numFmtId="0" fontId="31" fillId="4" borderId="9" xfId="0" applyFont="1" applyFill="1" applyBorder="1" applyAlignment="1" applyProtection="1">
      <alignment horizontal="center" vertical="center"/>
      <protection locked="0"/>
    </xf>
    <xf numFmtId="0" fontId="31" fillId="4" borderId="10" xfId="0" applyFont="1" applyFill="1" applyBorder="1" applyAlignment="1" applyProtection="1">
      <alignment horizontal="center" vertical="center"/>
      <protection locked="0"/>
    </xf>
    <xf numFmtId="0" fontId="83" fillId="4" borderId="56" xfId="0" applyFont="1" applyFill="1" applyBorder="1" applyAlignment="1">
      <alignment vertical="center" wrapText="1"/>
    </xf>
    <xf numFmtId="0" fontId="83" fillId="4" borderId="47" xfId="0" applyFont="1" applyFill="1" applyBorder="1" applyAlignment="1">
      <alignment vertical="center" wrapText="1"/>
    </xf>
    <xf numFmtId="0" fontId="83" fillId="4" borderId="52" xfId="0" applyFont="1" applyFill="1" applyBorder="1" applyAlignment="1">
      <alignment vertical="center" wrapText="1"/>
    </xf>
    <xf numFmtId="0" fontId="83" fillId="4" borderId="33" xfId="0" applyFont="1" applyFill="1" applyBorder="1" applyAlignment="1">
      <alignment vertical="center" wrapText="1"/>
    </xf>
    <xf numFmtId="0" fontId="83" fillId="4" borderId="41" xfId="0" applyFont="1" applyFill="1" applyBorder="1" applyAlignment="1">
      <alignment vertical="center" wrapText="1"/>
    </xf>
    <xf numFmtId="0" fontId="83" fillId="4" borderId="26" xfId="0" applyFont="1" applyFill="1" applyBorder="1" applyAlignment="1">
      <alignment vertical="center" wrapText="1"/>
    </xf>
    <xf numFmtId="0" fontId="83" fillId="4" borderId="34" xfId="0" applyFont="1" applyFill="1" applyBorder="1" applyAlignment="1">
      <alignment vertical="center" wrapText="1"/>
    </xf>
    <xf numFmtId="0" fontId="83" fillId="4" borderId="49" xfId="0" applyFont="1" applyFill="1" applyBorder="1" applyAlignment="1">
      <alignment vertical="center" wrapText="1"/>
    </xf>
    <xf numFmtId="0" fontId="83" fillId="4" borderId="21" xfId="0" applyFont="1" applyFill="1" applyBorder="1" applyAlignment="1">
      <alignment horizontal="center" vertical="center" wrapText="1"/>
    </xf>
    <xf numFmtId="0" fontId="83" fillId="4" borderId="23" xfId="0" applyFont="1" applyFill="1" applyBorder="1" applyAlignment="1">
      <alignment horizontal="center" vertical="center" wrapText="1"/>
    </xf>
    <xf numFmtId="0" fontId="34" fillId="3" borderId="17" xfId="0" applyFont="1" applyFill="1" applyBorder="1" applyAlignment="1">
      <alignment horizontal="center" vertical="center"/>
    </xf>
    <xf numFmtId="0" fontId="34" fillId="3" borderId="17" xfId="0" applyFont="1" applyFill="1" applyBorder="1" applyAlignment="1">
      <alignment vertical="center"/>
    </xf>
    <xf numFmtId="43" fontId="39" fillId="4" borderId="33" xfId="0" applyNumberFormat="1" applyFont="1" applyFill="1" applyBorder="1" applyAlignment="1">
      <alignment horizontal="center" vertical="center" wrapText="1"/>
    </xf>
    <xf numFmtId="168" fontId="39" fillId="4" borderId="25" xfId="0" applyNumberFormat="1" applyFont="1" applyFill="1" applyBorder="1" applyAlignment="1">
      <alignment horizontal="center" vertical="center" wrapText="1"/>
    </xf>
    <xf numFmtId="43" fontId="151" fillId="0" borderId="56" xfId="0" applyNumberFormat="1" applyFont="1" applyBorder="1" applyAlignment="1">
      <alignment horizontal="center" vertical="center"/>
    </xf>
    <xf numFmtId="167" fontId="151" fillId="0" borderId="21" xfId="0" applyNumberFormat="1" applyFont="1" applyBorder="1" applyAlignment="1">
      <alignment horizontal="center" vertical="center"/>
    </xf>
    <xf numFmtId="43" fontId="151" fillId="0" borderId="47" xfId="0" applyNumberFormat="1" applyFont="1" applyBorder="1" applyAlignment="1">
      <alignment horizontal="center" vertical="center"/>
    </xf>
    <xf numFmtId="167" fontId="151" fillId="0" borderId="23" xfId="0" applyNumberFormat="1" applyFont="1" applyBorder="1" applyAlignment="1">
      <alignment horizontal="center" vertical="center"/>
    </xf>
    <xf numFmtId="167" fontId="151" fillId="0" borderId="24" xfId="0" applyNumberFormat="1" applyFont="1" applyBorder="1" applyAlignment="1">
      <alignment horizontal="center" vertical="center"/>
    </xf>
    <xf numFmtId="43" fontId="151" fillId="0" borderId="52" xfId="0" applyNumberFormat="1" applyFont="1" applyBorder="1" applyAlignment="1">
      <alignment horizontal="center" vertical="center"/>
    </xf>
    <xf numFmtId="43" fontId="151" fillId="0" borderId="49" xfId="0" applyNumberFormat="1" applyFont="1" applyBorder="1" applyAlignment="1">
      <alignment horizontal="center" vertical="center"/>
    </xf>
    <xf numFmtId="167" fontId="151" fillId="0" borderId="40" xfId="0" applyNumberFormat="1" applyFont="1" applyBorder="1" applyAlignment="1">
      <alignment horizontal="center" vertical="center"/>
    </xf>
    <xf numFmtId="43" fontId="151" fillId="0" borderId="48" xfId="0" applyNumberFormat="1" applyFont="1" applyBorder="1" applyAlignment="1">
      <alignment horizontal="center" vertical="center"/>
    </xf>
    <xf numFmtId="167" fontId="151" fillId="0" borderId="60" xfId="0" applyNumberFormat="1" applyFont="1" applyBorder="1" applyAlignment="1">
      <alignment horizontal="center" vertical="center"/>
    </xf>
    <xf numFmtId="43" fontId="151" fillId="0" borderId="33" xfId="0" applyNumberFormat="1" applyFont="1" applyBorder="1" applyAlignment="1">
      <alignment horizontal="center" vertical="center"/>
    </xf>
    <xf numFmtId="167" fontId="151" fillId="0" borderId="25" xfId="0" applyNumberFormat="1" applyFont="1" applyBorder="1" applyAlignment="1">
      <alignment horizontal="center" vertical="center"/>
    </xf>
    <xf numFmtId="43" fontId="151" fillId="4" borderId="47" xfId="0" applyNumberFormat="1" applyFont="1" applyFill="1" applyBorder="1" applyAlignment="1">
      <alignment horizontal="center" vertical="center"/>
    </xf>
    <xf numFmtId="167" fontId="151" fillId="4" borderId="23" xfId="0" applyNumberFormat="1" applyFont="1" applyFill="1" applyBorder="1" applyAlignment="1">
      <alignment horizontal="center" vertical="center"/>
    </xf>
    <xf numFmtId="0" fontId="39" fillId="4" borderId="12" xfId="0" applyFont="1" applyFill="1" applyBorder="1" applyAlignment="1">
      <alignment vertical="center" wrapText="1"/>
    </xf>
    <xf numFmtId="0" fontId="39" fillId="4" borderId="25" xfId="0" applyFont="1" applyFill="1" applyBorder="1" applyAlignment="1">
      <alignment vertical="center" wrapText="1"/>
    </xf>
    <xf numFmtId="0" fontId="49" fillId="45" borderId="129" xfId="0" applyFont="1" applyFill="1" applyBorder="1" applyAlignment="1">
      <alignment horizontal="center" vertical="center" wrapText="1"/>
    </xf>
    <xf numFmtId="0" fontId="49" fillId="45" borderId="123" xfId="0" applyFont="1" applyFill="1" applyBorder="1" applyAlignment="1">
      <alignment horizontal="center" vertical="center" wrapText="1"/>
    </xf>
    <xf numFmtId="0" fontId="49" fillId="45" borderId="124" xfId="0" applyFont="1" applyFill="1" applyBorder="1" applyAlignment="1">
      <alignment horizontal="center" vertical="center" wrapText="1"/>
    </xf>
    <xf numFmtId="0" fontId="157" fillId="22" borderId="111" xfId="0" applyFont="1" applyFill="1" applyBorder="1" applyAlignment="1">
      <alignment horizontal="center" vertical="center"/>
    </xf>
    <xf numFmtId="0" fontId="157" fillId="22" borderId="99" xfId="0" applyFont="1" applyFill="1" applyBorder="1" applyAlignment="1">
      <alignment horizontal="left" vertical="center"/>
    </xf>
    <xf numFmtId="0" fontId="157" fillId="22" borderId="99" xfId="0" applyFont="1" applyFill="1" applyBorder="1" applyAlignment="1">
      <alignment horizontal="center" vertical="center"/>
    </xf>
    <xf numFmtId="0" fontId="157" fillId="22" borderId="112" xfId="0" applyFont="1" applyFill="1" applyBorder="1" applyAlignment="1">
      <alignment horizontal="center" vertical="center"/>
    </xf>
    <xf numFmtId="0" fontId="157" fillId="22" borderId="107" xfId="0" applyFont="1" applyFill="1" applyBorder="1" applyAlignment="1">
      <alignment horizontal="center" vertical="center"/>
    </xf>
    <xf numFmtId="0" fontId="157" fillId="22" borderId="102" xfId="0" applyFont="1" applyFill="1" applyBorder="1" applyAlignment="1">
      <alignment horizontal="left" vertical="center"/>
    </xf>
    <xf numFmtId="0" fontId="157" fillId="22" borderId="102" xfId="0" applyFont="1" applyFill="1" applyBorder="1" applyAlignment="1">
      <alignment horizontal="center" vertical="center"/>
    </xf>
    <xf numFmtId="0" fontId="157" fillId="22" borderId="108" xfId="0" applyFont="1" applyFill="1" applyBorder="1" applyAlignment="1">
      <alignment horizontal="center" vertical="center"/>
    </xf>
    <xf numFmtId="0" fontId="257" fillId="22" borderId="108" xfId="0" applyFont="1" applyFill="1" applyBorder="1" applyAlignment="1">
      <alignment horizontal="center" vertical="center"/>
    </xf>
    <xf numFmtId="0" fontId="257" fillId="22" borderId="107" xfId="0" applyFont="1" applyFill="1" applyBorder="1" applyAlignment="1">
      <alignment horizontal="center" vertical="center"/>
    </xf>
    <xf numFmtId="0" fontId="257" fillId="22" borderId="102" xfId="0" applyFont="1" applyFill="1" applyBorder="1" applyAlignment="1">
      <alignment horizontal="left" vertical="center"/>
    </xf>
    <xf numFmtId="0" fontId="257" fillId="22" borderId="102" xfId="0" applyFont="1" applyFill="1" applyBorder="1" applyAlignment="1">
      <alignment horizontal="center" vertical="center"/>
    </xf>
    <xf numFmtId="0" fontId="257" fillId="22" borderId="117" xfId="0" applyFont="1" applyFill="1" applyBorder="1" applyAlignment="1">
      <alignment horizontal="center" vertical="center"/>
    </xf>
    <xf numFmtId="0" fontId="257" fillId="22" borderId="105" xfId="0" applyFont="1" applyFill="1" applyBorder="1" applyAlignment="1">
      <alignment horizontal="left" vertical="center"/>
    </xf>
    <xf numFmtId="0" fontId="257" fillId="22" borderId="105" xfId="0" applyFont="1" applyFill="1" applyBorder="1" applyAlignment="1">
      <alignment horizontal="center" vertical="center"/>
    </xf>
    <xf numFmtId="0" fontId="257" fillId="22" borderId="121" xfId="0" applyFont="1" applyFill="1" applyBorder="1" applyAlignment="1">
      <alignment horizontal="center" vertical="center"/>
    </xf>
    <xf numFmtId="0" fontId="257" fillId="0" borderId="117" xfId="0" applyFont="1" applyBorder="1" applyAlignment="1">
      <alignment horizontal="center" vertical="center"/>
    </xf>
    <xf numFmtId="0" fontId="257" fillId="0" borderId="105" xfId="0" applyFont="1" applyBorder="1" applyAlignment="1">
      <alignment horizontal="left" vertical="center"/>
    </xf>
    <xf numFmtId="0" fontId="257" fillId="0" borderId="105" xfId="0" applyFont="1" applyBorder="1" applyAlignment="1">
      <alignment horizontal="center" vertical="center"/>
    </xf>
    <xf numFmtId="0" fontId="257" fillId="0" borderId="121" xfId="0" applyFont="1" applyBorder="1" applyAlignment="1">
      <alignment horizontal="center" vertical="center"/>
    </xf>
    <xf numFmtId="0" fontId="26" fillId="38" borderId="31" xfId="0" applyFont="1" applyFill="1" applyBorder="1"/>
    <xf numFmtId="0" fontId="26" fillId="38" borderId="33" xfId="0" applyFont="1" applyFill="1" applyBorder="1"/>
    <xf numFmtId="0" fontId="26" fillId="38" borderId="32" xfId="0" applyFont="1" applyFill="1" applyBorder="1"/>
    <xf numFmtId="0" fontId="39" fillId="22" borderId="112" xfId="0" applyFont="1" applyFill="1" applyBorder="1" applyAlignment="1">
      <alignment horizontal="center" vertical="center"/>
    </xf>
    <xf numFmtId="0" fontId="39" fillId="22" borderId="108" xfId="0" applyFont="1" applyFill="1" applyBorder="1" applyAlignment="1">
      <alignment horizontal="center" vertical="center"/>
    </xf>
    <xf numFmtId="0" fontId="265" fillId="4" borderId="66" xfId="0" applyFont="1" applyFill="1" applyBorder="1" applyAlignment="1">
      <alignment horizontal="center" vertical="center" wrapText="1"/>
    </xf>
    <xf numFmtId="0" fontId="265" fillId="4" borderId="51" xfId="0" applyFont="1" applyFill="1" applyBorder="1" applyAlignment="1">
      <alignment horizontal="center" vertical="center" wrapText="1"/>
    </xf>
    <xf numFmtId="0" fontId="157" fillId="24" borderId="102" xfId="0" applyFont="1" applyFill="1" applyBorder="1" applyAlignment="1">
      <alignment horizontal="center" vertical="center"/>
    </xf>
    <xf numFmtId="0" fontId="157" fillId="24" borderId="99" xfId="0" applyFont="1" applyFill="1" applyBorder="1" applyAlignment="1">
      <alignment horizontal="center" vertical="center"/>
    </xf>
    <xf numFmtId="0" fontId="180" fillId="22" borderId="21" xfId="0" applyFont="1" applyFill="1" applyBorder="1" applyAlignment="1">
      <alignment horizontal="center"/>
    </xf>
    <xf numFmtId="0" fontId="180" fillId="22" borderId="2" xfId="0" applyFont="1" applyFill="1" applyBorder="1" applyAlignment="1">
      <alignment horizontal="center"/>
    </xf>
    <xf numFmtId="0" fontId="180" fillId="22" borderId="8" xfId="0" applyFont="1" applyFill="1" applyBorder="1" applyAlignment="1">
      <alignment horizontal="center"/>
    </xf>
    <xf numFmtId="0" fontId="180" fillId="22" borderId="23" xfId="0" applyFont="1" applyFill="1" applyBorder="1" applyAlignment="1">
      <alignment horizontal="center"/>
    </xf>
    <xf numFmtId="0" fontId="180" fillId="22" borderId="24" xfId="0" applyFont="1" applyFill="1" applyBorder="1" applyAlignment="1">
      <alignment horizontal="center"/>
    </xf>
    <xf numFmtId="0" fontId="180" fillId="22" borderId="27" xfId="0" applyFont="1" applyFill="1" applyBorder="1" applyAlignment="1">
      <alignment horizontal="left" vertical="center"/>
    </xf>
    <xf numFmtId="1" fontId="39" fillId="0" borderId="119" xfId="0" applyNumberFormat="1" applyFont="1" applyBorder="1" applyAlignment="1">
      <alignment horizontal="center"/>
    </xf>
    <xf numFmtId="0" fontId="39" fillId="0" borderId="96" xfId="0" applyFont="1" applyBorder="1" applyAlignment="1">
      <alignment horizontal="left"/>
    </xf>
    <xf numFmtId="1" fontId="39" fillId="0" borderId="115" xfId="0" applyNumberFormat="1" applyFont="1" applyBorder="1" applyAlignment="1">
      <alignment horizontal="center"/>
    </xf>
    <xf numFmtId="0" fontId="39" fillId="0" borderId="97" xfId="0" applyFont="1" applyBorder="1" applyAlignment="1">
      <alignment horizontal="left"/>
    </xf>
    <xf numFmtId="173" fontId="39" fillId="0" borderId="2" xfId="0" applyNumberFormat="1" applyFont="1" applyBorder="1" applyAlignment="1">
      <alignment horizontal="center"/>
    </xf>
    <xf numFmtId="0" fontId="268" fillId="54" borderId="84" xfId="0" applyFont="1" applyFill="1" applyBorder="1" applyAlignment="1">
      <alignment horizontal="center" vertical="center"/>
    </xf>
    <xf numFmtId="0" fontId="265" fillId="54" borderId="84" xfId="0" applyFont="1" applyFill="1" applyBorder="1" applyAlignment="1">
      <alignment horizontal="center" vertical="center"/>
    </xf>
    <xf numFmtId="173" fontId="268" fillId="4" borderId="84" xfId="0" applyNumberFormat="1" applyFont="1" applyFill="1" applyBorder="1" applyAlignment="1">
      <alignment horizontal="center" vertical="center"/>
    </xf>
    <xf numFmtId="1" fontId="268" fillId="4" borderId="84" xfId="0" applyNumberFormat="1" applyFont="1" applyFill="1" applyBorder="1" applyAlignment="1">
      <alignment horizontal="center" vertical="center"/>
    </xf>
    <xf numFmtId="0" fontId="165" fillId="4" borderId="84" xfId="0" applyFont="1" applyFill="1" applyBorder="1" applyAlignment="1">
      <alignment horizontal="left" vertical="center"/>
    </xf>
    <xf numFmtId="173" fontId="265" fillId="0" borderId="84" xfId="0" applyNumberFormat="1" applyFont="1" applyBorder="1" applyAlignment="1">
      <alignment horizontal="center" vertical="center"/>
    </xf>
    <xf numFmtId="177" fontId="265" fillId="0" borderId="84" xfId="0" applyNumberFormat="1" applyFont="1" applyBorder="1" applyAlignment="1">
      <alignment horizontal="center" vertical="center"/>
    </xf>
    <xf numFmtId="0" fontId="265" fillId="0" borderId="84" xfId="0" applyFont="1" applyBorder="1" applyAlignment="1">
      <alignment horizontal="center" vertical="center"/>
    </xf>
    <xf numFmtId="0" fontId="269" fillId="0" borderId="0" xfId="0" applyFont="1"/>
    <xf numFmtId="0" fontId="265" fillId="54" borderId="84" xfId="0" applyFont="1" applyFill="1" applyBorder="1" applyAlignment="1">
      <alignment horizontal="center" vertical="center" wrapText="1"/>
    </xf>
    <xf numFmtId="1" fontId="249" fillId="4" borderId="84" xfId="0" applyNumberFormat="1" applyFont="1" applyFill="1" applyBorder="1" applyAlignment="1">
      <alignment horizontal="center" vertical="center" wrapText="1"/>
    </xf>
    <xf numFmtId="173" fontId="270" fillId="0" borderId="84" xfId="0" applyNumberFormat="1" applyFont="1" applyBorder="1" applyAlignment="1">
      <alignment horizontal="center" vertical="center" wrapText="1"/>
    </xf>
    <xf numFmtId="0" fontId="271" fillId="4" borderId="84" xfId="0" applyFont="1" applyFill="1" applyBorder="1" applyAlignment="1">
      <alignment horizontal="left" vertical="center" wrapText="1"/>
    </xf>
    <xf numFmtId="43" fontId="32" fillId="0" borderId="43" xfId="0" applyNumberFormat="1" applyFont="1" applyBorder="1" applyAlignment="1">
      <alignment horizontal="center" vertical="center"/>
    </xf>
    <xf numFmtId="43" fontId="32" fillId="0" borderId="44" xfId="0" applyNumberFormat="1" applyFont="1" applyBorder="1" applyAlignment="1">
      <alignment horizontal="center" vertical="center"/>
    </xf>
    <xf numFmtId="43" fontId="32" fillId="0" borderId="45" xfId="0" applyNumberFormat="1" applyFont="1" applyBorder="1" applyAlignment="1">
      <alignment horizontal="center" vertical="center"/>
    </xf>
    <xf numFmtId="0" fontId="34" fillId="35" borderId="53" xfId="0" applyFont="1" applyFill="1" applyBorder="1" applyAlignment="1" applyProtection="1">
      <alignment horizontal="center" vertical="center" wrapText="1"/>
      <protection locked="0"/>
    </xf>
    <xf numFmtId="0" fontId="254" fillId="0" borderId="0" xfId="0" applyFont="1" applyProtection="1">
      <protection locked="0"/>
    </xf>
    <xf numFmtId="0" fontId="254" fillId="0" borderId="0" xfId="0" applyFont="1" applyAlignment="1" applyProtection="1">
      <alignment horizontal="center" vertical="center"/>
      <protection locked="0"/>
    </xf>
    <xf numFmtId="0" fontId="273" fillId="23" borderId="83" xfId="0" applyFont="1" applyFill="1" applyBorder="1" applyAlignment="1">
      <alignment horizontal="center" vertical="center" wrapText="1"/>
    </xf>
    <xf numFmtId="0" fontId="14" fillId="0" borderId="84" xfId="0" applyFont="1" applyBorder="1" applyAlignment="1">
      <alignment horizontal="center"/>
    </xf>
    <xf numFmtId="0" fontId="15" fillId="0" borderId="84" xfId="0" applyFont="1" applyBorder="1" applyAlignment="1">
      <alignment horizontal="center"/>
    </xf>
    <xf numFmtId="0" fontId="14" fillId="0" borderId="84" xfId="0" applyFont="1" applyBorder="1" applyAlignment="1">
      <alignment horizontal="center" vertical="center"/>
    </xf>
    <xf numFmtId="1" fontId="14" fillId="0" borderId="4" xfId="5" applyNumberFormat="1" applyFont="1" applyBorder="1" applyAlignment="1" applyProtection="1">
      <alignment horizontal="center" vertical="center"/>
      <protection locked="0"/>
    </xf>
    <xf numFmtId="1" fontId="14" fillId="0" borderId="5" xfId="5" applyNumberFormat="1" applyFont="1" applyBorder="1" applyAlignment="1" applyProtection="1">
      <alignment horizontal="center" vertical="center"/>
      <protection locked="0"/>
    </xf>
    <xf numFmtId="0" fontId="49" fillId="0" borderId="5" xfId="5" applyFont="1" applyBorder="1" applyAlignment="1" applyProtection="1">
      <alignment horizontal="center" vertical="center"/>
      <protection locked="0"/>
    </xf>
    <xf numFmtId="1" fontId="14" fillId="0" borderId="7" xfId="5" applyNumberFormat="1" applyFont="1" applyBorder="1" applyAlignment="1" applyProtection="1">
      <alignment horizontal="center" vertical="center"/>
      <protection locked="0"/>
    </xf>
    <xf numFmtId="1" fontId="14" fillId="0" borderId="2" xfId="5" applyNumberFormat="1" applyFont="1" applyBorder="1" applyAlignment="1" applyProtection="1">
      <alignment horizontal="center" vertical="center"/>
      <protection locked="0"/>
    </xf>
    <xf numFmtId="0" fontId="49" fillId="0" borderId="2" xfId="5" applyFont="1" applyBorder="1" applyAlignment="1" applyProtection="1">
      <alignment horizontal="center" vertical="center"/>
      <protection locked="0"/>
    </xf>
    <xf numFmtId="1" fontId="14" fillId="0" borderId="9" xfId="5" applyNumberFormat="1" applyFont="1" applyBorder="1" applyAlignment="1" applyProtection="1">
      <alignment horizontal="center" vertical="center"/>
      <protection locked="0"/>
    </xf>
    <xf numFmtId="1" fontId="14" fillId="0" borderId="10" xfId="5" applyNumberFormat="1" applyFont="1" applyBorder="1" applyAlignment="1" applyProtection="1">
      <alignment horizontal="center" vertical="center"/>
      <protection locked="0"/>
    </xf>
    <xf numFmtId="0" fontId="49" fillId="0" borderId="10" xfId="5" applyFont="1" applyBorder="1" applyAlignment="1" applyProtection="1">
      <alignment horizontal="center" vertical="center"/>
      <protection locked="0"/>
    </xf>
    <xf numFmtId="1" fontId="14" fillId="0" borderId="53" xfId="5" applyNumberFormat="1" applyFont="1" applyBorder="1" applyAlignment="1" applyProtection="1">
      <alignment horizontal="center" vertical="center"/>
      <protection locked="0"/>
    </xf>
    <xf numFmtId="1" fontId="14" fillId="0" borderId="54" xfId="5" applyNumberFormat="1" applyFont="1" applyBorder="1" applyAlignment="1" applyProtection="1">
      <alignment horizontal="center" vertical="center"/>
      <protection locked="0"/>
    </xf>
    <xf numFmtId="0" fontId="49" fillId="0" borderId="54" xfId="5" applyFont="1" applyBorder="1" applyAlignment="1" applyProtection="1">
      <alignment horizontal="center" vertical="center"/>
      <protection locked="0"/>
    </xf>
    <xf numFmtId="0" fontId="49" fillId="0" borderId="54" xfId="0" applyFont="1" applyBorder="1" applyAlignment="1" applyProtection="1">
      <alignment horizontal="center" vertical="center"/>
      <protection locked="0"/>
    </xf>
    <xf numFmtId="1" fontId="14" fillId="0" borderId="7" xfId="5" applyNumberFormat="1" applyFont="1" applyBorder="1" applyAlignment="1" applyProtection="1">
      <alignment horizontal="center" vertical="center" wrapText="1"/>
      <protection locked="0"/>
    </xf>
    <xf numFmtId="1" fontId="14" fillId="0" borderId="2" xfId="5" applyNumberFormat="1" applyFont="1" applyBorder="1" applyAlignment="1" applyProtection="1">
      <alignment horizontal="center" vertical="center" wrapText="1"/>
      <protection locked="0"/>
    </xf>
    <xf numFmtId="0" fontId="257" fillId="0" borderId="10" xfId="0" applyFont="1" applyBorder="1" applyProtection="1">
      <protection locked="0"/>
    </xf>
    <xf numFmtId="1" fontId="14" fillId="0" borderId="53" xfId="0" applyNumberFormat="1" applyFont="1" applyBorder="1" applyAlignment="1" applyProtection="1">
      <alignment horizontal="center" vertical="center"/>
      <protection locked="0"/>
    </xf>
    <xf numFmtId="1" fontId="14" fillId="0" borderId="54" xfId="0" applyNumberFormat="1" applyFont="1" applyBorder="1" applyAlignment="1" applyProtection="1">
      <alignment horizontal="center" vertical="center"/>
      <protection locked="0"/>
    </xf>
    <xf numFmtId="1" fontId="14" fillId="0" borderId="4" xfId="0" applyNumberFormat="1" applyFont="1" applyBorder="1" applyAlignment="1" applyProtection="1">
      <alignment horizontal="center" vertical="center"/>
      <protection locked="0"/>
    </xf>
    <xf numFmtId="1" fontId="14" fillId="0" borderId="5" xfId="0" applyNumberFormat="1" applyFont="1" applyBorder="1" applyAlignment="1" applyProtection="1">
      <alignment horizontal="center" vertical="center"/>
      <protection locked="0"/>
    </xf>
    <xf numFmtId="1" fontId="14" fillId="0" borderId="7" xfId="0" applyNumberFormat="1" applyFont="1" applyBorder="1" applyAlignment="1" applyProtection="1">
      <alignment horizontal="center" vertical="center"/>
      <protection locked="0"/>
    </xf>
    <xf numFmtId="1" fontId="14" fillId="0" borderId="2" xfId="0" applyNumberFormat="1" applyFont="1" applyBorder="1" applyAlignment="1" applyProtection="1">
      <alignment horizontal="center" vertical="center"/>
      <protection locked="0"/>
    </xf>
    <xf numFmtId="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4" borderId="33" xfId="0" applyFont="1" applyFill="1" applyBorder="1" applyAlignment="1">
      <alignment horizontal="center" vertical="center"/>
    </xf>
    <xf numFmtId="0" fontId="14" fillId="4" borderId="32" xfId="0" applyFont="1" applyFill="1" applyBorder="1" applyAlignment="1">
      <alignment horizontal="center" vertical="center"/>
    </xf>
    <xf numFmtId="0" fontId="33" fillId="4" borderId="37" xfId="0" applyFont="1" applyFill="1" applyBorder="1" applyAlignment="1">
      <alignment vertical="center" wrapText="1"/>
    </xf>
    <xf numFmtId="0" fontId="14" fillId="4" borderId="53" xfId="0" applyFont="1" applyFill="1" applyBorder="1" applyAlignment="1">
      <alignment horizontal="center" vertical="center" wrapText="1"/>
    </xf>
    <xf numFmtId="0" fontId="14" fillId="4" borderId="54" xfId="0" applyFont="1" applyFill="1" applyBorder="1" applyAlignment="1">
      <alignment horizontal="center" vertical="center" wrapText="1"/>
    </xf>
    <xf numFmtId="0" fontId="14" fillId="4" borderId="59" xfId="0" applyFont="1" applyFill="1" applyBorder="1" applyAlignment="1">
      <alignment horizontal="center" vertical="center"/>
    </xf>
    <xf numFmtId="0" fontId="49" fillId="15" borderId="38" xfId="0" applyFont="1" applyFill="1" applyBorder="1" applyAlignment="1">
      <alignment vertical="center"/>
    </xf>
    <xf numFmtId="0" fontId="49" fillId="4" borderId="130" xfId="0" applyFont="1" applyFill="1" applyBorder="1" applyAlignment="1">
      <alignment horizontal="center" vertical="center" wrapText="1"/>
    </xf>
    <xf numFmtId="0" fontId="36" fillId="4" borderId="85" xfId="0" applyFont="1" applyFill="1" applyBorder="1" applyAlignment="1">
      <alignment horizontal="center" vertical="center"/>
    </xf>
    <xf numFmtId="0" fontId="36" fillId="4" borderId="86" xfId="0" applyFont="1" applyFill="1" applyBorder="1" applyAlignment="1">
      <alignment horizontal="center" vertical="center"/>
    </xf>
    <xf numFmtId="0" fontId="252" fillId="0" borderId="0" xfId="0" applyFont="1"/>
    <xf numFmtId="0" fontId="217" fillId="45" borderId="2" xfId="0" applyFont="1" applyFill="1" applyBorder="1" applyAlignment="1">
      <alignment horizontal="center" vertical="center" wrapText="1"/>
    </xf>
    <xf numFmtId="173" fontId="217" fillId="22" borderId="2" xfId="0" applyNumberFormat="1" applyFont="1" applyFill="1" applyBorder="1" applyAlignment="1">
      <alignment horizontal="center"/>
    </xf>
    <xf numFmtId="173" fontId="217" fillId="22" borderId="2" xfId="0" applyNumberFormat="1" applyFont="1" applyFill="1" applyBorder="1" applyAlignment="1">
      <alignment horizontal="left"/>
    </xf>
    <xf numFmtId="0" fontId="0" fillId="0" borderId="0" xfId="0" applyAlignment="1">
      <alignment vertical="center"/>
    </xf>
    <xf numFmtId="0" fontId="0" fillId="22" borderId="162" xfId="0" applyFill="1" applyBorder="1" applyAlignment="1">
      <alignment horizontal="left" vertical="center"/>
    </xf>
    <xf numFmtId="3" fontId="2" fillId="46" borderId="166" xfId="0" applyNumberFormat="1" applyFont="1" applyFill="1" applyBorder="1" applyAlignment="1">
      <alignment horizontal="center" vertical="center"/>
    </xf>
    <xf numFmtId="3" fontId="2" fillId="46" borderId="162" xfId="0" applyNumberFormat="1" applyFont="1" applyFill="1" applyBorder="1" applyAlignment="1">
      <alignment horizontal="center" vertical="center"/>
    </xf>
    <xf numFmtId="0" fontId="272" fillId="38" borderId="162" xfId="0" applyFont="1" applyFill="1" applyBorder="1" applyAlignment="1">
      <alignment horizontal="center" vertical="center"/>
    </xf>
    <xf numFmtId="3" fontId="29" fillId="73" borderId="161" xfId="0" applyNumberFormat="1" applyFont="1" applyFill="1" applyBorder="1" applyAlignment="1">
      <alignment horizontal="center" vertical="center"/>
    </xf>
    <xf numFmtId="3" fontId="278" fillId="73" borderId="161" xfId="0" applyNumberFormat="1" applyFont="1" applyFill="1" applyBorder="1" applyAlignment="1">
      <alignment horizontal="center" vertical="center"/>
    </xf>
    <xf numFmtId="3" fontId="33" fillId="46" borderId="161" xfId="0" applyNumberFormat="1" applyFont="1" applyFill="1" applyBorder="1" applyAlignment="1">
      <alignment horizontal="center" vertical="center"/>
    </xf>
    <xf numFmtId="0" fontId="279" fillId="38" borderId="161" xfId="0" applyFont="1" applyFill="1" applyBorder="1" applyAlignment="1">
      <alignment horizontal="center" vertical="center"/>
    </xf>
    <xf numFmtId="0" fontId="33" fillId="54" borderId="167" xfId="0" applyFont="1" applyFill="1" applyBorder="1" applyAlignment="1">
      <alignment horizontal="center" vertical="center"/>
    </xf>
    <xf numFmtId="3" fontId="33" fillId="46" borderId="167" xfId="0" applyNumberFormat="1" applyFont="1" applyFill="1" applyBorder="1" applyAlignment="1">
      <alignment horizontal="center" vertical="center"/>
    </xf>
    <xf numFmtId="0" fontId="29" fillId="0" borderId="161" xfId="0" applyFont="1" applyBorder="1" applyAlignment="1">
      <alignment horizontal="left" vertical="center"/>
    </xf>
    <xf numFmtId="0" fontId="33" fillId="54" borderId="171" xfId="0" applyFont="1" applyFill="1" applyBorder="1" applyAlignment="1">
      <alignment horizontal="center" vertical="center"/>
    </xf>
    <xf numFmtId="3" fontId="33" fillId="46" borderId="173" xfId="0" applyNumberFormat="1" applyFont="1" applyFill="1" applyBorder="1" applyAlignment="1">
      <alignment horizontal="center" vertical="center"/>
    </xf>
    <xf numFmtId="3" fontId="33" fillId="46" borderId="174" xfId="0" applyNumberFormat="1" applyFont="1" applyFill="1" applyBorder="1" applyAlignment="1">
      <alignment horizontal="center" vertical="center"/>
    </xf>
    <xf numFmtId="3" fontId="33" fillId="46" borderId="175" xfId="0" applyNumberFormat="1" applyFont="1" applyFill="1" applyBorder="1" applyAlignment="1">
      <alignment horizontal="center" vertical="center"/>
    </xf>
    <xf numFmtId="0" fontId="33" fillId="54" borderId="176" xfId="0" applyFont="1" applyFill="1" applyBorder="1" applyAlignment="1">
      <alignment horizontal="center" vertical="center"/>
    </xf>
    <xf numFmtId="0" fontId="29" fillId="0" borderId="177" xfId="0" applyFont="1" applyBorder="1" applyAlignment="1">
      <alignment horizontal="left" vertical="center"/>
    </xf>
    <xf numFmtId="3" fontId="29" fillId="73" borderId="177" xfId="0" applyNumberFormat="1" applyFont="1" applyFill="1" applyBorder="1" applyAlignment="1">
      <alignment horizontal="center" vertical="center"/>
    </xf>
    <xf numFmtId="3" fontId="278" fillId="73" borderId="177" xfId="0" applyNumberFormat="1" applyFont="1" applyFill="1" applyBorder="1" applyAlignment="1">
      <alignment horizontal="center" vertical="center"/>
    </xf>
    <xf numFmtId="3" fontId="29" fillId="73" borderId="178" xfId="0" applyNumberFormat="1" applyFont="1" applyFill="1" applyBorder="1" applyAlignment="1">
      <alignment horizontal="center" vertical="center"/>
    </xf>
    <xf numFmtId="0" fontId="274" fillId="0" borderId="0" xfId="0" applyFont="1" applyAlignment="1">
      <alignment vertical="center"/>
    </xf>
    <xf numFmtId="0" fontId="277" fillId="0" borderId="0" xfId="0" applyFont="1" applyAlignment="1">
      <alignment horizontal="center" vertical="center"/>
    </xf>
    <xf numFmtId="0" fontId="281" fillId="0" borderId="0" xfId="0" applyFont="1" applyAlignment="1">
      <alignment horizontal="center" vertical="center"/>
    </xf>
    <xf numFmtId="0" fontId="33" fillId="54" borderId="167" xfId="0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3" fontId="33" fillId="0" borderId="0" xfId="0" applyNumberFormat="1" applyFont="1" applyAlignment="1">
      <alignment horizontal="center" vertical="center"/>
    </xf>
    <xf numFmtId="0" fontId="33" fillId="54" borderId="183" xfId="0" applyFont="1" applyFill="1" applyBorder="1" applyAlignment="1">
      <alignment horizontal="center" vertical="center"/>
    </xf>
    <xf numFmtId="0" fontId="33" fillId="54" borderId="184" xfId="0" applyFont="1" applyFill="1" applyBorder="1" applyAlignment="1">
      <alignment horizontal="center" vertical="center" wrapText="1"/>
    </xf>
    <xf numFmtId="3" fontId="29" fillId="73" borderId="172" xfId="0" applyNumberFormat="1" applyFont="1" applyFill="1" applyBorder="1" applyAlignment="1">
      <alignment horizontal="center" vertical="center"/>
    </xf>
    <xf numFmtId="0" fontId="33" fillId="54" borderId="184" xfId="0" applyFont="1" applyFill="1" applyBorder="1" applyAlignment="1">
      <alignment horizontal="center" vertical="center"/>
    </xf>
    <xf numFmtId="3" fontId="278" fillId="73" borderId="172" xfId="0" applyNumberFormat="1" applyFont="1" applyFill="1" applyBorder="1" applyAlignment="1">
      <alignment horizontal="center" vertical="center"/>
    </xf>
    <xf numFmtId="0" fontId="33" fillId="54" borderId="176" xfId="0" applyFont="1" applyFill="1" applyBorder="1" applyAlignment="1">
      <alignment horizontal="center" vertical="center" wrapText="1"/>
    </xf>
    <xf numFmtId="3" fontId="33" fillId="46" borderId="25" xfId="0" applyNumberFormat="1" applyFont="1" applyFill="1" applyBorder="1" applyAlignment="1">
      <alignment horizontal="center" vertical="center"/>
    </xf>
    <xf numFmtId="165" fontId="15" fillId="16" borderId="0" xfId="0" applyNumberFormat="1" applyFont="1" applyFill="1" applyAlignment="1">
      <alignment horizontal="center"/>
    </xf>
    <xf numFmtId="2" fontId="125" fillId="16" borderId="0" xfId="0" applyNumberFormat="1" applyFont="1" applyFill="1"/>
    <xf numFmtId="2" fontId="125" fillId="43" borderId="0" xfId="0" applyNumberFormat="1" applyFont="1" applyFill="1"/>
    <xf numFmtId="165" fontId="14" fillId="43" borderId="0" xfId="0" applyNumberFormat="1" applyFont="1" applyFill="1" applyAlignment="1">
      <alignment vertical="center"/>
    </xf>
    <xf numFmtId="0" fontId="47" fillId="30" borderId="0" xfId="0" applyFont="1" applyFill="1"/>
    <xf numFmtId="0" fontId="15" fillId="30" borderId="0" xfId="0" applyFont="1" applyFill="1" applyAlignment="1">
      <alignment horizontal="center" vertical="center"/>
    </xf>
    <xf numFmtId="0" fontId="14" fillId="30" borderId="0" xfId="0" applyFont="1" applyFill="1" applyAlignment="1">
      <alignment horizontal="center" vertical="center" wrapText="1"/>
    </xf>
    <xf numFmtId="165" fontId="15" fillId="30" borderId="0" xfId="0" applyNumberFormat="1" applyFont="1" applyFill="1" applyAlignment="1">
      <alignment horizontal="center"/>
    </xf>
    <xf numFmtId="2" fontId="125" fillId="30" borderId="0" xfId="0" applyNumberFormat="1" applyFont="1" applyFill="1"/>
    <xf numFmtId="2" fontId="125" fillId="0" borderId="0" xfId="0" applyNumberFormat="1" applyFont="1"/>
    <xf numFmtId="0" fontId="46" fillId="35" borderId="27" xfId="0" applyFont="1" applyFill="1" applyBorder="1" applyAlignment="1">
      <alignment vertical="center"/>
    </xf>
    <xf numFmtId="3" fontId="29" fillId="19" borderId="161" xfId="0" applyNumberFormat="1" applyFont="1" applyFill="1" applyBorder="1" applyAlignment="1">
      <alignment horizontal="center" vertical="center"/>
    </xf>
    <xf numFmtId="0" fontId="163" fillId="0" borderId="0" xfId="0" applyFont="1" applyAlignment="1">
      <alignment vertical="center"/>
    </xf>
    <xf numFmtId="0" fontId="0" fillId="22" borderId="190" xfId="0" applyFill="1" applyBorder="1" applyAlignment="1">
      <alignment horizontal="center" vertical="center"/>
    </xf>
    <xf numFmtId="0" fontId="276" fillId="62" borderId="191" xfId="0" applyFont="1" applyFill="1" applyBorder="1" applyAlignment="1">
      <alignment horizontal="center" vertical="center"/>
    </xf>
    <xf numFmtId="0" fontId="2" fillId="46" borderId="192" xfId="0" applyFont="1" applyFill="1" applyBorder="1" applyAlignment="1">
      <alignment horizontal="center" vertical="center"/>
    </xf>
    <xf numFmtId="2" fontId="4" fillId="0" borderId="0" xfId="0" applyNumberFormat="1" applyFont="1"/>
    <xf numFmtId="2" fontId="123" fillId="0" borderId="0" xfId="0" applyNumberFormat="1" applyFont="1" applyAlignment="1">
      <alignment horizontal="right"/>
    </xf>
    <xf numFmtId="0" fontId="236" fillId="0" borderId="99" xfId="0" applyFont="1" applyBorder="1" applyAlignment="1">
      <alignment horizontal="center" vertical="center"/>
    </xf>
    <xf numFmtId="0" fontId="236" fillId="0" borderId="102" xfId="0" applyFont="1" applyBorder="1" applyAlignment="1">
      <alignment horizontal="center" vertical="center"/>
    </xf>
    <xf numFmtId="165" fontId="157" fillId="0" borderId="36" xfId="0" applyNumberFormat="1" applyFont="1" applyBorder="1" applyAlignment="1" applyProtection="1">
      <alignment horizontal="center" vertical="center"/>
      <protection locked="0"/>
    </xf>
    <xf numFmtId="176" fontId="14" fillId="0" borderId="0" xfId="0" applyNumberFormat="1" applyFont="1" applyAlignment="1">
      <alignment horizontal="center" vertical="center" wrapText="1"/>
    </xf>
    <xf numFmtId="0" fontId="14" fillId="0" borderId="92" xfId="0" applyFont="1" applyBorder="1" applyAlignment="1">
      <alignment horizontal="center"/>
    </xf>
    <xf numFmtId="0" fontId="32" fillId="0" borderId="86" xfId="0" applyFont="1" applyBorder="1" applyAlignment="1" applyProtection="1">
      <alignment horizontal="center" vertic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0" fontId="32" fillId="0" borderId="66" xfId="0" applyFont="1" applyBorder="1" applyAlignment="1" applyProtection="1">
      <alignment horizontal="center" vertical="center"/>
      <protection locked="0"/>
    </xf>
    <xf numFmtId="0" fontId="32" fillId="0" borderId="88" xfId="0" applyFont="1" applyBorder="1" applyAlignment="1" applyProtection="1">
      <alignment horizontal="center" vertical="center"/>
      <protection locked="0"/>
    </xf>
    <xf numFmtId="0" fontId="32" fillId="0" borderId="11" xfId="0" applyFont="1" applyBorder="1" applyAlignment="1" applyProtection="1">
      <alignment horizontal="center" vertical="center"/>
      <protection locked="0"/>
    </xf>
    <xf numFmtId="0" fontId="32" fillId="0" borderId="42" xfId="0" applyFont="1" applyBorder="1" applyAlignment="1" applyProtection="1">
      <alignment horizontal="center" vertical="center"/>
      <protection locked="0"/>
    </xf>
    <xf numFmtId="0" fontId="32" fillId="0" borderId="8" xfId="0" applyFont="1" applyBorder="1" applyAlignment="1" applyProtection="1">
      <alignment horizontal="center" vertical="center"/>
      <protection locked="0"/>
    </xf>
    <xf numFmtId="0" fontId="32" fillId="0" borderId="64" xfId="0" applyFont="1" applyBorder="1" applyAlignment="1" applyProtection="1">
      <alignment horizontal="center" vertical="center"/>
      <protection locked="0"/>
    </xf>
    <xf numFmtId="0" fontId="32" fillId="0" borderId="22" xfId="0" applyFont="1" applyBorder="1" applyAlignment="1" applyProtection="1">
      <alignment horizontal="center" vertical="center"/>
      <protection locked="0"/>
    </xf>
    <xf numFmtId="0" fontId="32" fillId="0" borderId="35" xfId="0" applyFont="1" applyBorder="1" applyAlignment="1" applyProtection="1">
      <alignment horizontal="center" vertical="center"/>
      <protection locked="0"/>
    </xf>
    <xf numFmtId="0" fontId="32" fillId="0" borderId="65" xfId="0" applyFont="1" applyBorder="1" applyAlignment="1" applyProtection="1">
      <alignment horizontal="center" vertical="center"/>
      <protection locked="0"/>
    </xf>
    <xf numFmtId="0" fontId="32" fillId="0" borderId="37" xfId="0" applyFont="1" applyBorder="1" applyAlignment="1" applyProtection="1">
      <alignment horizontal="center" vertical="center"/>
      <protection locked="0"/>
    </xf>
    <xf numFmtId="0" fontId="32" fillId="0" borderId="82" xfId="0" applyFont="1" applyBorder="1" applyAlignment="1" applyProtection="1">
      <alignment horizontal="center" vertical="center"/>
      <protection locked="0"/>
    </xf>
    <xf numFmtId="0" fontId="32" fillId="0" borderId="59" xfId="0" applyFont="1" applyBorder="1" applyAlignment="1" applyProtection="1">
      <alignment horizontal="center" vertical="center"/>
      <protection locked="0"/>
    </xf>
    <xf numFmtId="0" fontId="246" fillId="0" borderId="50" xfId="0" applyFont="1" applyBorder="1" applyAlignment="1">
      <alignment horizontal="center"/>
    </xf>
    <xf numFmtId="0" fontId="246" fillId="0" borderId="27" xfId="0" applyFont="1" applyBorder="1" applyAlignment="1">
      <alignment horizontal="center"/>
    </xf>
    <xf numFmtId="0" fontId="246" fillId="0" borderId="29" xfId="0" applyFont="1" applyBorder="1" applyAlignment="1">
      <alignment horizontal="center"/>
    </xf>
    <xf numFmtId="1" fontId="39" fillId="0" borderId="116" xfId="0" applyNumberFormat="1" applyFont="1" applyBorder="1" applyAlignment="1">
      <alignment horizontal="center"/>
    </xf>
    <xf numFmtId="0" fontId="39" fillId="0" borderId="144" xfId="0" applyFont="1" applyBorder="1" applyAlignment="1">
      <alignment horizontal="left"/>
    </xf>
    <xf numFmtId="168" fontId="282" fillId="0" borderId="0" xfId="0" applyNumberFormat="1" applyFont="1" applyAlignment="1">
      <alignment horizontal="center" vertical="center"/>
    </xf>
    <xf numFmtId="0" fontId="283" fillId="0" borderId="0" xfId="0" applyFont="1"/>
    <xf numFmtId="165" fontId="282" fillId="0" borderId="0" xfId="0" applyNumberFormat="1" applyFont="1" applyAlignment="1">
      <alignment horizontal="center" vertical="center"/>
    </xf>
    <xf numFmtId="2" fontId="283" fillId="0" borderId="0" xfId="0" applyNumberFormat="1" applyFont="1"/>
    <xf numFmtId="178" fontId="41" fillId="0" borderId="0" xfId="0" applyNumberFormat="1" applyFont="1" applyAlignment="1">
      <alignment vertical="center"/>
    </xf>
    <xf numFmtId="0" fontId="9" fillId="0" borderId="31" xfId="0" applyFont="1" applyBorder="1"/>
    <xf numFmtId="0" fontId="14" fillId="19" borderId="0" xfId="0" applyFont="1" applyFill="1" applyAlignment="1">
      <alignment horizontal="left"/>
    </xf>
    <xf numFmtId="0" fontId="14" fillId="19" borderId="0" xfId="0" applyFont="1" applyFill="1" applyAlignment="1">
      <alignment horizontal="center"/>
    </xf>
    <xf numFmtId="165" fontId="14" fillId="19" borderId="0" xfId="0" applyNumberFormat="1" applyFont="1" applyFill="1" applyAlignment="1">
      <alignment horizontal="center"/>
    </xf>
    <xf numFmtId="168" fontId="14" fillId="10" borderId="0" xfId="0" applyNumberFormat="1" applyFont="1" applyFill="1" applyAlignment="1">
      <alignment horizontal="center" vertical="center"/>
    </xf>
    <xf numFmtId="3" fontId="29" fillId="74" borderId="172" xfId="0" applyNumberFormat="1" applyFont="1" applyFill="1" applyBorder="1" applyAlignment="1">
      <alignment horizontal="center" vertical="center"/>
    </xf>
    <xf numFmtId="0" fontId="0" fillId="22" borderId="165" xfId="0" applyFill="1" applyBorder="1" applyAlignment="1">
      <alignment horizontal="left" vertical="center"/>
    </xf>
    <xf numFmtId="3" fontId="29" fillId="73" borderId="167" xfId="0" applyNumberFormat="1" applyFont="1" applyFill="1" applyBorder="1" applyAlignment="1">
      <alignment horizontal="center" vertical="center"/>
    </xf>
    <xf numFmtId="0" fontId="33" fillId="54" borderId="193" xfId="0" applyFont="1" applyFill="1" applyBorder="1" applyAlignment="1">
      <alignment horizontal="center" vertical="center"/>
    </xf>
    <xf numFmtId="0" fontId="33" fillId="54" borderId="194" xfId="0" applyFont="1" applyFill="1" applyBorder="1" applyAlignment="1">
      <alignment horizontal="center" vertical="center" wrapText="1"/>
    </xf>
    <xf numFmtId="3" fontId="46" fillId="4" borderId="2" xfId="0" applyNumberFormat="1" applyFont="1" applyFill="1" applyBorder="1" applyAlignment="1">
      <alignment horizontal="center" vertical="center"/>
    </xf>
    <xf numFmtId="3" fontId="46" fillId="0" borderId="2" xfId="0" applyNumberFormat="1" applyFont="1" applyBorder="1" applyAlignment="1">
      <alignment horizontal="center" vertical="center"/>
    </xf>
    <xf numFmtId="0" fontId="32" fillId="0" borderId="50" xfId="0" applyFont="1" applyBorder="1" applyAlignment="1" applyProtection="1">
      <alignment horizontal="center" vertical="center"/>
      <protection locked="0"/>
    </xf>
    <xf numFmtId="0" fontId="32" fillId="0" borderId="27" xfId="0" applyFont="1" applyBorder="1" applyAlignment="1" applyProtection="1">
      <alignment horizontal="center" vertical="center"/>
      <protection locked="0"/>
    </xf>
    <xf numFmtId="0" fontId="32" fillId="0" borderId="84" xfId="0" applyFont="1" applyBorder="1" applyAlignment="1" applyProtection="1">
      <alignment horizontal="center" vertical="center"/>
      <protection locked="0"/>
    </xf>
    <xf numFmtId="0" fontId="32" fillId="0" borderId="89" xfId="0" applyFont="1" applyBorder="1" applyAlignment="1" applyProtection="1">
      <alignment horizontal="center" vertical="center"/>
      <protection locked="0"/>
    </xf>
    <xf numFmtId="0" fontId="32" fillId="0" borderId="39" xfId="0" applyFont="1" applyBorder="1" applyAlignment="1" applyProtection="1">
      <alignment horizontal="center" vertical="center"/>
      <protection locked="0"/>
    </xf>
    <xf numFmtId="0" fontId="32" fillId="0" borderId="46" xfId="0" applyFont="1" applyBorder="1" applyAlignment="1" applyProtection="1">
      <alignment horizontal="center" vertical="center"/>
      <protection locked="0"/>
    </xf>
    <xf numFmtId="0" fontId="32" fillId="0" borderId="146" xfId="0" applyFont="1" applyBorder="1" applyAlignment="1" applyProtection="1">
      <alignment horizontal="center" vertical="center"/>
      <protection locked="0"/>
    </xf>
    <xf numFmtId="0" fontId="32" fillId="0" borderId="29" xfId="0" applyFont="1" applyBorder="1" applyAlignment="1" applyProtection="1">
      <alignment horizontal="center" vertical="center"/>
      <protection locked="0"/>
    </xf>
    <xf numFmtId="0" fontId="32" fillId="0" borderId="58" xfId="0" applyFont="1" applyBorder="1" applyAlignment="1" applyProtection="1">
      <alignment horizontal="center" vertical="center"/>
      <protection locked="0"/>
    </xf>
    <xf numFmtId="178" fontId="195" fillId="0" borderId="0" xfId="0" applyNumberFormat="1" applyFont="1"/>
    <xf numFmtId="0" fontId="46" fillId="70" borderId="2" xfId="0" applyFont="1" applyFill="1" applyBorder="1" applyAlignment="1">
      <alignment horizontal="center" vertical="center"/>
    </xf>
    <xf numFmtId="1" fontId="257" fillId="35" borderId="0" xfId="0" applyNumberFormat="1" applyFont="1" applyFill="1"/>
    <xf numFmtId="0" fontId="29" fillId="35" borderId="0" xfId="0" applyFont="1" applyFill="1"/>
    <xf numFmtId="1" fontId="259" fillId="0" borderId="2" xfId="0" applyNumberFormat="1" applyFont="1" applyBorder="1" applyAlignment="1">
      <alignment horizontal="center"/>
    </xf>
    <xf numFmtId="0" fontId="0" fillId="35" borderId="0" xfId="0" applyFill="1" applyProtection="1">
      <protection locked="0"/>
    </xf>
    <xf numFmtId="0" fontId="29" fillId="35" borderId="0" xfId="0" applyFont="1" applyFill="1" applyProtection="1">
      <protection locked="0"/>
    </xf>
    <xf numFmtId="1" fontId="200" fillId="0" borderId="2" xfId="0" applyNumberFormat="1" applyFont="1" applyBorder="1" applyAlignment="1">
      <alignment horizontal="center"/>
    </xf>
    <xf numFmtId="167" fontId="49" fillId="0" borderId="56" xfId="0" applyNumberFormat="1" applyFont="1" applyBorder="1" applyAlignment="1">
      <alignment horizontal="center" vertical="center"/>
    </xf>
    <xf numFmtId="167" fontId="49" fillId="0" borderId="47" xfId="0" applyNumberFormat="1" applyFont="1" applyBorder="1" applyAlignment="1">
      <alignment horizontal="center" vertical="center"/>
    </xf>
    <xf numFmtId="167" fontId="49" fillId="0" borderId="52" xfId="0" applyNumberFormat="1" applyFont="1" applyBorder="1" applyAlignment="1">
      <alignment horizontal="center" vertical="center"/>
    </xf>
    <xf numFmtId="167" fontId="49" fillId="0" borderId="33" xfId="0" applyNumberFormat="1" applyFont="1" applyBorder="1" applyAlignment="1">
      <alignment horizontal="center" vertical="center"/>
    </xf>
    <xf numFmtId="0" fontId="49" fillId="51" borderId="63" xfId="0" applyFont="1" applyFill="1" applyBorder="1" applyAlignment="1" applyProtection="1">
      <alignment horizontal="center" vertical="center"/>
      <protection locked="0"/>
    </xf>
    <xf numFmtId="0" fontId="49" fillId="51" borderId="69" xfId="0" applyFont="1" applyFill="1" applyBorder="1" applyAlignment="1" applyProtection="1">
      <alignment horizontal="center" vertical="center"/>
      <protection locked="0"/>
    </xf>
    <xf numFmtId="0" fontId="49" fillId="0" borderId="82" xfId="0" applyFont="1" applyBorder="1" applyAlignment="1">
      <alignment horizontal="center" vertical="center"/>
    </xf>
    <xf numFmtId="0" fontId="49" fillId="0" borderId="15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49" fillId="4" borderId="2" xfId="0" applyFont="1" applyFill="1" applyBorder="1" applyAlignment="1">
      <alignment horizontal="center" vertical="center"/>
    </xf>
    <xf numFmtId="0" fontId="49" fillId="51" borderId="70" xfId="0" applyFont="1" applyFill="1" applyBorder="1" applyAlignment="1" applyProtection="1">
      <alignment horizontal="center" vertical="center" wrapText="1"/>
      <protection locked="0"/>
    </xf>
    <xf numFmtId="0" fontId="49" fillId="51" borderId="63" xfId="0" applyFont="1" applyFill="1" applyBorder="1" applyAlignment="1" applyProtection="1">
      <alignment horizontal="center" vertical="center" wrapText="1"/>
      <protection locked="0"/>
    </xf>
    <xf numFmtId="0" fontId="49" fillId="35" borderId="63" xfId="0" applyFont="1" applyFill="1" applyBorder="1" applyAlignment="1" applyProtection="1">
      <alignment horizontal="center" vertical="center" wrapText="1"/>
      <protection locked="0"/>
    </xf>
    <xf numFmtId="0" fontId="49" fillId="0" borderId="5" xfId="0" applyFont="1" applyBorder="1" applyAlignment="1">
      <alignment horizontal="center" vertical="center"/>
    </xf>
    <xf numFmtId="0" fontId="49" fillId="0" borderId="6" xfId="0" applyFont="1" applyBorder="1" applyAlignment="1">
      <alignment horizontal="center" vertical="center"/>
    </xf>
    <xf numFmtId="0" fontId="49" fillId="0" borderId="8" xfId="0" applyFont="1" applyBorder="1" applyAlignment="1">
      <alignment horizontal="center" vertical="center"/>
    </xf>
    <xf numFmtId="0" fontId="49" fillId="0" borderId="10" xfId="0" applyFont="1" applyBorder="1" applyAlignment="1">
      <alignment horizontal="center" vertical="center"/>
    </xf>
    <xf numFmtId="0" fontId="49" fillId="0" borderId="11" xfId="0" applyFont="1" applyBorder="1" applyAlignment="1">
      <alignment horizontal="center" vertical="center"/>
    </xf>
    <xf numFmtId="0" fontId="45" fillId="0" borderId="8" xfId="0" applyFont="1" applyBorder="1" applyAlignment="1">
      <alignment horizontal="center" vertical="center"/>
    </xf>
    <xf numFmtId="0" fontId="49" fillId="0" borderId="54" xfId="0" applyFont="1" applyBorder="1" applyAlignment="1">
      <alignment horizontal="center" vertical="center"/>
    </xf>
    <xf numFmtId="0" fontId="49" fillId="0" borderId="55" xfId="0" applyFont="1" applyBorder="1" applyAlignment="1">
      <alignment horizontal="center" vertical="center"/>
    </xf>
    <xf numFmtId="1" fontId="14" fillId="0" borderId="9" xfId="5" applyNumberFormat="1" applyFont="1" applyBorder="1" applyAlignment="1" applyProtection="1">
      <alignment horizontal="center" vertical="center" wrapText="1"/>
      <protection locked="0"/>
    </xf>
    <xf numFmtId="1" fontId="14" fillId="0" borderId="10" xfId="5" applyNumberFormat="1" applyFont="1" applyBorder="1" applyAlignment="1" applyProtection="1">
      <alignment horizontal="center" vertical="center" wrapText="1"/>
      <protection locked="0"/>
    </xf>
    <xf numFmtId="0" fontId="49" fillId="4" borderId="8" xfId="0" applyFont="1" applyFill="1" applyBorder="1" applyAlignment="1">
      <alignment horizontal="center" vertical="center"/>
    </xf>
    <xf numFmtId="1" fontId="14" fillId="0" borderId="85" xfId="5" applyNumberFormat="1" applyFont="1" applyBorder="1" applyAlignment="1" applyProtection="1">
      <alignment horizontal="center" vertical="center"/>
      <protection locked="0"/>
    </xf>
    <xf numFmtId="1" fontId="14" fillId="0" borderId="86" xfId="5" applyNumberFormat="1" applyFont="1" applyBorder="1" applyAlignment="1" applyProtection="1">
      <alignment horizontal="center" vertical="center"/>
      <protection locked="0"/>
    </xf>
    <xf numFmtId="1" fontId="14" fillId="0" borderId="86" xfId="0" applyNumberFormat="1" applyFont="1" applyBorder="1" applyAlignment="1" applyProtection="1">
      <alignment horizontal="center" vertical="center"/>
      <protection locked="0"/>
    </xf>
    <xf numFmtId="0" fontId="49" fillId="0" borderId="86" xfId="0" applyFont="1" applyBorder="1" applyAlignment="1" applyProtection="1">
      <alignment horizontal="center" vertical="center"/>
      <protection locked="0"/>
    </xf>
    <xf numFmtId="0" fontId="49" fillId="4" borderId="86" xfId="0" applyFont="1" applyFill="1" applyBorder="1" applyAlignment="1" applyProtection="1">
      <alignment horizontal="center" vertical="center"/>
      <protection locked="0"/>
    </xf>
    <xf numFmtId="0" fontId="199" fillId="69" borderId="2" xfId="0" applyFont="1" applyFill="1" applyBorder="1" applyAlignment="1">
      <alignment horizontal="center"/>
    </xf>
    <xf numFmtId="3" fontId="33" fillId="0" borderId="173" xfId="0" applyNumberFormat="1" applyFont="1" applyBorder="1" applyAlignment="1">
      <alignment horizontal="center" vertical="center"/>
    </xf>
    <xf numFmtId="0" fontId="0" fillId="22" borderId="188" xfId="0" applyFill="1" applyBorder="1" applyAlignment="1">
      <alignment horizontal="center" vertical="center"/>
    </xf>
    <xf numFmtId="0" fontId="276" fillId="62" borderId="189" xfId="0" applyFont="1" applyFill="1" applyBorder="1" applyAlignment="1">
      <alignment horizontal="center" vertical="center"/>
    </xf>
    <xf numFmtId="0" fontId="2" fillId="46" borderId="195" xfId="0" applyFont="1" applyFill="1" applyBorder="1" applyAlignment="1">
      <alignment horizontal="center" vertical="center"/>
    </xf>
    <xf numFmtId="0" fontId="0" fillId="22" borderId="196" xfId="0" applyFill="1" applyBorder="1" applyAlignment="1">
      <alignment horizontal="center" vertical="center"/>
    </xf>
    <xf numFmtId="0" fontId="287" fillId="0" borderId="0" xfId="0" applyFont="1"/>
    <xf numFmtId="0" fontId="288" fillId="2" borderId="33" xfId="0" applyFont="1" applyFill="1" applyBorder="1" applyAlignment="1">
      <alignment horizontal="center" vertical="center" wrapText="1"/>
    </xf>
    <xf numFmtId="0" fontId="61" fillId="8" borderId="25" xfId="0" applyFont="1" applyFill="1" applyBorder="1" applyAlignment="1">
      <alignment horizontal="center" vertical="center" wrapText="1"/>
    </xf>
    <xf numFmtId="0" fontId="288" fillId="2" borderId="32" xfId="0" applyFont="1" applyFill="1" applyBorder="1" applyAlignment="1">
      <alignment horizontal="center" vertical="center" wrapText="1"/>
    </xf>
    <xf numFmtId="0" fontId="164" fillId="56" borderId="149" xfId="0" applyFont="1" applyFill="1" applyBorder="1" applyAlignment="1">
      <alignment horizontal="center" wrapText="1"/>
    </xf>
    <xf numFmtId="0" fontId="164" fillId="56" borderId="152" xfId="0" applyFont="1" applyFill="1" applyBorder="1" applyAlignment="1">
      <alignment horizontal="center" wrapText="1"/>
    </xf>
    <xf numFmtId="0" fontId="164" fillId="58" borderId="150" xfId="0" applyFont="1" applyFill="1" applyBorder="1" applyAlignment="1">
      <alignment horizontal="center" wrapText="1"/>
    </xf>
    <xf numFmtId="0" fontId="164" fillId="58" borderId="149" xfId="0" applyFont="1" applyFill="1" applyBorder="1" applyAlignment="1">
      <alignment horizontal="center" wrapText="1"/>
    </xf>
    <xf numFmtId="0" fontId="164" fillId="58" borderId="152" xfId="0" applyFont="1" applyFill="1" applyBorder="1" applyAlignment="1">
      <alignment horizontal="center" wrapText="1"/>
    </xf>
    <xf numFmtId="0" fontId="164" fillId="50" borderId="150" xfId="0" applyFont="1" applyFill="1" applyBorder="1" applyAlignment="1">
      <alignment horizontal="center" wrapText="1"/>
    </xf>
    <xf numFmtId="0" fontId="164" fillId="50" borderId="149" xfId="0" applyFont="1" applyFill="1" applyBorder="1" applyAlignment="1">
      <alignment horizontal="center" wrapText="1"/>
    </xf>
    <xf numFmtId="0" fontId="164" fillId="50" borderId="152" xfId="0" applyFont="1" applyFill="1" applyBorder="1" applyAlignment="1">
      <alignment horizontal="center" wrapText="1"/>
    </xf>
    <xf numFmtId="0" fontId="164" fillId="59" borderId="150" xfId="0" applyFont="1" applyFill="1" applyBorder="1" applyAlignment="1">
      <alignment horizontal="center" wrapText="1"/>
    </xf>
    <xf numFmtId="0" fontId="164" fillId="59" borderId="149" xfId="0" applyFont="1" applyFill="1" applyBorder="1" applyAlignment="1">
      <alignment horizontal="center" wrapText="1"/>
    </xf>
    <xf numFmtId="0" fontId="164" fillId="59" borderId="152" xfId="0" applyFont="1" applyFill="1" applyBorder="1" applyAlignment="1">
      <alignment horizontal="center" wrapText="1"/>
    </xf>
    <xf numFmtId="0" fontId="164" fillId="38" borderId="150" xfId="0" applyFont="1" applyFill="1" applyBorder="1" applyAlignment="1">
      <alignment horizontal="center" wrapText="1"/>
    </xf>
    <xf numFmtId="0" fontId="164" fillId="38" borderId="148" xfId="0" applyFont="1" applyFill="1" applyBorder="1" applyAlignment="1">
      <alignment horizontal="center" wrapText="1"/>
    </xf>
    <xf numFmtId="0" fontId="164" fillId="60" borderId="153" xfId="0" applyFont="1" applyFill="1" applyBorder="1" applyAlignment="1">
      <alignment horizontal="center" wrapText="1"/>
    </xf>
    <xf numFmtId="0" fontId="229" fillId="61" borderId="149" xfId="0" applyFont="1" applyFill="1" applyBorder="1" applyAlignment="1">
      <alignment horizontal="center"/>
    </xf>
    <xf numFmtId="0" fontId="229" fillId="61" borderId="152" xfId="0" applyFont="1" applyFill="1" applyBorder="1" applyAlignment="1">
      <alignment horizontal="left"/>
    </xf>
    <xf numFmtId="168" fontId="229" fillId="62" borderId="150" xfId="0" applyNumberFormat="1" applyFont="1" applyFill="1" applyBorder="1" applyAlignment="1">
      <alignment horizontal="center"/>
    </xf>
    <xf numFmtId="168" fontId="229" fillId="62" borderId="149" xfId="0" applyNumberFormat="1" applyFont="1" applyFill="1" applyBorder="1" applyAlignment="1">
      <alignment horizontal="center"/>
    </xf>
    <xf numFmtId="168" fontId="229" fillId="62" borderId="152" xfId="0" applyNumberFormat="1" applyFont="1" applyFill="1" applyBorder="1" applyAlignment="1">
      <alignment horizontal="center"/>
    </xf>
    <xf numFmtId="168" fontId="229" fillId="63" borderId="150" xfId="0" applyNumberFormat="1" applyFont="1" applyFill="1" applyBorder="1" applyAlignment="1">
      <alignment horizontal="center"/>
    </xf>
    <xf numFmtId="0" fontId="229" fillId="63" borderId="149" xfId="0" applyFont="1" applyFill="1" applyBorder="1" applyAlignment="1">
      <alignment horizontal="center"/>
    </xf>
    <xf numFmtId="3" fontId="229" fillId="63" borderId="152" xfId="0" applyNumberFormat="1" applyFont="1" applyFill="1" applyBorder="1" applyAlignment="1">
      <alignment horizontal="center"/>
    </xf>
    <xf numFmtId="168" fontId="229" fillId="64" borderId="150" xfId="0" applyNumberFormat="1" applyFont="1" applyFill="1" applyBorder="1" applyAlignment="1">
      <alignment horizontal="center"/>
    </xf>
    <xf numFmtId="0" fontId="229" fillId="64" borderId="149" xfId="0" applyFont="1" applyFill="1" applyBorder="1" applyAlignment="1">
      <alignment horizontal="center"/>
    </xf>
    <xf numFmtId="3" fontId="229" fillId="64" borderId="152" xfId="0" applyNumberFormat="1" applyFont="1" applyFill="1" applyBorder="1" applyAlignment="1">
      <alignment horizontal="center"/>
    </xf>
    <xf numFmtId="168" fontId="229" fillId="65" borderId="150" xfId="0" applyNumberFormat="1" applyFont="1" applyFill="1" applyBorder="1" applyAlignment="1">
      <alignment horizontal="center"/>
    </xf>
    <xf numFmtId="168" fontId="229" fillId="65" borderId="148" xfId="0" applyNumberFormat="1" applyFont="1" applyFill="1" applyBorder="1" applyAlignment="1">
      <alignment horizontal="center"/>
    </xf>
    <xf numFmtId="0" fontId="164" fillId="66" borderId="153" xfId="0" applyFont="1" applyFill="1" applyBorder="1" applyAlignment="1">
      <alignment horizontal="center"/>
    </xf>
    <xf numFmtId="0" fontId="289" fillId="15" borderId="0" xfId="0" applyFont="1" applyFill="1" applyAlignment="1">
      <alignment horizontal="center"/>
    </xf>
    <xf numFmtId="0" fontId="290" fillId="0" borderId="0" xfId="0" applyFont="1" applyAlignment="1">
      <alignment horizontal="center"/>
    </xf>
    <xf numFmtId="0" fontId="291" fillId="41" borderId="23" xfId="0" applyFont="1" applyFill="1" applyBorder="1" applyAlignment="1">
      <alignment horizontal="center"/>
    </xf>
    <xf numFmtId="0" fontId="291" fillId="2" borderId="23" xfId="0" applyFont="1" applyFill="1" applyBorder="1" applyAlignment="1">
      <alignment horizontal="center"/>
    </xf>
    <xf numFmtId="0" fontId="291" fillId="22" borderId="23" xfId="0" applyFont="1" applyFill="1" applyBorder="1" applyAlignment="1">
      <alignment horizontal="center"/>
    </xf>
    <xf numFmtId="0" fontId="291" fillId="40" borderId="23" xfId="0" applyFont="1" applyFill="1" applyBorder="1" applyAlignment="1">
      <alignment horizontal="center"/>
    </xf>
    <xf numFmtId="0" fontId="291" fillId="24" borderId="23" xfId="0" applyFont="1" applyFill="1" applyBorder="1" applyAlignment="1">
      <alignment horizontal="center"/>
    </xf>
    <xf numFmtId="0" fontId="291" fillId="42" borderId="23" xfId="0" applyFont="1" applyFill="1" applyBorder="1" applyAlignment="1">
      <alignment horizontal="center"/>
    </xf>
    <xf numFmtId="0" fontId="292" fillId="4" borderId="23" xfId="0" applyFont="1" applyFill="1" applyBorder="1"/>
    <xf numFmtId="0" fontId="291" fillId="9" borderId="23" xfId="0" applyFont="1" applyFill="1" applyBorder="1" applyAlignment="1">
      <alignment horizontal="center"/>
    </xf>
    <xf numFmtId="0" fontId="291" fillId="55" borderId="23" xfId="0" applyFont="1" applyFill="1" applyBorder="1" applyAlignment="1">
      <alignment horizontal="center"/>
    </xf>
    <xf numFmtId="0" fontId="291" fillId="5" borderId="23" xfId="0" applyFont="1" applyFill="1" applyBorder="1" applyAlignment="1">
      <alignment horizontal="center"/>
    </xf>
    <xf numFmtId="0" fontId="291" fillId="38" borderId="23" xfId="0" applyFont="1" applyFill="1" applyBorder="1" applyAlignment="1">
      <alignment horizontal="center"/>
    </xf>
    <xf numFmtId="0" fontId="217" fillId="15" borderId="2" xfId="0" applyFont="1" applyFill="1" applyBorder="1" applyAlignment="1">
      <alignment horizontal="center" vertical="center" wrapText="1"/>
    </xf>
    <xf numFmtId="178" fontId="15" fillId="0" borderId="0" xfId="0" applyNumberFormat="1" applyFont="1"/>
    <xf numFmtId="0" fontId="254" fillId="0" borderId="0" xfId="0" applyFont="1" applyAlignment="1">
      <alignment wrapText="1"/>
    </xf>
    <xf numFmtId="0" fontId="141" fillId="0" borderId="26" xfId="0" applyFont="1" applyBorder="1" applyAlignment="1">
      <alignment horizontal="center" vertical="center"/>
    </xf>
    <xf numFmtId="0" fontId="141" fillId="0" borderId="67" xfId="0" applyFont="1" applyBorder="1" applyAlignment="1">
      <alignment horizontal="center" vertical="center"/>
    </xf>
    <xf numFmtId="0" fontId="294" fillId="23" borderId="93" xfId="37" applyFont="1" applyFill="1" applyBorder="1" applyAlignment="1">
      <alignment horizontal="center" vertical="center"/>
    </xf>
    <xf numFmtId="0" fontId="295" fillId="0" borderId="93" xfId="37" applyFont="1" applyBorder="1" applyAlignment="1">
      <alignment horizontal="center"/>
    </xf>
    <xf numFmtId="0" fontId="294" fillId="0" borderId="0" xfId="0" applyFont="1"/>
    <xf numFmtId="0" fontId="295" fillId="0" borderId="0" xfId="0" applyFont="1"/>
    <xf numFmtId="0" fontId="24" fillId="45" borderId="162" xfId="0" applyFont="1" applyFill="1" applyBorder="1" applyAlignment="1">
      <alignment horizontal="center"/>
    </xf>
    <xf numFmtId="0" fontId="84" fillId="0" borderId="162" xfId="0" applyFont="1" applyBorder="1"/>
    <xf numFmtId="4" fontId="84" fillId="0" borderId="162" xfId="0" applyNumberFormat="1" applyFont="1" applyBorder="1"/>
    <xf numFmtId="3" fontId="84" fillId="0" borderId="162" xfId="0" applyNumberFormat="1" applyFont="1" applyBorder="1"/>
    <xf numFmtId="0" fontId="298" fillId="47" borderId="164" xfId="0" applyFont="1" applyFill="1" applyBorder="1"/>
    <xf numFmtId="3" fontId="298" fillId="47" borderId="164" xfId="0" applyNumberFormat="1" applyFont="1" applyFill="1" applyBorder="1"/>
    <xf numFmtId="0" fontId="24" fillId="45" borderId="162" xfId="0" applyFont="1" applyFill="1" applyBorder="1" applyAlignment="1">
      <alignment horizontal="center" wrapText="1"/>
    </xf>
    <xf numFmtId="0" fontId="24" fillId="45" borderId="190" xfId="0" applyFont="1" applyFill="1" applyBorder="1" applyAlignment="1">
      <alignment horizontal="center"/>
    </xf>
    <xf numFmtId="0" fontId="24" fillId="45" borderId="191" xfId="0" applyFont="1" applyFill="1" applyBorder="1" applyAlignment="1">
      <alignment horizontal="center"/>
    </xf>
    <xf numFmtId="0" fontId="84" fillId="0" borderId="190" xfId="0" applyFont="1" applyBorder="1"/>
    <xf numFmtId="4" fontId="84" fillId="0" borderId="191" xfId="0" applyNumberFormat="1" applyFont="1" applyBorder="1"/>
    <xf numFmtId="0" fontId="298" fillId="47" borderId="202" xfId="0" applyFont="1" applyFill="1" applyBorder="1"/>
    <xf numFmtId="0" fontId="298" fillId="47" borderId="203" xfId="0" applyFont="1" applyFill="1" applyBorder="1"/>
    <xf numFmtId="4" fontId="298" fillId="47" borderId="203" xfId="0" applyNumberFormat="1" applyFont="1" applyFill="1" applyBorder="1"/>
    <xf numFmtId="3" fontId="298" fillId="47" borderId="203" xfId="0" applyNumberFormat="1" applyFont="1" applyFill="1" applyBorder="1"/>
    <xf numFmtId="4" fontId="298" fillId="47" borderId="204" xfId="0" applyNumberFormat="1" applyFont="1" applyFill="1" applyBorder="1"/>
    <xf numFmtId="0" fontId="298" fillId="47" borderId="196" xfId="0" applyFont="1" applyFill="1" applyBorder="1"/>
    <xf numFmtId="4" fontId="84" fillId="0" borderId="164" xfId="0" applyNumberFormat="1" applyFont="1" applyBorder="1"/>
    <xf numFmtId="4" fontId="298" fillId="47" borderId="205" xfId="0" applyNumberFormat="1" applyFont="1" applyFill="1" applyBorder="1"/>
    <xf numFmtId="0" fontId="190" fillId="0" borderId="0" xfId="0" applyFont="1"/>
    <xf numFmtId="0" fontId="49" fillId="0" borderId="0" xfId="0" applyFont="1" applyAlignment="1">
      <alignment horizontal="center" vertical="center" wrapText="1"/>
    </xf>
    <xf numFmtId="0" fontId="49" fillId="0" borderId="0" xfId="0" applyFont="1" applyAlignment="1">
      <alignment horizontal="center" vertical="center"/>
    </xf>
    <xf numFmtId="0" fontId="257" fillId="0" borderId="2" xfId="0" applyFont="1" applyBorder="1"/>
    <xf numFmtId="165" fontId="257" fillId="0" borderId="2" xfId="0" applyNumberFormat="1" applyFont="1" applyBorder="1"/>
    <xf numFmtId="0" fontId="257" fillId="0" borderId="2" xfId="0" applyFont="1" applyBorder="1" applyAlignment="1">
      <alignment horizontal="center"/>
    </xf>
    <xf numFmtId="2" fontId="49" fillId="0" borderId="2" xfId="0" applyNumberFormat="1" applyFont="1" applyBorder="1" applyAlignment="1">
      <alignment vertical="center"/>
    </xf>
    <xf numFmtId="0" fontId="257" fillId="0" borderId="0" xfId="0" applyFont="1" applyAlignment="1">
      <alignment horizontal="center"/>
    </xf>
    <xf numFmtId="0" fontId="49" fillId="0" borderId="0" xfId="0" applyFont="1" applyAlignment="1">
      <alignment horizontal="center"/>
    </xf>
    <xf numFmtId="2" fontId="49" fillId="0" borderId="0" xfId="0" applyNumberFormat="1" applyFont="1" applyAlignment="1">
      <alignment vertical="center"/>
    </xf>
    <xf numFmtId="165" fontId="49" fillId="0" borderId="0" xfId="0" applyNumberFormat="1" applyFont="1" applyAlignment="1">
      <alignment vertical="center"/>
    </xf>
    <xf numFmtId="2" fontId="49" fillId="0" borderId="0" xfId="0" applyNumberFormat="1" applyFont="1" applyAlignment="1">
      <alignment horizontal="center"/>
    </xf>
    <xf numFmtId="2" fontId="257" fillId="0" borderId="0" xfId="0" applyNumberFormat="1" applyFont="1"/>
    <xf numFmtId="176" fontId="49" fillId="0" borderId="0" xfId="0" applyNumberFormat="1" applyFont="1" applyAlignment="1">
      <alignment horizontal="center" vertical="center"/>
    </xf>
    <xf numFmtId="0" fontId="299" fillId="0" borderId="0" xfId="0" applyFont="1"/>
    <xf numFmtId="0" fontId="4" fillId="0" borderId="3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43" fontId="3" fillId="7" borderId="14" xfId="1" applyFont="1" applyFill="1" applyBorder="1" applyAlignment="1" applyProtection="1">
      <alignment horizontal="center" vertical="center"/>
    </xf>
    <xf numFmtId="9" fontId="6" fillId="0" borderId="0" xfId="2" applyFont="1" applyFill="1" applyBorder="1" applyAlignment="1" applyProtection="1">
      <alignment horizontal="left"/>
    </xf>
    <xf numFmtId="0" fontId="293" fillId="0" borderId="0" xfId="0" applyFont="1"/>
    <xf numFmtId="0" fontId="291" fillId="0" borderId="23" xfId="0" applyFont="1" applyBorder="1" applyAlignment="1">
      <alignment horizontal="center"/>
    </xf>
    <xf numFmtId="0" fontId="291" fillId="40" borderId="21" xfId="0" applyFont="1" applyFill="1" applyBorder="1" applyAlignment="1">
      <alignment horizontal="center" vertical="center"/>
    </xf>
    <xf numFmtId="0" fontId="265" fillId="0" borderId="38" xfId="0" applyFont="1" applyBorder="1" applyAlignment="1" applyProtection="1">
      <alignment vertical="center" wrapText="1"/>
      <protection locked="0"/>
    </xf>
    <xf numFmtId="0" fontId="265" fillId="0" borderId="16" xfId="0" applyFont="1" applyBorder="1" applyAlignment="1" applyProtection="1">
      <alignment vertical="center" wrapText="1"/>
      <protection locked="0"/>
    </xf>
    <xf numFmtId="0" fontId="265" fillId="0" borderId="15" xfId="0" applyFont="1" applyBorder="1" applyAlignment="1" applyProtection="1">
      <alignment vertical="center" wrapText="1"/>
      <protection locked="0"/>
    </xf>
    <xf numFmtId="0" fontId="265" fillId="0" borderId="14" xfId="0" applyFont="1" applyBorder="1" applyAlignment="1" applyProtection="1">
      <alignment vertical="center" wrapText="1"/>
      <protection locked="0"/>
    </xf>
    <xf numFmtId="0" fontId="194" fillId="0" borderId="38" xfId="0" applyFont="1" applyBorder="1" applyAlignment="1" applyProtection="1">
      <alignment vertical="center"/>
      <protection locked="0"/>
    </xf>
    <xf numFmtId="0" fontId="194" fillId="0" borderId="16" xfId="0" applyFont="1" applyBorder="1" applyAlignment="1" applyProtection="1">
      <alignment vertical="center"/>
      <protection locked="0"/>
    </xf>
    <xf numFmtId="0" fontId="194" fillId="0" borderId="0" xfId="0" applyFont="1" applyAlignment="1" applyProtection="1">
      <alignment vertical="center"/>
      <protection locked="0"/>
    </xf>
    <xf numFmtId="0" fontId="194" fillId="0" borderId="19" xfId="0" applyFont="1" applyBorder="1" applyAlignment="1" applyProtection="1">
      <alignment vertical="center"/>
      <protection locked="0"/>
    </xf>
    <xf numFmtId="178" fontId="41" fillId="0" borderId="38" xfId="0" applyNumberFormat="1" applyFont="1" applyBorder="1" applyAlignment="1">
      <alignment vertical="center"/>
    </xf>
    <xf numFmtId="0" fontId="0" fillId="35" borderId="0" xfId="0" applyFill="1" applyAlignment="1">
      <alignment vertical="center"/>
    </xf>
    <xf numFmtId="0" fontId="39" fillId="0" borderId="99" xfId="0" applyFont="1" applyBorder="1" applyAlignment="1">
      <alignment horizontal="center" vertical="center"/>
    </xf>
    <xf numFmtId="0" fontId="39" fillId="0" borderId="102" xfId="0" applyFont="1" applyBorder="1" applyAlignment="1">
      <alignment horizontal="center" vertical="center"/>
    </xf>
    <xf numFmtId="0" fontId="39" fillId="22" borderId="105" xfId="0" applyFont="1" applyFill="1" applyBorder="1" applyAlignment="1">
      <alignment horizontal="center" vertical="center"/>
    </xf>
    <xf numFmtId="0" fontId="39" fillId="22" borderId="121" xfId="0" applyFont="1" applyFill="1" applyBorder="1" applyAlignment="1">
      <alignment horizontal="center" vertical="center"/>
    </xf>
    <xf numFmtId="0" fontId="30" fillId="35" borderId="0" xfId="0" applyFont="1" applyFill="1"/>
    <xf numFmtId="0" fontId="32" fillId="4" borderId="33" xfId="0" applyFont="1" applyFill="1" applyBorder="1" applyAlignment="1">
      <alignment horizontal="center" vertical="center" wrapText="1"/>
    </xf>
    <xf numFmtId="43" fontId="32" fillId="0" borderId="17" xfId="1" applyFont="1" applyFill="1" applyBorder="1" applyAlignment="1" applyProtection="1">
      <alignment horizontal="center" vertical="center"/>
    </xf>
    <xf numFmtId="43" fontId="32" fillId="0" borderId="32" xfId="0" applyNumberFormat="1" applyFont="1" applyBorder="1" applyAlignment="1">
      <alignment horizontal="center" vertical="center"/>
    </xf>
    <xf numFmtId="0" fontId="35" fillId="4" borderId="34" xfId="0" applyFont="1" applyFill="1" applyBorder="1" applyAlignment="1">
      <alignment vertical="center" wrapText="1"/>
    </xf>
    <xf numFmtId="0" fontId="32" fillId="0" borderId="51" xfId="0" applyFont="1" applyBorder="1" applyAlignment="1" applyProtection="1">
      <alignment horizontal="center" vertical="center"/>
      <protection locked="0"/>
    </xf>
    <xf numFmtId="0" fontId="35" fillId="4" borderId="26" xfId="0" applyFont="1" applyFill="1" applyBorder="1" applyAlignment="1">
      <alignment vertical="center" wrapText="1"/>
    </xf>
    <xf numFmtId="0" fontId="39" fillId="0" borderId="105" xfId="0" applyFont="1" applyBorder="1" applyAlignment="1">
      <alignment horizontal="center" vertical="center"/>
    </xf>
    <xf numFmtId="0" fontId="39" fillId="0" borderId="123" xfId="0" applyFont="1" applyBorder="1" applyAlignment="1">
      <alignment horizontal="center" vertical="center"/>
    </xf>
    <xf numFmtId="0" fontId="36" fillId="0" borderId="58" xfId="0" applyFont="1" applyBorder="1" applyAlignment="1">
      <alignment horizontal="center" vertical="center" wrapText="1"/>
    </xf>
    <xf numFmtId="0" fontId="236" fillId="0" borderId="101" xfId="0" applyFont="1" applyBorder="1" applyAlignment="1">
      <alignment horizontal="center" vertical="center"/>
    </xf>
    <xf numFmtId="0" fontId="236" fillId="22" borderId="101" xfId="0" applyFont="1" applyFill="1" applyBorder="1" applyAlignment="1">
      <alignment horizontal="center" vertical="center"/>
    </xf>
    <xf numFmtId="0" fontId="37" fillId="22" borderId="101" xfId="0" applyFont="1" applyFill="1" applyBorder="1" applyAlignment="1">
      <alignment horizontal="center" vertical="center"/>
    </xf>
    <xf numFmtId="0" fontId="37" fillId="22" borderId="104" xfId="0" applyFont="1" applyFill="1" applyBorder="1" applyAlignment="1">
      <alignment horizontal="center" vertical="center"/>
    </xf>
    <xf numFmtId="0" fontId="154" fillId="0" borderId="0" xfId="0" applyFont="1"/>
    <xf numFmtId="167" fontId="154" fillId="0" borderId="0" xfId="0" applyNumberFormat="1" applyFont="1"/>
    <xf numFmtId="0" fontId="31" fillId="0" borderId="0" xfId="0" applyFont="1" applyAlignment="1">
      <alignment horizontal="center" vertical="center"/>
    </xf>
    <xf numFmtId="170" fontId="29" fillId="0" borderId="0" xfId="0" applyNumberFormat="1" applyFont="1"/>
    <xf numFmtId="169" fontId="219" fillId="0" borderId="0" xfId="0" applyNumberFormat="1" applyFont="1"/>
    <xf numFmtId="0" fontId="39" fillId="0" borderId="0" xfId="0" applyFont="1" applyAlignment="1">
      <alignment horizontal="center" vertical="center"/>
    </xf>
    <xf numFmtId="0" fontId="236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186" fillId="0" borderId="0" xfId="0" applyFont="1" applyAlignment="1">
      <alignment vertical="center"/>
    </xf>
    <xf numFmtId="0" fontId="185" fillId="0" borderId="0" xfId="0" applyFont="1" applyAlignment="1">
      <alignment vertical="center"/>
    </xf>
    <xf numFmtId="0" fontId="302" fillId="0" borderId="0" xfId="0" applyFont="1"/>
    <xf numFmtId="0" fontId="188" fillId="0" borderId="0" xfId="0" applyFont="1"/>
    <xf numFmtId="168" fontId="220" fillId="0" borderId="0" xfId="0" applyNumberFormat="1" applyFont="1"/>
    <xf numFmtId="0" fontId="303" fillId="0" borderId="0" xfId="0" applyFont="1" applyAlignment="1">
      <alignment horizontal="center" vertical="center"/>
    </xf>
    <xf numFmtId="0" fontId="303" fillId="0" borderId="0" xfId="0" applyFont="1" applyAlignment="1">
      <alignment horizontal="center" vertical="center" wrapText="1"/>
    </xf>
    <xf numFmtId="3" fontId="225" fillId="0" borderId="0" xfId="0" applyNumberFormat="1" applyFont="1" applyAlignment="1">
      <alignment horizontal="center" vertical="center"/>
    </xf>
    <xf numFmtId="0" fontId="138" fillId="0" borderId="0" xfId="0" applyFont="1"/>
    <xf numFmtId="0" fontId="305" fillId="0" borderId="0" xfId="0" applyFont="1" applyAlignment="1">
      <alignment horizontal="center" vertical="center" wrapText="1"/>
    </xf>
    <xf numFmtId="0" fontId="306" fillId="0" borderId="0" xfId="0" applyFont="1" applyAlignment="1">
      <alignment vertical="center"/>
    </xf>
    <xf numFmtId="0" fontId="305" fillId="0" borderId="0" xfId="0" applyFont="1" applyAlignment="1">
      <alignment horizontal="center" vertical="center"/>
    </xf>
    <xf numFmtId="167" fontId="303" fillId="0" borderId="0" xfId="0" applyNumberFormat="1" applyFont="1" applyAlignment="1">
      <alignment horizontal="center" vertical="center"/>
    </xf>
    <xf numFmtId="1" fontId="240" fillId="4" borderId="92" xfId="0" applyNumberFormat="1" applyFont="1" applyFill="1" applyBorder="1" applyAlignment="1">
      <alignment horizontal="center" vertical="center" wrapText="1"/>
    </xf>
    <xf numFmtId="0" fontId="309" fillId="0" borderId="0" xfId="0" applyFont="1"/>
    <xf numFmtId="0" fontId="187" fillId="0" borderId="2" xfId="0" applyFont="1" applyBorder="1" applyAlignment="1" applyProtection="1">
      <alignment horizontal="center" vertical="center" wrapText="1"/>
      <protection locked="0"/>
    </xf>
    <xf numFmtId="0" fontId="187" fillId="0" borderId="5" xfId="0" applyFont="1" applyBorder="1" applyAlignment="1" applyProtection="1">
      <alignment horizontal="center" vertical="center" wrapText="1"/>
      <protection locked="0"/>
    </xf>
    <xf numFmtId="0" fontId="31" fillId="4" borderId="62" xfId="0" applyFont="1" applyFill="1" applyBorder="1" applyAlignment="1" applyProtection="1">
      <alignment horizontal="center" vertical="center" wrapText="1"/>
      <protection locked="0"/>
    </xf>
    <xf numFmtId="0" fontId="187" fillId="0" borderId="30" xfId="0" applyFont="1" applyBorder="1" applyAlignment="1" applyProtection="1">
      <alignment horizontal="center" vertical="center" wrapText="1"/>
      <protection locked="0"/>
    </xf>
    <xf numFmtId="0" fontId="187" fillId="0" borderId="2" xfId="0" applyFont="1" applyBorder="1" applyAlignment="1" applyProtection="1">
      <alignment horizontal="center" vertical="center"/>
      <protection locked="0"/>
    </xf>
    <xf numFmtId="0" fontId="187" fillId="0" borderId="5" xfId="0" applyFont="1" applyBorder="1" applyAlignment="1" applyProtection="1">
      <alignment horizontal="center" vertical="center"/>
      <protection locked="0"/>
    </xf>
    <xf numFmtId="0" fontId="187" fillId="0" borderId="10" xfId="0" applyFont="1" applyBorder="1" applyAlignment="1" applyProtection="1">
      <alignment horizontal="center" vertical="center"/>
      <protection locked="0"/>
    </xf>
    <xf numFmtId="0" fontId="31" fillId="4" borderId="1" xfId="0" applyFont="1" applyFill="1" applyBorder="1" applyAlignment="1" applyProtection="1">
      <alignment horizontal="center" vertical="center"/>
      <protection locked="0"/>
    </xf>
    <xf numFmtId="0" fontId="187" fillId="0" borderId="1" xfId="0" applyFont="1" applyBorder="1" applyAlignment="1" applyProtection="1">
      <alignment horizontal="center" vertical="center"/>
      <protection locked="0"/>
    </xf>
    <xf numFmtId="0" fontId="31" fillId="4" borderId="36" xfId="0" applyFont="1" applyFill="1" applyBorder="1" applyAlignment="1" applyProtection="1">
      <alignment horizontal="center" vertical="center"/>
      <protection locked="0"/>
    </xf>
    <xf numFmtId="0" fontId="83" fillId="4" borderId="26" xfId="0" applyFont="1" applyFill="1" applyBorder="1" applyAlignment="1">
      <alignment horizontal="center" vertical="center" wrapText="1"/>
    </xf>
    <xf numFmtId="167" fontId="151" fillId="0" borderId="6" xfId="0" applyNumberFormat="1" applyFont="1" applyBorder="1" applyAlignment="1">
      <alignment horizontal="center" vertical="center"/>
    </xf>
    <xf numFmtId="167" fontId="151" fillId="0" borderId="8" xfId="0" applyNumberFormat="1" applyFont="1" applyBorder="1" applyAlignment="1">
      <alignment horizontal="center" vertical="center"/>
    </xf>
    <xf numFmtId="167" fontId="151" fillId="0" borderId="11" xfId="0" applyNumberFormat="1" applyFont="1" applyBorder="1" applyAlignment="1">
      <alignment horizontal="center" vertical="center"/>
    </xf>
    <xf numFmtId="43" fontId="151" fillId="0" borderId="39" xfId="0" applyNumberFormat="1" applyFont="1" applyBorder="1" applyAlignment="1">
      <alignment horizontal="center" vertical="center"/>
    </xf>
    <xf numFmtId="43" fontId="151" fillId="0" borderId="89" xfId="0" applyNumberFormat="1" applyFont="1" applyBorder="1" applyAlignment="1">
      <alignment horizontal="center" vertical="center"/>
    </xf>
    <xf numFmtId="0" fontId="137" fillId="21" borderId="31" xfId="0" applyFont="1" applyFill="1" applyBorder="1" applyAlignment="1">
      <alignment horizontal="center" vertical="center" wrapText="1"/>
    </xf>
    <xf numFmtId="0" fontId="137" fillId="0" borderId="18" xfId="0" applyFont="1" applyBorder="1" applyAlignment="1">
      <alignment horizontal="center" vertical="center"/>
    </xf>
    <xf numFmtId="0" fontId="137" fillId="4" borderId="31" xfId="0" applyFont="1" applyFill="1" applyBorder="1" applyAlignment="1">
      <alignment horizontal="center" vertical="center" wrapText="1"/>
    </xf>
    <xf numFmtId="0" fontId="204" fillId="29" borderId="84" xfId="0" applyFont="1" applyFill="1" applyBorder="1" applyAlignment="1">
      <alignment horizontal="center" vertical="center"/>
    </xf>
    <xf numFmtId="1" fontId="204" fillId="0" borderId="90" xfId="0" applyNumberFormat="1" applyFont="1" applyBorder="1" applyAlignment="1">
      <alignment horizontal="center" vertical="center"/>
    </xf>
    <xf numFmtId="1" fontId="204" fillId="0" borderId="84" xfId="0" applyNumberFormat="1" applyFont="1" applyBorder="1" applyAlignment="1">
      <alignment horizontal="left" vertical="center"/>
    </xf>
    <xf numFmtId="1" fontId="204" fillId="0" borderId="84" xfId="0" applyNumberFormat="1" applyFont="1" applyBorder="1" applyAlignment="1">
      <alignment horizontal="center" vertical="center"/>
    </xf>
    <xf numFmtId="1" fontId="204" fillId="15" borderId="84" xfId="0" applyNumberFormat="1" applyFont="1" applyFill="1" applyBorder="1" applyAlignment="1">
      <alignment horizontal="center" vertical="center"/>
    </xf>
    <xf numFmtId="3" fontId="311" fillId="37" borderId="84" xfId="0" applyNumberFormat="1" applyFont="1" applyFill="1" applyBorder="1" applyAlignment="1">
      <alignment horizontal="center" vertical="center" wrapText="1"/>
    </xf>
    <xf numFmtId="3" fontId="311" fillId="37" borderId="84" xfId="0" applyNumberFormat="1" applyFont="1" applyFill="1" applyBorder="1" applyAlignment="1">
      <alignment horizontal="center" vertical="center"/>
    </xf>
    <xf numFmtId="0" fontId="204" fillId="29" borderId="94" xfId="0" applyFont="1" applyFill="1" applyBorder="1" applyAlignment="1">
      <alignment horizontal="center" vertical="center"/>
    </xf>
    <xf numFmtId="1" fontId="204" fillId="0" borderId="94" xfId="0" applyNumberFormat="1" applyFont="1" applyBorder="1" applyAlignment="1">
      <alignment horizontal="center" vertical="center"/>
    </xf>
    <xf numFmtId="0" fontId="204" fillId="15" borderId="93" xfId="0" applyFont="1" applyFill="1" applyBorder="1" applyAlignment="1">
      <alignment horizontal="center" vertical="center"/>
    </xf>
    <xf numFmtId="1" fontId="204" fillId="15" borderId="93" xfId="0" applyNumberFormat="1" applyFont="1" applyFill="1" applyBorder="1" applyAlignment="1">
      <alignment horizontal="center" vertical="center"/>
    </xf>
    <xf numFmtId="1" fontId="204" fillId="0" borderId="83" xfId="0" applyNumberFormat="1" applyFont="1" applyBorder="1" applyAlignment="1">
      <alignment horizontal="center" vertical="center"/>
    </xf>
    <xf numFmtId="3" fontId="311" fillId="37" borderId="211" xfId="0" applyNumberFormat="1" applyFont="1" applyFill="1" applyBorder="1" applyAlignment="1">
      <alignment horizontal="center" vertical="center"/>
    </xf>
    <xf numFmtId="3" fontId="311" fillId="37" borderId="213" xfId="0" applyNumberFormat="1" applyFont="1" applyFill="1" applyBorder="1" applyAlignment="1">
      <alignment horizontal="center" vertical="center" wrapText="1"/>
    </xf>
    <xf numFmtId="3" fontId="311" fillId="37" borderId="213" xfId="0" applyNumberFormat="1" applyFont="1" applyFill="1" applyBorder="1" applyAlignment="1">
      <alignment horizontal="center" vertical="center"/>
    </xf>
    <xf numFmtId="3" fontId="311" fillId="37" borderId="212" xfId="0" applyNumberFormat="1" applyFont="1" applyFill="1" applyBorder="1" applyAlignment="1">
      <alignment horizontal="center" vertical="center"/>
    </xf>
    <xf numFmtId="3" fontId="311" fillId="37" borderId="214" xfId="0" applyNumberFormat="1" applyFont="1" applyFill="1" applyBorder="1" applyAlignment="1">
      <alignment horizontal="center" vertical="center" wrapText="1"/>
    </xf>
    <xf numFmtId="3" fontId="311" fillId="37" borderId="214" xfId="0" applyNumberFormat="1" applyFont="1" applyFill="1" applyBorder="1" applyAlignment="1">
      <alignment horizontal="center" vertical="center"/>
    </xf>
    <xf numFmtId="3" fontId="311" fillId="37" borderId="215" xfId="0" applyNumberFormat="1" applyFont="1" applyFill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/>
    </xf>
    <xf numFmtId="43" fontId="32" fillId="0" borderId="40" xfId="1" applyFont="1" applyFill="1" applyBorder="1" applyAlignment="1" applyProtection="1">
      <alignment horizontal="center" vertical="center"/>
    </xf>
    <xf numFmtId="0" fontId="234" fillId="0" borderId="2" xfId="0" applyFont="1" applyBorder="1" applyAlignment="1">
      <alignment horizontal="center" vertical="center"/>
    </xf>
    <xf numFmtId="0" fontId="236" fillId="0" borderId="2" xfId="0" applyFont="1" applyBorder="1" applyAlignment="1">
      <alignment horizontal="left" vertical="center"/>
    </xf>
    <xf numFmtId="0" fontId="37" fillId="0" borderId="2" xfId="0" applyFont="1" applyBorder="1" applyAlignment="1">
      <alignment horizontal="center" vertical="center"/>
    </xf>
    <xf numFmtId="0" fontId="37" fillId="0" borderId="2" xfId="0" applyFont="1" applyBorder="1" applyAlignment="1">
      <alignment horizontal="left" vertical="center"/>
    </xf>
    <xf numFmtId="0" fontId="37" fillId="0" borderId="30" xfId="0" applyFont="1" applyBorder="1" applyAlignment="1">
      <alignment horizontal="center" vertical="center"/>
    </xf>
    <xf numFmtId="0" fontId="37" fillId="0" borderId="30" xfId="0" applyFont="1" applyBorder="1" applyAlignment="1">
      <alignment horizontal="left" vertical="center"/>
    </xf>
    <xf numFmtId="0" fontId="235" fillId="3" borderId="13" xfId="0" applyFont="1" applyFill="1" applyBorder="1" applyAlignment="1">
      <alignment horizontal="center" vertical="center" wrapText="1"/>
    </xf>
    <xf numFmtId="0" fontId="235" fillId="3" borderId="15" xfId="0" applyFont="1" applyFill="1" applyBorder="1" applyAlignment="1">
      <alignment horizontal="center" vertical="center" wrapText="1"/>
    </xf>
    <xf numFmtId="0" fontId="233" fillId="3" borderId="13" xfId="0" applyFont="1" applyFill="1" applyBorder="1" applyAlignment="1">
      <alignment horizontal="center" vertical="center" wrapText="1"/>
    </xf>
    <xf numFmtId="0" fontId="39" fillId="69" borderId="2" xfId="0" applyFont="1" applyFill="1" applyBorder="1" applyAlignment="1">
      <alignment horizontal="center" vertical="center"/>
    </xf>
    <xf numFmtId="0" fontId="39" fillId="0" borderId="101" xfId="0" applyFont="1" applyBorder="1" applyAlignment="1">
      <alignment horizontal="center" vertical="center"/>
    </xf>
    <xf numFmtId="0" fontId="39" fillId="0" borderId="104" xfId="0" applyFont="1" applyBorder="1" applyAlignment="1">
      <alignment horizontal="center" vertical="center"/>
    </xf>
    <xf numFmtId="0" fontId="39" fillId="0" borderId="122" xfId="0" applyFont="1" applyBorder="1" applyAlignment="1">
      <alignment horizontal="center" vertical="center"/>
    </xf>
    <xf numFmtId="0" fontId="39" fillId="0" borderId="18" xfId="0" applyFont="1" applyBorder="1" applyAlignment="1">
      <alignment horizontal="left" vertical="center"/>
    </xf>
    <xf numFmtId="0" fontId="39" fillId="0" borderId="12" xfId="0" applyFont="1" applyBorder="1" applyAlignment="1">
      <alignment horizontal="center" vertical="center"/>
    </xf>
    <xf numFmtId="0" fontId="39" fillId="0" borderId="15" xfId="0" applyFont="1" applyBorder="1" applyAlignment="1">
      <alignment horizontal="center" vertical="center"/>
    </xf>
    <xf numFmtId="0" fontId="39" fillId="21" borderId="31" xfId="0" applyFont="1" applyFill="1" applyBorder="1" applyAlignment="1">
      <alignment horizontal="center" vertical="center" wrapText="1"/>
    </xf>
    <xf numFmtId="0" fontId="39" fillId="21" borderId="25" xfId="0" applyFont="1" applyFill="1" applyBorder="1" applyAlignment="1">
      <alignment horizontal="center" vertical="center" wrapText="1"/>
    </xf>
    <xf numFmtId="0" fontId="39" fillId="21" borderId="33" xfId="0" applyFont="1" applyFill="1" applyBorder="1" applyAlignment="1">
      <alignment horizontal="center" vertical="center" wrapText="1"/>
    </xf>
    <xf numFmtId="0" fontId="39" fillId="21" borderId="32" xfId="0" applyFont="1" applyFill="1" applyBorder="1" applyAlignment="1">
      <alignment horizontal="center" vertical="center" wrapText="1"/>
    </xf>
    <xf numFmtId="0" fontId="32" fillId="4" borderId="12" xfId="0" applyFont="1" applyFill="1" applyBorder="1" applyAlignment="1">
      <alignment vertical="center" wrapText="1"/>
    </xf>
    <xf numFmtId="0" fontId="138" fillId="0" borderId="2" xfId="0" applyFont="1" applyBorder="1"/>
    <xf numFmtId="43" fontId="32" fillId="0" borderId="33" xfId="0" applyNumberFormat="1" applyFont="1" applyBorder="1" applyAlignment="1">
      <alignment horizontal="center" vertical="center"/>
    </xf>
    <xf numFmtId="43" fontId="32" fillId="0" borderId="49" xfId="0" applyNumberFormat="1" applyFont="1" applyBorder="1" applyAlignment="1">
      <alignment horizontal="center" vertical="center"/>
    </xf>
    <xf numFmtId="0" fontId="87" fillId="0" borderId="25" xfId="0" applyFont="1" applyBorder="1" applyAlignment="1">
      <alignment horizontal="center" vertical="center" wrapText="1"/>
    </xf>
    <xf numFmtId="0" fontId="30" fillId="0" borderId="33" xfId="0" applyFont="1" applyBorder="1" applyAlignment="1">
      <alignment wrapText="1"/>
    </xf>
    <xf numFmtId="0" fontId="30" fillId="0" borderId="0" xfId="0" applyFont="1" applyAlignment="1">
      <alignment wrapText="1"/>
    </xf>
    <xf numFmtId="0" fontId="32" fillId="0" borderId="0" xfId="0" applyFont="1" applyAlignment="1">
      <alignment horizontal="center" vertical="center" wrapText="1"/>
    </xf>
    <xf numFmtId="0" fontId="186" fillId="0" borderId="0" xfId="0" applyFont="1" applyAlignment="1">
      <alignment vertical="center" wrapText="1"/>
    </xf>
    <xf numFmtId="0" fontId="29" fillId="0" borderId="0" xfId="0" applyFont="1" applyAlignment="1">
      <alignment wrapText="1"/>
    </xf>
    <xf numFmtId="0" fontId="186" fillId="0" borderId="0" xfId="0" applyFont="1" applyAlignment="1">
      <alignment wrapText="1"/>
    </xf>
    <xf numFmtId="0" fontId="32" fillId="4" borderId="2" xfId="0" applyFont="1" applyFill="1" applyBorder="1" applyAlignment="1" applyProtection="1">
      <alignment horizontal="center" vertical="center" wrapText="1"/>
      <protection locked="0"/>
    </xf>
    <xf numFmtId="0" fontId="303" fillId="0" borderId="2" xfId="0" applyFont="1" applyBorder="1" applyAlignment="1" applyProtection="1">
      <alignment horizontal="center" vertical="center" wrapText="1"/>
      <protection locked="0"/>
    </xf>
    <xf numFmtId="0" fontId="37" fillId="0" borderId="0" xfId="0" applyFont="1" applyAlignment="1">
      <alignment wrapText="1"/>
    </xf>
    <xf numFmtId="0" fontId="302" fillId="0" borderId="0" xfId="0" applyFont="1" applyAlignment="1">
      <alignment wrapText="1"/>
    </xf>
    <xf numFmtId="0" fontId="301" fillId="0" borderId="0" xfId="0" applyFont="1" applyAlignment="1">
      <alignment wrapText="1"/>
    </xf>
    <xf numFmtId="0" fontId="29" fillId="0" borderId="0" xfId="0" applyFont="1" applyAlignment="1">
      <alignment horizontal="center" vertical="center" wrapText="1"/>
    </xf>
    <xf numFmtId="0" fontId="33" fillId="54" borderId="183" xfId="0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29" fillId="0" borderId="161" xfId="0" applyFont="1" applyBorder="1" applyAlignment="1">
      <alignment horizontal="left" vertical="center" wrapText="1"/>
    </xf>
    <xf numFmtId="3" fontId="29" fillId="73" borderId="161" xfId="0" applyNumberFormat="1" applyFont="1" applyFill="1" applyBorder="1" applyAlignment="1">
      <alignment horizontal="center" vertical="center" wrapText="1"/>
    </xf>
    <xf numFmtId="3" fontId="300" fillId="73" borderId="161" xfId="0" applyNumberFormat="1" applyFont="1" applyFill="1" applyBorder="1" applyAlignment="1">
      <alignment horizontal="center" vertical="center" wrapText="1"/>
    </xf>
    <xf numFmtId="3" fontId="29" fillId="73" borderId="172" xfId="0" applyNumberFormat="1" applyFont="1" applyFill="1" applyBorder="1" applyAlignment="1">
      <alignment horizontal="center" vertical="center" wrapText="1"/>
    </xf>
    <xf numFmtId="3" fontId="29" fillId="0" borderId="0" xfId="0" applyNumberFormat="1" applyFont="1" applyAlignment="1">
      <alignment horizontal="center" vertical="center" wrapText="1"/>
    </xf>
    <xf numFmtId="3" fontId="278" fillId="73" borderId="161" xfId="0" applyNumberFormat="1" applyFont="1" applyFill="1" applyBorder="1" applyAlignment="1">
      <alignment horizontal="center" vertical="center" wrapText="1"/>
    </xf>
    <xf numFmtId="3" fontId="198" fillId="46" borderId="167" xfId="0" applyNumberFormat="1" applyFont="1" applyFill="1" applyBorder="1" applyAlignment="1">
      <alignment horizontal="center" vertical="center" wrapText="1"/>
    </xf>
    <xf numFmtId="0" fontId="198" fillId="38" borderId="161" xfId="0" applyFont="1" applyFill="1" applyBorder="1" applyAlignment="1">
      <alignment horizontal="center" vertical="center" wrapText="1"/>
    </xf>
    <xf numFmtId="3" fontId="33" fillId="46" borderId="173" xfId="0" applyNumberFormat="1" applyFont="1" applyFill="1" applyBorder="1" applyAlignment="1">
      <alignment horizontal="center" vertical="center" wrapText="1"/>
    </xf>
    <xf numFmtId="3" fontId="33" fillId="46" borderId="174" xfId="0" applyNumberFormat="1" applyFont="1" applyFill="1" applyBorder="1" applyAlignment="1">
      <alignment horizontal="center" vertical="center" wrapText="1"/>
    </xf>
    <xf numFmtId="3" fontId="33" fillId="0" borderId="0" xfId="0" applyNumberFormat="1" applyFont="1" applyAlignment="1">
      <alignment horizontal="center" vertical="center" wrapText="1"/>
    </xf>
    <xf numFmtId="43" fontId="32" fillId="0" borderId="61" xfId="0" applyNumberFormat="1" applyFont="1" applyBorder="1" applyAlignment="1">
      <alignment horizontal="center" vertical="center"/>
    </xf>
    <xf numFmtId="43" fontId="32" fillId="0" borderId="28" xfId="0" applyNumberFormat="1" applyFont="1" applyBorder="1" applyAlignment="1">
      <alignment horizontal="center" vertical="center"/>
    </xf>
    <xf numFmtId="43" fontId="32" fillId="4" borderId="44" xfId="0" applyNumberFormat="1" applyFont="1" applyFill="1" applyBorder="1" applyAlignment="1">
      <alignment horizontal="center" vertical="center"/>
    </xf>
    <xf numFmtId="0" fontId="310" fillId="48" borderId="90" xfId="0" applyFont="1" applyFill="1" applyBorder="1" applyAlignment="1">
      <alignment horizontal="center" vertical="center"/>
    </xf>
    <xf numFmtId="0" fontId="310" fillId="48" borderId="84" xfId="0" applyFont="1" applyFill="1" applyBorder="1" applyAlignment="1">
      <alignment horizontal="left" vertical="center"/>
    </xf>
    <xf numFmtId="0" fontId="310" fillId="48" borderId="84" xfId="0" applyFont="1" applyFill="1" applyBorder="1" applyAlignment="1">
      <alignment horizontal="center" vertical="center"/>
    </xf>
    <xf numFmtId="0" fontId="204" fillId="48" borderId="84" xfId="0" applyFont="1" applyFill="1" applyBorder="1" applyAlignment="1">
      <alignment horizontal="center" vertical="center"/>
    </xf>
    <xf numFmtId="0" fontId="151" fillId="4" borderId="13" xfId="0" applyFont="1" applyFill="1" applyBorder="1" applyAlignment="1">
      <alignment horizontal="center" vertical="center"/>
    </xf>
    <xf numFmtId="0" fontId="32" fillId="4" borderId="30" xfId="0" applyFont="1" applyFill="1" applyBorder="1" applyAlignment="1" applyProtection="1">
      <alignment horizontal="center" vertical="center" wrapText="1"/>
      <protection locked="0"/>
    </xf>
    <xf numFmtId="0" fontId="32" fillId="4" borderId="1" xfId="0" applyFont="1" applyFill="1" applyBorder="1" applyAlignment="1" applyProtection="1">
      <alignment horizontal="center" vertical="center" wrapText="1"/>
      <protection locked="0"/>
    </xf>
    <xf numFmtId="0" fontId="32" fillId="33" borderId="2" xfId="0" applyFont="1" applyFill="1" applyBorder="1" applyAlignment="1" applyProtection="1">
      <alignment horizontal="center" vertical="center"/>
      <protection locked="0"/>
    </xf>
    <xf numFmtId="0" fontId="31" fillId="4" borderId="53" xfId="0" applyFont="1" applyFill="1" applyBorder="1" applyAlignment="1">
      <alignment horizontal="center" vertical="center" wrapText="1"/>
    </xf>
    <xf numFmtId="0" fontId="31" fillId="4" borderId="54" xfId="0" applyFont="1" applyFill="1" applyBorder="1" applyAlignment="1">
      <alignment horizontal="center" vertical="center" wrapText="1"/>
    </xf>
    <xf numFmtId="0" fontId="31" fillId="0" borderId="54" xfId="0" applyFont="1" applyBorder="1" applyAlignment="1">
      <alignment horizontal="center" vertical="center" wrapText="1"/>
    </xf>
    <xf numFmtId="0" fontId="31" fillId="0" borderId="55" xfId="0" applyFont="1" applyBorder="1" applyAlignment="1">
      <alignment horizontal="center" vertical="center" wrapText="1"/>
    </xf>
    <xf numFmtId="0" fontId="32" fillId="33" borderId="5" xfId="0" applyFont="1" applyFill="1" applyBorder="1" applyAlignment="1" applyProtection="1">
      <alignment horizontal="center" vertical="center"/>
      <protection locked="0"/>
    </xf>
    <xf numFmtId="0" fontId="32" fillId="33" borderId="7" xfId="0" applyFont="1" applyFill="1" applyBorder="1" applyAlignment="1" applyProtection="1">
      <alignment horizontal="center" vertical="center"/>
      <protection locked="0"/>
    </xf>
    <xf numFmtId="0" fontId="180" fillId="0" borderId="2" xfId="0" applyFont="1" applyBorder="1" applyAlignment="1">
      <alignment horizontal="center"/>
    </xf>
    <xf numFmtId="0" fontId="180" fillId="0" borderId="2" xfId="0" applyFont="1" applyBorder="1" applyAlignment="1">
      <alignment horizontal="center" vertical="center"/>
    </xf>
    <xf numFmtId="0" fontId="39" fillId="22" borderId="36" xfId="0" applyFont="1" applyFill="1" applyBorder="1" applyAlignment="1">
      <alignment horizontal="center"/>
    </xf>
    <xf numFmtId="0" fontId="39" fillId="22" borderId="2" xfId="0" applyFont="1" applyFill="1" applyBorder="1" applyAlignment="1">
      <alignment horizontal="left" vertical="center"/>
    </xf>
    <xf numFmtId="0" fontId="39" fillId="0" borderId="2" xfId="0" applyFont="1" applyBorder="1" applyAlignment="1">
      <alignment horizontal="center"/>
    </xf>
    <xf numFmtId="0" fontId="39" fillId="22" borderId="2" xfId="0" applyFont="1" applyFill="1" applyBorder="1" applyAlignment="1">
      <alignment horizontal="center"/>
    </xf>
    <xf numFmtId="0" fontId="39" fillId="22" borderId="8" xfId="0" applyFont="1" applyFill="1" applyBorder="1" applyAlignment="1">
      <alignment horizontal="center"/>
    </xf>
    <xf numFmtId="0" fontId="39" fillId="22" borderId="7" xfId="0" applyFont="1" applyFill="1" applyBorder="1" applyAlignment="1">
      <alignment horizontal="center"/>
    </xf>
    <xf numFmtId="0" fontId="39" fillId="22" borderId="2" xfId="0" applyFont="1" applyFill="1" applyBorder="1" applyAlignment="1">
      <alignment horizontal="left"/>
    </xf>
    <xf numFmtId="0" fontId="32" fillId="0" borderId="2" xfId="0" applyFont="1" applyBorder="1" applyAlignment="1" applyProtection="1">
      <alignment horizontal="center" vertical="center" wrapText="1"/>
      <protection locked="0"/>
    </xf>
    <xf numFmtId="0" fontId="32" fillId="0" borderId="22" xfId="0" applyFont="1" applyBorder="1" applyAlignment="1" applyProtection="1">
      <alignment horizontal="center" vertical="center" wrapText="1"/>
      <protection locked="0"/>
    </xf>
    <xf numFmtId="0" fontId="0" fillId="0" borderId="2" xfId="0" applyBorder="1" applyAlignment="1">
      <alignment wrapText="1"/>
    </xf>
    <xf numFmtId="0" fontId="32" fillId="0" borderId="30" xfId="0" applyFont="1" applyBorder="1" applyAlignment="1" applyProtection="1">
      <alignment horizontal="center" vertical="center" wrapText="1"/>
      <protection locked="0"/>
    </xf>
    <xf numFmtId="0" fontId="32" fillId="0" borderId="35" xfId="0" applyFont="1" applyBorder="1" applyAlignment="1" applyProtection="1">
      <alignment horizontal="center" vertical="center" wrapText="1"/>
      <protection locked="0"/>
    </xf>
    <xf numFmtId="0" fontId="29" fillId="0" borderId="0" xfId="0" applyFont="1" applyAlignment="1">
      <alignment vertical="center" wrapText="1"/>
    </xf>
    <xf numFmtId="0" fontId="32" fillId="0" borderId="1" xfId="0" applyFont="1" applyBorder="1" applyAlignment="1" applyProtection="1">
      <alignment horizontal="center" vertical="center" wrapText="1"/>
      <protection locked="0"/>
    </xf>
    <xf numFmtId="173" fontId="268" fillId="0" borderId="84" xfId="0" applyNumberFormat="1" applyFont="1" applyBorder="1" applyAlignment="1">
      <alignment horizontal="center" vertical="center"/>
    </xf>
    <xf numFmtId="0" fontId="238" fillId="4" borderId="92" xfId="0" applyFont="1" applyFill="1" applyBorder="1" applyAlignment="1">
      <alignment horizontal="left" vertical="center" wrapText="1"/>
    </xf>
    <xf numFmtId="173" fontId="243" fillId="4" borderId="92" xfId="0" applyNumberFormat="1" applyFont="1" applyFill="1" applyBorder="1" applyAlignment="1">
      <alignment horizontal="center" vertical="center" wrapText="1"/>
    </xf>
    <xf numFmtId="173" fontId="239" fillId="0" borderId="92" xfId="0" applyNumberFormat="1" applyFont="1" applyBorder="1" applyAlignment="1">
      <alignment horizontal="center" vertical="center" wrapText="1"/>
    </xf>
    <xf numFmtId="177" fontId="239" fillId="0" borderId="92" xfId="0" applyNumberFormat="1" applyFont="1" applyBorder="1" applyAlignment="1">
      <alignment horizontal="center" vertical="center" wrapText="1"/>
    </xf>
    <xf numFmtId="0" fontId="239" fillId="0" borderId="92" xfId="0" applyFont="1" applyBorder="1" applyAlignment="1">
      <alignment horizontal="center" vertical="center" wrapText="1"/>
    </xf>
    <xf numFmtId="1" fontId="240" fillId="4" borderId="2" xfId="0" applyNumberFormat="1" applyFont="1" applyFill="1" applyBorder="1" applyAlignment="1">
      <alignment horizontal="center" vertical="center" wrapText="1"/>
    </xf>
    <xf numFmtId="0" fontId="241" fillId="4" borderId="2" xfId="0" applyFont="1" applyFill="1" applyBorder="1" applyAlignment="1">
      <alignment horizontal="left" vertical="center" wrapText="1"/>
    </xf>
    <xf numFmtId="173" fontId="242" fillId="4" borderId="2" xfId="0" applyNumberFormat="1" applyFont="1" applyFill="1" applyBorder="1" applyAlignment="1">
      <alignment horizontal="center" vertical="center" wrapText="1"/>
    </xf>
    <xf numFmtId="173" fontId="241" fillId="0" borderId="2" xfId="0" applyNumberFormat="1" applyFont="1" applyBorder="1" applyAlignment="1">
      <alignment horizontal="center" vertical="center" wrapText="1"/>
    </xf>
    <xf numFmtId="177" fontId="241" fillId="0" borderId="2" xfId="0" applyNumberFormat="1" applyFont="1" applyBorder="1" applyAlignment="1">
      <alignment horizontal="center" vertical="center" wrapText="1"/>
    </xf>
    <xf numFmtId="0" fontId="241" fillId="0" borderId="2" xfId="0" applyFont="1" applyBorder="1" applyAlignment="1">
      <alignment horizontal="center" vertical="center" wrapText="1"/>
    </xf>
    <xf numFmtId="1" fontId="307" fillId="0" borderId="2" xfId="0" applyNumberFormat="1" applyFont="1" applyBorder="1" applyAlignment="1">
      <alignment horizontal="center" vertical="center" wrapText="1"/>
    </xf>
    <xf numFmtId="0" fontId="307" fillId="0" borderId="2" xfId="0" applyFont="1" applyBorder="1" applyAlignment="1">
      <alignment horizontal="left" vertical="center" wrapText="1"/>
    </xf>
    <xf numFmtId="0" fontId="307" fillId="0" borderId="2" xfId="0" applyFont="1" applyBorder="1" applyAlignment="1">
      <alignment horizontal="center" vertical="center" wrapText="1"/>
    </xf>
    <xf numFmtId="0" fontId="308" fillId="0" borderId="2" xfId="0" applyFont="1" applyBorder="1" applyAlignment="1">
      <alignment horizontal="center" vertical="center" wrapText="1"/>
    </xf>
    <xf numFmtId="177" fontId="242" fillId="4" borderId="2" xfId="0" applyNumberFormat="1" applyFont="1" applyFill="1" applyBorder="1" applyAlignment="1">
      <alignment horizontal="center" vertical="center" wrapText="1"/>
    </xf>
    <xf numFmtId="0" fontId="242" fillId="0" borderId="2" xfId="0" applyFont="1" applyBorder="1" applyAlignment="1">
      <alignment horizontal="center" vertical="center" wrapText="1"/>
    </xf>
    <xf numFmtId="2" fontId="37" fillId="0" borderId="0" xfId="0" applyNumberFormat="1" applyFont="1"/>
    <xf numFmtId="0" fontId="32" fillId="22" borderId="8" xfId="0" applyFont="1" applyFill="1" applyBorder="1" applyAlignment="1" applyProtection="1">
      <alignment horizontal="center" vertical="center"/>
      <protection locked="0"/>
    </xf>
    <xf numFmtId="0" fontId="172" fillId="0" borderId="66" xfId="0" applyFont="1" applyBorder="1" applyAlignment="1">
      <alignment horizontal="center" vertical="center" wrapText="1"/>
    </xf>
    <xf numFmtId="9" fontId="172" fillId="0" borderId="66" xfId="0" applyNumberFormat="1" applyFont="1" applyBorder="1" applyAlignment="1">
      <alignment horizontal="center" vertical="center" wrapText="1"/>
    </xf>
    <xf numFmtId="165" fontId="172" fillId="0" borderId="2" xfId="0" applyNumberFormat="1" applyFont="1" applyBorder="1" applyAlignment="1">
      <alignment horizontal="center" vertical="center" wrapText="1"/>
    </xf>
    <xf numFmtId="0" fontId="172" fillId="0" borderId="8" xfId="0" applyFont="1" applyBorder="1" applyAlignment="1">
      <alignment horizontal="center" vertical="center" wrapText="1"/>
    </xf>
    <xf numFmtId="0" fontId="174" fillId="0" borderId="0" xfId="0" applyFont="1" applyAlignment="1">
      <alignment wrapText="1"/>
    </xf>
    <xf numFmtId="0" fontId="34" fillId="77" borderId="54" xfId="0" applyFont="1" applyFill="1" applyBorder="1" applyAlignment="1">
      <alignment horizontal="center" vertical="center" wrapText="1"/>
    </xf>
    <xf numFmtId="0" fontId="34" fillId="48" borderId="54" xfId="0" applyFont="1" applyFill="1" applyBorder="1" applyAlignment="1">
      <alignment horizontal="center" vertical="center" wrapText="1"/>
    </xf>
    <xf numFmtId="0" fontId="34" fillId="78" borderId="54" xfId="0" applyFont="1" applyFill="1" applyBorder="1" applyAlignment="1">
      <alignment horizontal="center" vertical="center" wrapText="1"/>
    </xf>
    <xf numFmtId="0" fontId="34" fillId="9" borderId="219" xfId="0" applyFont="1" applyFill="1" applyBorder="1" applyAlignment="1">
      <alignment horizontal="center" vertical="center" wrapText="1"/>
    </xf>
    <xf numFmtId="0" fontId="36" fillId="0" borderId="220" xfId="0" applyFont="1" applyBorder="1" applyAlignment="1">
      <alignment horizontal="center" vertical="center" wrapText="1"/>
    </xf>
    <xf numFmtId="0" fontId="36" fillId="0" borderId="221" xfId="0" applyFont="1" applyBorder="1" applyAlignment="1">
      <alignment horizontal="center" vertical="center" wrapText="1"/>
    </xf>
    <xf numFmtId="0" fontId="34" fillId="9" borderId="222" xfId="0" applyFont="1" applyFill="1" applyBorder="1" applyAlignment="1">
      <alignment horizontal="center" vertical="center" wrapText="1"/>
    </xf>
    <xf numFmtId="0" fontId="36" fillId="0" borderId="223" xfId="0" applyFont="1" applyBorder="1" applyAlignment="1">
      <alignment horizontal="center" vertical="center" wrapText="1"/>
    </xf>
    <xf numFmtId="0" fontId="34" fillId="77" borderId="58" xfId="0" applyFont="1" applyFill="1" applyBorder="1" applyAlignment="1">
      <alignment horizontal="center" vertical="center" wrapText="1"/>
    </xf>
    <xf numFmtId="0" fontId="32" fillId="0" borderId="93" xfId="0" applyFont="1" applyBorder="1" applyAlignment="1" applyProtection="1">
      <alignment horizontal="center" vertical="center"/>
      <protection locked="0"/>
    </xf>
    <xf numFmtId="166" fontId="32" fillId="0" borderId="50" xfId="2" applyNumberFormat="1" applyFont="1" applyFill="1" applyBorder="1" applyAlignment="1" applyProtection="1">
      <alignment horizontal="center" vertical="center"/>
      <protection locked="0"/>
    </xf>
    <xf numFmtId="0" fontId="34" fillId="76" borderId="224" xfId="0" applyFont="1" applyFill="1" applyBorder="1" applyAlignment="1">
      <alignment horizontal="center" vertical="center" wrapText="1"/>
    </xf>
    <xf numFmtId="0" fontId="34" fillId="76" borderId="225" xfId="0" applyFont="1" applyFill="1" applyBorder="1" applyAlignment="1">
      <alignment horizontal="center" vertical="center" wrapText="1"/>
    </xf>
    <xf numFmtId="0" fontId="34" fillId="76" borderId="226" xfId="0" applyFont="1" applyFill="1" applyBorder="1" applyAlignment="1">
      <alignment horizontal="center" vertical="center" wrapText="1"/>
    </xf>
    <xf numFmtId="0" fontId="32" fillId="0" borderId="227" xfId="0" applyFont="1" applyBorder="1" applyAlignment="1" applyProtection="1">
      <alignment horizontal="center" vertical="center"/>
      <protection locked="0"/>
    </xf>
    <xf numFmtId="0" fontId="32" fillId="0" borderId="228" xfId="0" applyFont="1" applyBorder="1" applyAlignment="1" applyProtection="1">
      <alignment horizontal="center" vertical="center"/>
      <protection locked="0"/>
    </xf>
    <xf numFmtId="0" fontId="32" fillId="0" borderId="229" xfId="0" applyFont="1" applyBorder="1" applyAlignment="1" applyProtection="1">
      <alignment horizontal="center" vertical="center"/>
      <protection locked="0"/>
    </xf>
    <xf numFmtId="0" fontId="32" fillId="0" borderId="230" xfId="0" applyFont="1" applyBorder="1" applyAlignment="1" applyProtection="1">
      <alignment horizontal="center" vertical="center"/>
      <protection locked="0"/>
    </xf>
    <xf numFmtId="0" fontId="32" fillId="0" borderId="231" xfId="0" applyFont="1" applyBorder="1" applyAlignment="1" applyProtection="1">
      <alignment horizontal="center" vertical="center"/>
      <protection locked="0"/>
    </xf>
    <xf numFmtId="0" fontId="32" fillId="0" borderId="232" xfId="0" applyFont="1" applyBorder="1" applyAlignment="1" applyProtection="1">
      <alignment horizontal="center" vertical="center"/>
      <protection locked="0"/>
    </xf>
    <xf numFmtId="0" fontId="32" fillId="0" borderId="233" xfId="0" applyFont="1" applyBorder="1" applyAlignment="1" applyProtection="1">
      <alignment horizontal="center" vertical="center"/>
      <protection locked="0"/>
    </xf>
    <xf numFmtId="0" fontId="32" fillId="0" borderId="234" xfId="0" applyFont="1" applyBorder="1" applyAlignment="1" applyProtection="1">
      <alignment horizontal="center" vertical="center"/>
      <protection locked="0"/>
    </xf>
    <xf numFmtId="0" fontId="32" fillId="0" borderId="235" xfId="0" applyFont="1" applyBorder="1" applyAlignment="1" applyProtection="1">
      <alignment horizontal="center" vertical="center"/>
      <protection locked="0"/>
    </xf>
    <xf numFmtId="0" fontId="32" fillId="0" borderId="236" xfId="0" applyFont="1" applyBorder="1" applyAlignment="1" applyProtection="1">
      <alignment horizontal="center" vertical="center"/>
      <protection locked="0"/>
    </xf>
    <xf numFmtId="0" fontId="32" fillId="0" borderId="237" xfId="0" applyFont="1" applyBorder="1" applyAlignment="1" applyProtection="1">
      <alignment horizontal="center" vertical="center"/>
      <protection locked="0"/>
    </xf>
    <xf numFmtId="0" fontId="32" fillId="0" borderId="238" xfId="0" applyFont="1" applyBorder="1" applyAlignment="1" applyProtection="1">
      <alignment horizontal="center" vertical="center"/>
      <protection locked="0"/>
    </xf>
    <xf numFmtId="0" fontId="32" fillId="0" borderId="239" xfId="0" applyFont="1" applyBorder="1" applyAlignment="1" applyProtection="1">
      <alignment horizontal="center" vertical="center"/>
      <protection locked="0"/>
    </xf>
    <xf numFmtId="0" fontId="32" fillId="0" borderId="240" xfId="0" applyFont="1" applyBorder="1" applyAlignment="1" applyProtection="1">
      <alignment horizontal="center" vertical="center"/>
      <protection locked="0"/>
    </xf>
    <xf numFmtId="0" fontId="32" fillId="0" borderId="241" xfId="0" applyFont="1" applyBorder="1" applyAlignment="1" applyProtection="1">
      <alignment horizontal="center" vertical="center"/>
      <protection locked="0"/>
    </xf>
    <xf numFmtId="0" fontId="32" fillId="0" borderId="242" xfId="0" applyFont="1" applyBorder="1" applyAlignment="1" applyProtection="1">
      <alignment horizontal="center" vertical="center"/>
      <protection locked="0"/>
    </xf>
    <xf numFmtId="0" fontId="36" fillId="0" borderId="243" xfId="0" applyFont="1" applyBorder="1" applyAlignment="1">
      <alignment horizontal="center" vertical="center" wrapText="1"/>
    </xf>
    <xf numFmtId="0" fontId="36" fillId="0" borderId="244" xfId="0" applyFont="1" applyBorder="1" applyAlignment="1">
      <alignment horizontal="center" vertical="center" wrapText="1"/>
    </xf>
    <xf numFmtId="0" fontId="36" fillId="0" borderId="245" xfId="0" applyFont="1" applyBorder="1" applyAlignment="1">
      <alignment horizontal="center" vertical="center" wrapText="1"/>
    </xf>
    <xf numFmtId="3" fontId="33" fillId="0" borderId="247" xfId="0" applyNumberFormat="1" applyFont="1" applyBorder="1" applyAlignment="1">
      <alignment horizontal="center" vertical="center"/>
    </xf>
    <xf numFmtId="3" fontId="33" fillId="46" borderId="252" xfId="0" applyNumberFormat="1" applyFont="1" applyFill="1" applyBorder="1" applyAlignment="1">
      <alignment horizontal="center" vertical="center"/>
    </xf>
    <xf numFmtId="0" fontId="33" fillId="38" borderId="255" xfId="0" applyFont="1" applyFill="1" applyBorder="1" applyAlignment="1">
      <alignment horizontal="center" vertical="center"/>
    </xf>
    <xf numFmtId="0" fontId="4" fillId="0" borderId="256" xfId="0" applyFont="1" applyBorder="1" applyAlignment="1">
      <alignment horizontal="center"/>
    </xf>
    <xf numFmtId="0" fontId="9" fillId="0" borderId="257" xfId="0" applyFont="1" applyBorder="1"/>
    <xf numFmtId="0" fontId="9" fillId="0" borderId="258" xfId="0" applyFont="1" applyBorder="1"/>
    <xf numFmtId="43" fontId="3" fillId="7" borderId="259" xfId="1" applyFont="1" applyFill="1" applyBorder="1" applyAlignment="1" applyProtection="1">
      <alignment horizontal="center" vertical="center"/>
    </xf>
    <xf numFmtId="43" fontId="3" fillId="0" borderId="257" xfId="1" applyFont="1" applyFill="1" applyBorder="1" applyAlignment="1" applyProtection="1">
      <alignment horizontal="center" vertical="center"/>
    </xf>
    <xf numFmtId="43" fontId="3" fillId="18" borderId="259" xfId="1" applyFont="1" applyFill="1" applyBorder="1" applyAlignment="1" applyProtection="1">
      <alignment horizontal="center" vertical="center"/>
    </xf>
    <xf numFmtId="43" fontId="3" fillId="0" borderId="259" xfId="1" applyFont="1" applyFill="1" applyBorder="1" applyAlignment="1" applyProtection="1">
      <alignment horizontal="center" vertical="center"/>
    </xf>
    <xf numFmtId="43" fontId="3" fillId="0" borderId="260" xfId="1" applyFont="1" applyFill="1" applyBorder="1" applyAlignment="1" applyProtection="1">
      <alignment horizontal="center" vertical="center"/>
    </xf>
    <xf numFmtId="0" fontId="4" fillId="0" borderId="261" xfId="0" applyFont="1" applyBorder="1" applyAlignment="1">
      <alignment horizontal="center"/>
    </xf>
    <xf numFmtId="0" fontId="9" fillId="0" borderId="262" xfId="0" applyFont="1" applyBorder="1"/>
    <xf numFmtId="0" fontId="9" fillId="0" borderId="263" xfId="0" applyFont="1" applyBorder="1"/>
    <xf numFmtId="43" fontId="3" fillId="7" borderId="264" xfId="1" applyFont="1" applyFill="1" applyBorder="1" applyAlignment="1" applyProtection="1">
      <alignment horizontal="center" vertical="center"/>
    </xf>
    <xf numFmtId="43" fontId="3" fillId="0" borderId="262" xfId="1" applyFont="1" applyFill="1" applyBorder="1" applyAlignment="1" applyProtection="1">
      <alignment horizontal="center" vertical="center"/>
    </xf>
    <xf numFmtId="43" fontId="3" fillId="18" borderId="264" xfId="1" applyFont="1" applyFill="1" applyBorder="1" applyAlignment="1" applyProtection="1">
      <alignment horizontal="center" vertical="center"/>
    </xf>
    <xf numFmtId="43" fontId="3" fillId="0" borderId="264" xfId="1" applyFont="1" applyFill="1" applyBorder="1" applyAlignment="1" applyProtection="1">
      <alignment horizontal="center" vertical="center"/>
    </xf>
    <xf numFmtId="43" fontId="3" fillId="0" borderId="265" xfId="1" applyFont="1" applyFill="1" applyBorder="1" applyAlignment="1" applyProtection="1">
      <alignment horizontal="center" vertical="center"/>
    </xf>
    <xf numFmtId="1" fontId="260" fillId="0" borderId="2" xfId="0" applyNumberFormat="1" applyFont="1" applyBorder="1" applyAlignment="1">
      <alignment horizontal="center"/>
    </xf>
    <xf numFmtId="0" fontId="29" fillId="46" borderId="167" xfId="0" applyFont="1" applyFill="1" applyBorder="1" applyAlignment="1">
      <alignment horizontal="left" vertical="center"/>
    </xf>
    <xf numFmtId="0" fontId="29" fillId="46" borderId="161" xfId="0" applyFont="1" applyFill="1" applyBorder="1" applyAlignment="1">
      <alignment horizontal="left" vertical="center"/>
    </xf>
    <xf numFmtId="0" fontId="32" fillId="0" borderId="4" xfId="0" applyFont="1" applyBorder="1" applyAlignment="1" applyProtection="1">
      <alignment horizontal="center" vertical="center"/>
      <protection locked="0"/>
    </xf>
    <xf numFmtId="0" fontId="32" fillId="0" borderId="7" xfId="0" applyFont="1" applyBorder="1" applyAlignment="1" applyProtection="1">
      <alignment horizontal="center" vertical="center"/>
      <protection locked="0"/>
    </xf>
    <xf numFmtId="0" fontId="32" fillId="0" borderId="9" xfId="0" applyFont="1" applyBorder="1" applyAlignment="1" applyProtection="1">
      <alignment horizontal="center" vertical="center"/>
      <protection locked="0"/>
    </xf>
    <xf numFmtId="0" fontId="286" fillId="0" borderId="36" xfId="0" applyFont="1" applyBorder="1"/>
    <xf numFmtId="0" fontId="286" fillId="0" borderId="1" xfId="0" applyFont="1" applyBorder="1"/>
    <xf numFmtId="0" fontId="286" fillId="0" borderId="42" xfId="0" applyFont="1" applyBorder="1"/>
    <xf numFmtId="0" fontId="286" fillId="0" borderId="7" xfId="0" applyFont="1" applyBorder="1"/>
    <xf numFmtId="0" fontId="286" fillId="0" borderId="2" xfId="0" applyFont="1" applyBorder="1"/>
    <xf numFmtId="0" fontId="286" fillId="0" borderId="8" xfId="0" applyFont="1" applyBorder="1"/>
    <xf numFmtId="0" fontId="286" fillId="0" borderId="62" xfId="0" applyFont="1" applyBorder="1"/>
    <xf numFmtId="0" fontId="286" fillId="0" borderId="30" xfId="0" applyFont="1" applyBorder="1"/>
    <xf numFmtId="0" fontId="286" fillId="0" borderId="57" xfId="0" applyFont="1" applyBorder="1"/>
    <xf numFmtId="0" fontId="286" fillId="0" borderId="4" xfId="0" applyFont="1" applyBorder="1"/>
    <xf numFmtId="0" fontId="286" fillId="0" borderId="5" xfId="0" applyFont="1" applyBorder="1"/>
    <xf numFmtId="0" fontId="286" fillId="0" borderId="6" xfId="0" applyFont="1" applyBorder="1"/>
    <xf numFmtId="0" fontId="286" fillId="0" borderId="9" xfId="0" applyFont="1" applyBorder="1"/>
    <xf numFmtId="0" fontId="286" fillId="0" borderId="10" xfId="0" applyFont="1" applyBorder="1"/>
    <xf numFmtId="0" fontId="286" fillId="0" borderId="11" xfId="0" applyFont="1" applyBorder="1"/>
    <xf numFmtId="0" fontId="286" fillId="0" borderId="86" xfId="0" applyFont="1" applyBorder="1"/>
    <xf numFmtId="0" fontId="286" fillId="0" borderId="87" xfId="0" applyFont="1" applyBorder="1"/>
    <xf numFmtId="0" fontId="32" fillId="0" borderId="36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center"/>
      <protection locked="0"/>
    </xf>
    <xf numFmtId="0" fontId="32" fillId="0" borderId="62" xfId="0" applyFont="1" applyBorder="1" applyAlignment="1" applyProtection="1">
      <alignment horizontal="center" vertical="center"/>
      <protection locked="0"/>
    </xf>
    <xf numFmtId="0" fontId="32" fillId="0" borderId="57" xfId="0" applyFont="1" applyBorder="1" applyAlignment="1" applyProtection="1">
      <alignment horizontal="center" vertical="center"/>
      <protection locked="0"/>
    </xf>
    <xf numFmtId="0" fontId="32" fillId="0" borderId="53" xfId="0" applyFont="1" applyBorder="1" applyAlignment="1" applyProtection="1">
      <alignment horizontal="center" vertical="center"/>
      <protection locked="0"/>
    </xf>
    <xf numFmtId="0" fontId="32" fillId="0" borderId="55" xfId="0" applyFont="1" applyBorder="1" applyAlignment="1" applyProtection="1">
      <alignment horizontal="center" vertical="center"/>
      <protection locked="0"/>
    </xf>
    <xf numFmtId="0" fontId="39" fillId="0" borderId="98" xfId="0" applyFont="1" applyBorder="1" applyAlignment="1">
      <alignment horizontal="center" vertical="center"/>
    </xf>
    <xf numFmtId="0" fontId="236" fillId="0" borderId="98" xfId="0" applyFont="1" applyBorder="1" applyAlignment="1">
      <alignment horizontal="center" vertical="center"/>
    </xf>
    <xf numFmtId="0" fontId="62" fillId="0" borderId="271" xfId="0" applyFont="1" applyBorder="1" applyAlignment="1">
      <alignment horizontal="center" vertical="center"/>
    </xf>
    <xf numFmtId="0" fontId="62" fillId="0" borderId="272" xfId="0" applyFont="1" applyBorder="1" applyAlignment="1">
      <alignment horizontal="right" vertical="center"/>
    </xf>
    <xf numFmtId="0" fontId="37" fillId="0" borderId="273" xfId="0" applyFont="1" applyBorder="1"/>
    <xf numFmtId="170" fontId="29" fillId="0" borderId="275" xfId="0" applyNumberFormat="1" applyFont="1" applyBorder="1"/>
    <xf numFmtId="0" fontId="31" fillId="35" borderId="268" xfId="0" applyFont="1" applyFill="1" applyBorder="1" applyAlignment="1">
      <alignment horizontal="center" vertical="center"/>
    </xf>
    <xf numFmtId="0" fontId="31" fillId="35" borderId="269" xfId="0" applyFont="1" applyFill="1" applyBorder="1" applyAlignment="1">
      <alignment horizontal="center" vertical="center"/>
    </xf>
    <xf numFmtId="0" fontId="31" fillId="35" borderId="270" xfId="0" applyFont="1" applyFill="1" applyBorder="1" applyAlignment="1">
      <alignment horizontal="center" vertical="center"/>
    </xf>
    <xf numFmtId="0" fontId="37" fillId="0" borderId="276" xfId="0" applyFont="1" applyBorder="1"/>
    <xf numFmtId="0" fontId="29" fillId="0" borderId="277" xfId="0" applyFont="1" applyBorder="1"/>
    <xf numFmtId="167" fontId="42" fillId="19" borderId="266" xfId="0" applyNumberFormat="1" applyFont="1" applyFill="1" applyBorder="1"/>
    <xf numFmtId="167" fontId="32" fillId="0" borderId="59" xfId="0" applyNumberFormat="1" applyFont="1" applyBorder="1" applyAlignment="1">
      <alignment horizontal="center" vertical="center"/>
    </xf>
    <xf numFmtId="167" fontId="32" fillId="0" borderId="37" xfId="0" applyNumberFormat="1" applyFont="1" applyBorder="1" applyAlignment="1">
      <alignment horizontal="center" vertical="center"/>
    </xf>
    <xf numFmtId="43" fontId="32" fillId="0" borderId="27" xfId="1" applyFont="1" applyBorder="1" applyAlignment="1">
      <alignment horizontal="center" vertical="center"/>
    </xf>
    <xf numFmtId="43" fontId="32" fillId="0" borderId="50" xfId="1" applyFont="1" applyBorder="1" applyAlignment="1">
      <alignment horizontal="center" vertical="center"/>
    </xf>
    <xf numFmtId="43" fontId="32" fillId="0" borderId="29" xfId="1" applyFont="1" applyBorder="1" applyAlignment="1">
      <alignment horizontal="center" vertical="center"/>
    </xf>
    <xf numFmtId="43" fontId="32" fillId="0" borderId="58" xfId="1" applyFont="1" applyBorder="1" applyAlignment="1">
      <alignment horizontal="center" vertical="center"/>
    </xf>
    <xf numFmtId="43" fontId="32" fillId="0" borderId="46" xfId="1" applyFont="1" applyBorder="1" applyAlignment="1">
      <alignment horizontal="center" vertical="center"/>
    </xf>
    <xf numFmtId="0" fontId="0" fillId="22" borderId="294" xfId="0" applyFill="1" applyBorder="1" applyAlignment="1">
      <alignment horizontal="left" vertical="center"/>
    </xf>
    <xf numFmtId="0" fontId="0" fillId="22" borderId="295" xfId="0" applyFill="1" applyBorder="1" applyAlignment="1">
      <alignment horizontal="left" vertical="center"/>
    </xf>
    <xf numFmtId="0" fontId="0" fillId="22" borderId="296" xfId="0" applyFill="1" applyBorder="1" applyAlignment="1">
      <alignment horizontal="left" vertical="center"/>
    </xf>
    <xf numFmtId="0" fontId="276" fillId="62" borderId="298" xfId="0" applyFont="1" applyFill="1" applyBorder="1" applyAlignment="1">
      <alignment horizontal="center" vertical="center"/>
    </xf>
    <xf numFmtId="0" fontId="276" fillId="62" borderId="299" xfId="0" applyFont="1" applyFill="1" applyBorder="1" applyAlignment="1">
      <alignment horizontal="center" vertical="center"/>
    </xf>
    <xf numFmtId="0" fontId="276" fillId="62" borderId="300" xfId="0" applyFont="1" applyFill="1" applyBorder="1" applyAlignment="1">
      <alignment horizontal="center" vertical="center"/>
    </xf>
    <xf numFmtId="0" fontId="276" fillId="62" borderId="301" xfId="0" applyFont="1" applyFill="1" applyBorder="1" applyAlignment="1">
      <alignment horizontal="center" vertical="center"/>
    </xf>
    <xf numFmtId="0" fontId="2" fillId="46" borderId="302" xfId="0" applyFont="1" applyFill="1" applyBorder="1" applyAlignment="1">
      <alignment horizontal="center" vertical="center"/>
    </xf>
    <xf numFmtId="0" fontId="2" fillId="45" borderId="303" xfId="0" applyFont="1" applyFill="1" applyBorder="1" applyAlignment="1">
      <alignment horizontal="center" vertical="center"/>
    </xf>
    <xf numFmtId="0" fontId="2" fillId="45" borderId="304" xfId="0" applyFont="1" applyFill="1" applyBorder="1" applyAlignment="1">
      <alignment horizontal="center" vertical="center"/>
    </xf>
    <xf numFmtId="0" fontId="2" fillId="45" borderId="266" xfId="0" applyFont="1" applyFill="1" applyBorder="1" applyAlignment="1">
      <alignment horizontal="center" vertical="center" wrapText="1"/>
    </xf>
    <xf numFmtId="0" fontId="2" fillId="45" borderId="305" xfId="0" applyFont="1" applyFill="1" applyBorder="1" applyAlignment="1">
      <alignment horizontal="center" vertical="center" wrapText="1"/>
    </xf>
    <xf numFmtId="0" fontId="2" fillId="45" borderId="306" xfId="0" applyFont="1" applyFill="1" applyBorder="1" applyAlignment="1">
      <alignment horizontal="center" vertical="center" wrapText="1"/>
    </xf>
    <xf numFmtId="2" fontId="15" fillId="0" borderId="0" xfId="30" applyNumberFormat="1" applyFont="1"/>
    <xf numFmtId="0" fontId="34" fillId="16" borderId="17" xfId="0" applyFont="1" applyFill="1" applyBorder="1" applyAlignment="1">
      <alignment horizontal="center" vertical="center" wrapText="1"/>
    </xf>
    <xf numFmtId="0" fontId="34" fillId="16" borderId="3" xfId="0" applyFont="1" applyFill="1" applyBorder="1" applyAlignment="1">
      <alignment horizontal="center" vertical="center" wrapText="1"/>
    </xf>
    <xf numFmtId="0" fontId="34" fillId="16" borderId="38" xfId="0" applyFont="1" applyFill="1" applyBorder="1" applyAlignment="1">
      <alignment horizontal="center" vertical="center" wrapText="1"/>
    </xf>
    <xf numFmtId="167" fontId="32" fillId="0" borderId="26" xfId="0" applyNumberFormat="1" applyFont="1" applyBorder="1" applyAlignment="1">
      <alignment horizontal="center" vertical="center"/>
    </xf>
    <xf numFmtId="167" fontId="218" fillId="9" borderId="266" xfId="0" applyNumberFormat="1" applyFont="1" applyFill="1" applyBorder="1" applyAlignment="1" applyProtection="1">
      <alignment horizontal="center"/>
      <protection locked="0"/>
    </xf>
    <xf numFmtId="167" fontId="32" fillId="0" borderId="56" xfId="0" applyNumberFormat="1" applyFont="1" applyBorder="1" applyAlignment="1">
      <alignment horizontal="center" vertical="center"/>
    </xf>
    <xf numFmtId="0" fontId="62" fillId="51" borderId="266" xfId="0" applyFont="1" applyFill="1" applyBorder="1" applyAlignment="1">
      <alignment horizontal="center" vertical="center"/>
    </xf>
    <xf numFmtId="0" fontId="312" fillId="0" borderId="0" xfId="0" applyFont="1" applyAlignment="1">
      <alignment horizontal="center"/>
    </xf>
    <xf numFmtId="0" fontId="35" fillId="4" borderId="305" xfId="0" applyFont="1" applyFill="1" applyBorder="1" applyAlignment="1">
      <alignment horizontal="center" vertical="center" wrapText="1"/>
    </xf>
    <xf numFmtId="167" fontId="32" fillId="0" borderId="293" xfId="0" applyNumberFormat="1" applyFont="1" applyBorder="1" applyAlignment="1">
      <alignment horizontal="center" vertical="center"/>
    </xf>
    <xf numFmtId="167" fontId="32" fillId="35" borderId="260" xfId="0" applyNumberFormat="1" applyFont="1" applyFill="1" applyBorder="1" applyAlignment="1">
      <alignment horizontal="center" vertical="center"/>
    </xf>
    <xf numFmtId="167" fontId="32" fillId="0" borderId="16" xfId="0" applyNumberFormat="1" applyFont="1" applyBorder="1" applyAlignment="1">
      <alignment horizontal="center" vertical="center"/>
    </xf>
    <xf numFmtId="167" fontId="32" fillId="0" borderId="307" xfId="0" applyNumberFormat="1" applyFont="1" applyBorder="1" applyAlignment="1">
      <alignment horizontal="center" vertical="center"/>
    </xf>
    <xf numFmtId="167" fontId="32" fillId="0" borderId="308" xfId="0" applyNumberFormat="1" applyFont="1" applyBorder="1" applyAlignment="1">
      <alignment horizontal="center" vertical="center"/>
    </xf>
    <xf numFmtId="167" fontId="32" fillId="0" borderId="309" xfId="0" applyNumberFormat="1" applyFont="1" applyBorder="1" applyAlignment="1">
      <alignment horizontal="center" vertical="center"/>
    </xf>
    <xf numFmtId="178" fontId="257" fillId="0" borderId="0" xfId="0" applyNumberFormat="1" applyFont="1"/>
    <xf numFmtId="173" fontId="39" fillId="0" borderId="1" xfId="0" applyNumberFormat="1" applyFont="1" applyBorder="1" applyAlignment="1">
      <alignment horizontal="center" vertical="center"/>
    </xf>
    <xf numFmtId="173" fontId="39" fillId="0" borderId="2" xfId="0" applyNumberFormat="1" applyFont="1" applyBorder="1" applyAlignment="1">
      <alignment horizontal="center" vertical="center"/>
    </xf>
    <xf numFmtId="0" fontId="303" fillId="0" borderId="22" xfId="0" applyFont="1" applyBorder="1" applyAlignment="1" applyProtection="1">
      <alignment horizontal="center" vertical="center" wrapText="1"/>
      <protection locked="0"/>
    </xf>
    <xf numFmtId="0" fontId="32" fillId="4" borderId="50" xfId="0" applyFont="1" applyFill="1" applyBorder="1" applyAlignment="1" applyProtection="1">
      <alignment horizontal="center" vertical="center" wrapText="1"/>
      <protection locked="0"/>
    </xf>
    <xf numFmtId="0" fontId="32" fillId="4" borderId="27" xfId="0" applyFont="1" applyFill="1" applyBorder="1" applyAlignment="1" applyProtection="1">
      <alignment horizontal="center" vertical="center" wrapText="1"/>
      <protection locked="0"/>
    </xf>
    <xf numFmtId="0" fontId="32" fillId="4" borderId="29" xfId="0" applyFont="1" applyFill="1" applyBorder="1" applyAlignment="1" applyProtection="1">
      <alignment horizontal="center" vertical="center" wrapText="1"/>
      <protection locked="0"/>
    </xf>
    <xf numFmtId="0" fontId="35" fillId="4" borderId="31" xfId="0" applyFont="1" applyFill="1" applyBorder="1" applyAlignment="1">
      <alignment vertical="center" wrapText="1"/>
    </xf>
    <xf numFmtId="167" fontId="42" fillId="2" borderId="310" xfId="0" applyNumberFormat="1" applyFont="1" applyFill="1" applyBorder="1"/>
    <xf numFmtId="167" fontId="42" fillId="19" borderId="293" xfId="0" applyNumberFormat="1" applyFont="1" applyFill="1" applyBorder="1"/>
    <xf numFmtId="0" fontId="35" fillId="4" borderId="68" xfId="0" applyFont="1" applyFill="1" applyBorder="1" applyAlignment="1">
      <alignment vertical="center" wrapText="1"/>
    </xf>
    <xf numFmtId="167" fontId="220" fillId="30" borderId="293" xfId="0" applyNumberFormat="1" applyFont="1" applyFill="1" applyBorder="1"/>
    <xf numFmtId="0" fontId="35" fillId="4" borderId="257" xfId="0" applyFont="1" applyFill="1" applyBorder="1" applyAlignment="1">
      <alignment vertical="center" wrapText="1"/>
    </xf>
    <xf numFmtId="43" fontId="32" fillId="0" borderId="311" xfId="1" applyFont="1" applyBorder="1" applyAlignment="1">
      <alignment horizontal="center" vertical="center"/>
    </xf>
    <xf numFmtId="43" fontId="32" fillId="0" borderId="312" xfId="0" applyNumberFormat="1" applyFont="1" applyBorder="1" applyAlignment="1">
      <alignment horizontal="center" vertical="center"/>
    </xf>
    <xf numFmtId="167" fontId="32" fillId="0" borderId="313" xfId="0" applyNumberFormat="1" applyFont="1" applyBorder="1" applyAlignment="1">
      <alignment horizontal="center" vertical="center"/>
    </xf>
    <xf numFmtId="0" fontId="29" fillId="46" borderId="316" xfId="0" applyFont="1" applyFill="1" applyBorder="1" applyAlignment="1">
      <alignment horizontal="left" vertical="center"/>
    </xf>
    <xf numFmtId="0" fontId="29" fillId="46" borderId="323" xfId="0" applyFont="1" applyFill="1" applyBorder="1" applyAlignment="1">
      <alignment horizontal="left" vertical="center"/>
    </xf>
    <xf numFmtId="0" fontId="313" fillId="80" borderId="2" xfId="0" applyFont="1" applyFill="1" applyBorder="1" applyAlignment="1">
      <alignment horizontal="center" vertical="center" wrapText="1"/>
    </xf>
    <xf numFmtId="0" fontId="62" fillId="0" borderId="0" xfId="0" applyFont="1"/>
    <xf numFmtId="0" fontId="30" fillId="0" borderId="0" xfId="0" applyFont="1" applyAlignment="1">
      <alignment horizontal="center" vertical="center"/>
    </xf>
    <xf numFmtId="3" fontId="195" fillId="0" borderId="0" xfId="0" applyNumberFormat="1" applyFont="1" applyAlignment="1">
      <alignment horizontal="center" vertical="center"/>
    </xf>
    <xf numFmtId="0" fontId="38" fillId="0" borderId="0" xfId="0" applyFont="1" applyProtection="1">
      <protection locked="0"/>
    </xf>
    <xf numFmtId="0" fontId="195" fillId="0" borderId="0" xfId="0" applyFont="1" applyAlignment="1" applyProtection="1">
      <alignment horizontal="center" vertical="center"/>
      <protection locked="0"/>
    </xf>
    <xf numFmtId="0" fontId="195" fillId="0" borderId="0" xfId="0" applyFont="1" applyProtection="1">
      <protection locked="0"/>
    </xf>
    <xf numFmtId="173" fontId="195" fillId="0" borderId="0" xfId="0" applyNumberFormat="1" applyFont="1"/>
    <xf numFmtId="0" fontId="273" fillId="81" borderId="84" xfId="0" applyFont="1" applyFill="1" applyBorder="1" applyAlignment="1">
      <alignment horizontal="center"/>
    </xf>
    <xf numFmtId="0" fontId="263" fillId="81" borderId="84" xfId="0" applyFont="1" applyFill="1" applyBorder="1" applyAlignment="1">
      <alignment horizontal="center" wrapText="1"/>
    </xf>
    <xf numFmtId="0" fontId="96" fillId="0" borderId="84" xfId="0" applyFont="1" applyBorder="1" applyAlignment="1">
      <alignment horizontal="center" vertical="center"/>
    </xf>
    <xf numFmtId="0" fontId="96" fillId="0" borderId="84" xfId="0" applyFont="1" applyBorder="1" applyAlignment="1">
      <alignment horizontal="center"/>
    </xf>
    <xf numFmtId="0" fontId="55" fillId="0" borderId="84" xfId="0" applyFont="1" applyBorder="1" applyAlignment="1">
      <alignment horizontal="center"/>
    </xf>
    <xf numFmtId="0" fontId="96" fillId="0" borderId="94" xfId="0" applyFont="1" applyBorder="1" applyAlignment="1">
      <alignment horizontal="center"/>
    </xf>
    <xf numFmtId="0" fontId="96" fillId="0" borderId="84" xfId="26" applyFont="1" applyBorder="1" applyAlignment="1">
      <alignment horizontal="center"/>
    </xf>
    <xf numFmtId="0" fontId="96" fillId="0" borderId="92" xfId="26" applyFont="1" applyBorder="1" applyAlignment="1">
      <alignment horizontal="center"/>
    </xf>
    <xf numFmtId="0" fontId="96" fillId="0" borderId="2" xfId="26" applyFont="1" applyBorder="1" applyAlignment="1">
      <alignment horizontal="center"/>
    </xf>
    <xf numFmtId="0" fontId="314" fillId="0" borderId="2" xfId="0" applyFont="1" applyBorder="1" applyAlignment="1">
      <alignment horizontal="center"/>
    </xf>
    <xf numFmtId="44" fontId="0" fillId="0" borderId="0" xfId="30" applyFont="1"/>
    <xf numFmtId="44" fontId="15" fillId="0" borderId="0" xfId="30" applyFont="1"/>
    <xf numFmtId="0" fontId="33" fillId="82" borderId="193" xfId="0" applyFont="1" applyFill="1" applyBorder="1" applyAlignment="1">
      <alignment horizontal="center" vertical="center"/>
    </xf>
    <xf numFmtId="3" fontId="29" fillId="82" borderId="167" xfId="0" applyNumberFormat="1" applyFont="1" applyFill="1" applyBorder="1" applyAlignment="1">
      <alignment horizontal="center" vertical="center"/>
    </xf>
    <xf numFmtId="3" fontId="29" fillId="82" borderId="161" xfId="0" applyNumberFormat="1" applyFont="1" applyFill="1" applyBorder="1" applyAlignment="1">
      <alignment horizontal="center" vertical="center"/>
    </xf>
    <xf numFmtId="0" fontId="29" fillId="0" borderId="161" xfId="0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 wrapText="1"/>
    </xf>
    <xf numFmtId="44" fontId="29" fillId="0" borderId="0" xfId="30" applyFont="1" applyProtection="1">
      <protection locked="0"/>
    </xf>
    <xf numFmtId="173" fontId="42" fillId="0" borderId="2" xfId="1" applyNumberFormat="1" applyFont="1" applyBorder="1" applyAlignment="1">
      <alignment horizontal="center" vertical="center"/>
    </xf>
    <xf numFmtId="0" fontId="34" fillId="9" borderId="324" xfId="0" applyFont="1" applyFill="1" applyBorder="1" applyAlignment="1">
      <alignment horizontal="center" vertical="center" wrapText="1"/>
    </xf>
    <xf numFmtId="0" fontId="32" fillId="0" borderId="27" xfId="0" applyFont="1" applyBorder="1" applyAlignment="1" applyProtection="1">
      <alignment horizontal="center" vertical="center" wrapText="1"/>
      <protection locked="0"/>
    </xf>
    <xf numFmtId="0" fontId="32" fillId="0" borderId="29" xfId="0" applyFont="1" applyBorder="1" applyAlignment="1" applyProtection="1">
      <alignment horizontal="center" vertical="center" wrapText="1"/>
      <protection locked="0"/>
    </xf>
    <xf numFmtId="0" fontId="35" fillId="4" borderId="13" xfId="0" applyFont="1" applyFill="1" applyBorder="1" applyAlignment="1">
      <alignment vertical="center" wrapText="1"/>
    </xf>
    <xf numFmtId="1" fontId="14" fillId="0" borderId="63" xfId="0" applyNumberFormat="1" applyFont="1" applyBorder="1" applyAlignment="1" applyProtection="1">
      <alignment horizontal="center" vertical="center"/>
      <protection locked="0"/>
    </xf>
    <xf numFmtId="180" fontId="62" fillId="0" borderId="0" xfId="0" applyNumberFormat="1" applyFont="1" applyAlignment="1" applyProtection="1">
      <alignment horizontal="center" vertical="center"/>
      <protection locked="0"/>
    </xf>
    <xf numFmtId="44" fontId="62" fillId="0" borderId="0" xfId="30" applyFont="1" applyAlignment="1" applyProtection="1">
      <alignment horizontal="center" vertical="center"/>
      <protection locked="0"/>
    </xf>
    <xf numFmtId="44" fontId="315" fillId="0" borderId="0" xfId="30" applyFont="1"/>
    <xf numFmtId="0" fontId="0" fillId="22" borderId="325" xfId="0" applyFill="1" applyBorder="1" applyAlignment="1">
      <alignment horizontal="center" vertical="center"/>
    </xf>
    <xf numFmtId="0" fontId="0" fillId="22" borderId="326" xfId="0" applyFill="1" applyBorder="1" applyAlignment="1">
      <alignment horizontal="left" vertical="center"/>
    </xf>
    <xf numFmtId="0" fontId="276" fillId="62" borderId="267" xfId="0" applyFont="1" applyFill="1" applyBorder="1" applyAlignment="1">
      <alignment horizontal="center" vertical="center"/>
    </xf>
    <xf numFmtId="0" fontId="276" fillId="62" borderId="19" xfId="0" applyFont="1" applyFill="1" applyBorder="1" applyAlignment="1">
      <alignment horizontal="center" vertical="center"/>
    </xf>
    <xf numFmtId="0" fontId="125" fillId="35" borderId="31" xfId="0" applyFont="1" applyFill="1" applyBorder="1" applyAlignment="1">
      <alignment horizontal="center"/>
    </xf>
    <xf numFmtId="0" fontId="125" fillId="35" borderId="25" xfId="0" applyFont="1" applyFill="1" applyBorder="1" applyAlignment="1">
      <alignment horizontal="center"/>
    </xf>
    <xf numFmtId="0" fontId="137" fillId="11" borderId="17" xfId="0" applyFont="1" applyFill="1" applyBorder="1" applyAlignment="1">
      <alignment horizontal="center" vertical="center" wrapText="1"/>
    </xf>
    <xf numFmtId="0" fontId="137" fillId="84" borderId="25" xfId="0" applyFont="1" applyFill="1" applyBorder="1" applyAlignment="1">
      <alignment horizontal="center" vertical="center" wrapText="1"/>
    </xf>
    <xf numFmtId="0" fontId="137" fillId="84" borderId="32" xfId="0" applyFont="1" applyFill="1" applyBorder="1" applyAlignment="1">
      <alignment horizontal="center" vertical="center" wrapText="1"/>
    </xf>
    <xf numFmtId="0" fontId="141" fillId="0" borderId="0" xfId="0" applyFont="1" applyAlignment="1">
      <alignment horizontal="center"/>
    </xf>
    <xf numFmtId="0" fontId="141" fillId="0" borderId="13" xfId="0" applyFont="1" applyBorder="1" applyAlignment="1">
      <alignment horizontal="center"/>
    </xf>
    <xf numFmtId="0" fontId="38" fillId="0" borderId="40" xfId="0" applyFont="1" applyBorder="1" applyAlignment="1">
      <alignment horizontal="center" vertical="center"/>
    </xf>
    <xf numFmtId="0" fontId="38" fillId="33" borderId="40" xfId="0" applyFont="1" applyFill="1" applyBorder="1" applyAlignment="1">
      <alignment horizontal="center" vertical="center"/>
    </xf>
    <xf numFmtId="0" fontId="38" fillId="0" borderId="23" xfId="0" applyFont="1" applyBorder="1" applyAlignment="1">
      <alignment horizontal="center" vertical="center"/>
    </xf>
    <xf numFmtId="0" fontId="38" fillId="33" borderId="23" xfId="0" applyFont="1" applyFill="1" applyBorder="1" applyAlignment="1">
      <alignment horizontal="center" vertical="center"/>
    </xf>
    <xf numFmtId="0" fontId="38" fillId="32" borderId="23" xfId="0" applyFont="1" applyFill="1" applyBorder="1" applyAlignment="1">
      <alignment horizontal="center" vertical="center"/>
    </xf>
    <xf numFmtId="0" fontId="217" fillId="0" borderId="13" xfId="31" applyFont="1" applyBorder="1" applyAlignment="1">
      <alignment horizontal="center"/>
    </xf>
    <xf numFmtId="0" fontId="214" fillId="0" borderId="13" xfId="0" applyFont="1" applyBorder="1" applyAlignment="1">
      <alignment horizontal="center" vertical="center"/>
    </xf>
    <xf numFmtId="0" fontId="216" fillId="32" borderId="13" xfId="0" applyFont="1" applyFill="1" applyBorder="1" applyAlignment="1">
      <alignment horizontal="center" vertical="center"/>
    </xf>
    <xf numFmtId="0" fontId="216" fillId="0" borderId="13" xfId="0" applyFont="1" applyBorder="1" applyAlignment="1">
      <alignment horizontal="center" vertical="center"/>
    </xf>
    <xf numFmtId="0" fontId="316" fillId="22" borderId="23" xfId="22" applyFont="1" applyFill="1" applyBorder="1" applyAlignment="1">
      <alignment horizontal="center" vertical="center"/>
    </xf>
    <xf numFmtId="0" fontId="316" fillId="0" borderId="23" xfId="22" applyFont="1" applyBorder="1" applyAlignment="1">
      <alignment horizontal="center" vertical="center"/>
    </xf>
    <xf numFmtId="0" fontId="31" fillId="4" borderId="62" xfId="0" applyFont="1" applyFill="1" applyBorder="1" applyAlignment="1" applyProtection="1">
      <alignment horizontal="center" vertical="center"/>
      <protection locked="0"/>
    </xf>
    <xf numFmtId="0" fontId="31" fillId="4" borderId="30" xfId="0" applyFont="1" applyFill="1" applyBorder="1" applyAlignment="1" applyProtection="1">
      <alignment horizontal="center" vertical="center"/>
      <protection locked="0"/>
    </xf>
    <xf numFmtId="0" fontId="187" fillId="0" borderId="30" xfId="0" applyFont="1" applyBorder="1" applyAlignment="1" applyProtection="1">
      <alignment horizontal="center" vertical="center"/>
      <protection locked="0"/>
    </xf>
    <xf numFmtId="0" fontId="31" fillId="4" borderId="53" xfId="0" applyFont="1" applyFill="1" applyBorder="1" applyAlignment="1" applyProtection="1">
      <alignment horizontal="center" vertical="center"/>
      <protection locked="0"/>
    </xf>
    <xf numFmtId="0" fontId="31" fillId="4" borderId="54" xfId="0" applyFont="1" applyFill="1" applyBorder="1" applyAlignment="1" applyProtection="1">
      <alignment horizontal="center" vertical="center"/>
      <protection locked="0"/>
    </xf>
    <xf numFmtId="43" fontId="151" fillId="0" borderId="25" xfId="1" applyFont="1" applyFill="1" applyBorder="1" applyAlignment="1" applyProtection="1">
      <alignment horizontal="center" vertical="center"/>
    </xf>
    <xf numFmtId="0" fontId="187" fillId="0" borderId="64" xfId="0" applyFont="1" applyBorder="1" applyAlignment="1" applyProtection="1">
      <alignment horizontal="center" vertical="center" wrapText="1"/>
      <protection locked="0"/>
    </xf>
    <xf numFmtId="0" fontId="187" fillId="0" borderId="22" xfId="0" applyFont="1" applyBorder="1" applyAlignment="1" applyProtection="1">
      <alignment horizontal="center" vertical="center" wrapText="1"/>
      <protection locked="0"/>
    </xf>
    <xf numFmtId="0" fontId="187" fillId="0" borderId="35" xfId="0" applyFont="1" applyBorder="1" applyAlignment="1" applyProtection="1">
      <alignment horizontal="center" vertical="center" wrapText="1"/>
      <protection locked="0"/>
    </xf>
    <xf numFmtId="0" fontId="187" fillId="0" borderId="64" xfId="0" applyFont="1" applyBorder="1" applyAlignment="1" applyProtection="1">
      <alignment horizontal="center" vertical="center"/>
      <protection locked="0"/>
    </xf>
    <xf numFmtId="0" fontId="187" fillId="0" borderId="22" xfId="0" applyFont="1" applyBorder="1" applyAlignment="1" applyProtection="1">
      <alignment horizontal="center" vertical="center"/>
      <protection locked="0"/>
    </xf>
    <xf numFmtId="0" fontId="187" fillId="0" borderId="65" xfId="0" applyFont="1" applyBorder="1" applyAlignment="1" applyProtection="1">
      <alignment horizontal="center" vertical="center"/>
      <protection locked="0"/>
    </xf>
    <xf numFmtId="0" fontId="187" fillId="0" borderId="37" xfId="0" applyFont="1" applyBorder="1" applyAlignment="1" applyProtection="1">
      <alignment horizontal="center" vertical="center"/>
      <protection locked="0"/>
    </xf>
    <xf numFmtId="0" fontId="187" fillId="0" borderId="35" xfId="0" applyFont="1" applyBorder="1" applyAlignment="1" applyProtection="1">
      <alignment horizontal="center" vertical="center"/>
      <protection locked="0"/>
    </xf>
    <xf numFmtId="43" fontId="151" fillId="0" borderId="27" xfId="0" applyNumberFormat="1" applyFont="1" applyBorder="1" applyAlignment="1">
      <alignment horizontal="center" vertical="center"/>
    </xf>
    <xf numFmtId="43" fontId="151" fillId="0" borderId="21" xfId="1" applyFont="1" applyFill="1" applyBorder="1" applyAlignment="1" applyProtection="1">
      <alignment horizontal="center" vertical="center"/>
    </xf>
    <xf numFmtId="43" fontId="151" fillId="0" borderId="23" xfId="1" applyFont="1" applyFill="1" applyBorder="1" applyAlignment="1" applyProtection="1">
      <alignment horizontal="center" vertical="center"/>
    </xf>
    <xf numFmtId="43" fontId="151" fillId="0" borderId="24" xfId="1" applyFont="1" applyFill="1" applyBorder="1" applyAlignment="1" applyProtection="1">
      <alignment horizontal="center" vertical="center"/>
    </xf>
    <xf numFmtId="43" fontId="151" fillId="0" borderId="40" xfId="1" applyFont="1" applyFill="1" applyBorder="1" applyAlignment="1" applyProtection="1">
      <alignment horizontal="center" vertical="center"/>
    </xf>
    <xf numFmtId="43" fontId="151" fillId="0" borderId="60" xfId="1" applyFont="1" applyFill="1" applyBorder="1" applyAlignment="1" applyProtection="1">
      <alignment horizontal="center" vertical="center"/>
    </xf>
    <xf numFmtId="43" fontId="39" fillId="0" borderId="25" xfId="0" applyNumberFormat="1" applyFont="1" applyBorder="1" applyAlignment="1">
      <alignment horizontal="center" vertical="center" wrapText="1"/>
    </xf>
    <xf numFmtId="0" fontId="34" fillId="0" borderId="54" xfId="0" applyFont="1" applyBorder="1" applyAlignment="1">
      <alignment horizontal="center" vertical="center" wrapText="1"/>
    </xf>
    <xf numFmtId="0" fontId="34" fillId="0" borderId="59" xfId="0" applyFont="1" applyBorder="1" applyAlignment="1">
      <alignment horizontal="center" vertical="center" wrapText="1"/>
    </xf>
    <xf numFmtId="0" fontId="34" fillId="0" borderId="58" xfId="0" applyFont="1" applyBorder="1" applyAlignment="1">
      <alignment horizontal="center" vertical="center" wrapText="1"/>
    </xf>
    <xf numFmtId="0" fontId="0" fillId="4" borderId="55" xfId="0" applyFill="1" applyBorder="1" applyAlignment="1">
      <alignment vertical="center" wrapText="1"/>
    </xf>
    <xf numFmtId="3" fontId="33" fillId="46" borderId="13" xfId="0" applyNumberFormat="1" applyFont="1" applyFill="1" applyBorder="1" applyAlignment="1">
      <alignment horizontal="center" vertical="center"/>
    </xf>
    <xf numFmtId="3" fontId="33" fillId="0" borderId="25" xfId="0" applyNumberFormat="1" applyFont="1" applyBorder="1" applyAlignment="1">
      <alignment horizontal="center" vertical="center"/>
    </xf>
    <xf numFmtId="0" fontId="279" fillId="38" borderId="323" xfId="0" applyFont="1" applyFill="1" applyBorder="1" applyAlignment="1">
      <alignment horizontal="center" vertical="center"/>
    </xf>
    <xf numFmtId="178" fontId="0" fillId="0" borderId="0" xfId="0" applyNumberFormat="1"/>
    <xf numFmtId="44" fontId="0" fillId="0" borderId="0" xfId="0" applyNumberFormat="1"/>
    <xf numFmtId="0" fontId="62" fillId="0" borderId="331" xfId="0" applyFont="1" applyBorder="1" applyAlignment="1">
      <alignment horizontal="center" vertical="center"/>
    </xf>
    <xf numFmtId="0" fontId="62" fillId="0" borderId="332" xfId="0" applyFont="1" applyBorder="1" applyAlignment="1">
      <alignment horizontal="right" vertical="center"/>
    </xf>
    <xf numFmtId="0" fontId="41" fillId="0" borderId="333" xfId="0" applyFont="1" applyBorder="1" applyAlignment="1">
      <alignment horizontal="center" vertical="center"/>
    </xf>
    <xf numFmtId="167" fontId="62" fillId="0" borderId="334" xfId="0" applyNumberFormat="1" applyFont="1" applyBorder="1" applyAlignment="1">
      <alignment horizontal="center" vertical="center"/>
    </xf>
    <xf numFmtId="0" fontId="62" fillId="0" borderId="335" xfId="0" applyFont="1" applyBorder="1" applyAlignment="1">
      <alignment horizontal="right" vertical="center"/>
    </xf>
    <xf numFmtId="0" fontId="31" fillId="6" borderId="53" xfId="0" applyFont="1" applyFill="1" applyBorder="1" applyAlignment="1">
      <alignment horizontal="center" vertical="center"/>
    </xf>
    <xf numFmtId="167" fontId="91" fillId="6" borderId="54" xfId="0" applyNumberFormat="1" applyFont="1" applyFill="1" applyBorder="1" applyAlignment="1">
      <alignment horizontal="center" vertical="center"/>
    </xf>
    <xf numFmtId="167" fontId="31" fillId="6" borderId="55" xfId="0" applyNumberFormat="1" applyFont="1" applyFill="1" applyBorder="1" applyAlignment="1">
      <alignment horizontal="center" vertical="center"/>
    </xf>
    <xf numFmtId="181" fontId="46" fillId="4" borderId="0" xfId="0" applyNumberFormat="1" applyFont="1" applyFill="1" applyAlignment="1">
      <alignment horizontal="center" vertical="center"/>
    </xf>
    <xf numFmtId="0" fontId="34" fillId="34" borderId="336" xfId="0" applyFont="1" applyFill="1" applyBorder="1" applyAlignment="1">
      <alignment horizontal="center" vertical="center"/>
    </xf>
    <xf numFmtId="0" fontId="34" fillId="34" borderId="66" xfId="0" applyFont="1" applyFill="1" applyBorder="1" applyAlignment="1">
      <alignment horizontal="center" vertical="center"/>
    </xf>
    <xf numFmtId="0" fontId="34" fillId="34" borderId="88" xfId="0" applyFont="1" applyFill="1" applyBorder="1" applyAlignment="1">
      <alignment horizontal="center" vertical="center"/>
    </xf>
    <xf numFmtId="0" fontId="34" fillId="4" borderId="13" xfId="0" applyFont="1" applyFill="1" applyBorder="1" applyAlignment="1">
      <alignment horizontal="center" vertical="center" wrapText="1"/>
    </xf>
    <xf numFmtId="0" fontId="151" fillId="4" borderId="13" xfId="0" applyFont="1" applyFill="1" applyBorder="1" applyAlignment="1">
      <alignment horizontal="center" vertical="center" wrapText="1"/>
    </xf>
    <xf numFmtId="0" fontId="286" fillId="0" borderId="39" xfId="0" applyFont="1" applyBorder="1"/>
    <xf numFmtId="0" fontId="286" fillId="0" borderId="27" xfId="0" applyFont="1" applyBorder="1"/>
    <xf numFmtId="0" fontId="235" fillId="3" borderId="53" xfId="0" applyFont="1" applyFill="1" applyBorder="1" applyAlignment="1">
      <alignment horizontal="center" vertical="center" wrapText="1"/>
    </xf>
    <xf numFmtId="0" fontId="235" fillId="3" borderId="54" xfId="0" applyFont="1" applyFill="1" applyBorder="1" applyAlignment="1">
      <alignment horizontal="center" vertical="center" wrapText="1"/>
    </xf>
    <xf numFmtId="0" fontId="235" fillId="3" borderId="32" xfId="0" applyFont="1" applyFill="1" applyBorder="1" applyAlignment="1">
      <alignment horizontal="center" vertical="center" wrapText="1"/>
    </xf>
    <xf numFmtId="0" fontId="236" fillId="0" borderId="1" xfId="0" applyFont="1" applyBorder="1" applyAlignment="1">
      <alignment horizontal="left" vertical="center"/>
    </xf>
    <xf numFmtId="0" fontId="233" fillId="3" borderId="25" xfId="0" applyFont="1" applyFill="1" applyBorder="1" applyAlignment="1">
      <alignment horizontal="center" vertical="center" wrapText="1"/>
    </xf>
    <xf numFmtId="0" fontId="234" fillId="0" borderId="1" xfId="0" applyFont="1" applyBorder="1" applyAlignment="1">
      <alignment horizontal="center" vertical="center"/>
    </xf>
    <xf numFmtId="0" fontId="36" fillId="4" borderId="85" xfId="0" applyFont="1" applyFill="1" applyBorder="1" applyAlignment="1">
      <alignment horizontal="center" vertical="center" wrapText="1"/>
    </xf>
    <xf numFmtId="0" fontId="36" fillId="4" borderId="86" xfId="0" applyFont="1" applyFill="1" applyBorder="1" applyAlignment="1">
      <alignment horizontal="center" vertical="center" wrapText="1"/>
    </xf>
    <xf numFmtId="0" fontId="317" fillId="85" borderId="2" xfId="0" applyFont="1" applyFill="1" applyBorder="1" applyAlignment="1">
      <alignment horizontal="center" vertical="center"/>
    </xf>
    <xf numFmtId="0" fontId="317" fillId="85" borderId="27" xfId="0" applyFont="1" applyFill="1" applyBorder="1" applyAlignment="1">
      <alignment horizontal="center" vertical="center"/>
    </xf>
    <xf numFmtId="0" fontId="317" fillId="85" borderId="22" xfId="0" applyFont="1" applyFill="1" applyBorder="1" applyAlignment="1">
      <alignment horizontal="center" vertical="center"/>
    </xf>
    <xf numFmtId="0" fontId="7" fillId="11" borderId="69" xfId="0" applyFont="1" applyFill="1" applyBorder="1" applyAlignment="1">
      <alignment horizontal="center" vertical="center" wrapText="1"/>
    </xf>
    <xf numFmtId="0" fontId="161" fillId="6" borderId="17" xfId="0" applyFont="1" applyFill="1" applyBorder="1" applyAlignment="1">
      <alignment horizontal="center"/>
    </xf>
    <xf numFmtId="0" fontId="164" fillId="2" borderId="60" xfId="0" applyFont="1" applyFill="1" applyBorder="1" applyAlignment="1">
      <alignment horizontal="center"/>
    </xf>
    <xf numFmtId="0" fontId="164" fillId="42" borderId="60" xfId="0" applyFont="1" applyFill="1" applyBorder="1" applyAlignment="1">
      <alignment horizontal="center"/>
    </xf>
    <xf numFmtId="0" fontId="318" fillId="22" borderId="60" xfId="0" applyFont="1" applyFill="1" applyBorder="1" applyAlignment="1">
      <alignment horizontal="center"/>
    </xf>
    <xf numFmtId="0" fontId="164" fillId="45" borderId="17" xfId="0" applyFont="1" applyFill="1" applyBorder="1" applyAlignment="1">
      <alignment horizontal="center"/>
    </xf>
    <xf numFmtId="0" fontId="161" fillId="6" borderId="23" xfId="0" applyFont="1" applyFill="1" applyBorder="1" applyAlignment="1">
      <alignment horizontal="center"/>
    </xf>
    <xf numFmtId="0" fontId="161" fillId="6" borderId="60" xfId="0" applyFont="1" applyFill="1" applyBorder="1" applyAlignment="1">
      <alignment horizontal="center"/>
    </xf>
    <xf numFmtId="0" fontId="161" fillId="24" borderId="60" xfId="0" applyFont="1" applyFill="1" applyBorder="1" applyAlignment="1">
      <alignment horizontal="center"/>
    </xf>
    <xf numFmtId="0" fontId="164" fillId="45" borderId="60" xfId="0" applyFont="1" applyFill="1" applyBorder="1" applyAlignment="1">
      <alignment horizontal="center"/>
    </xf>
    <xf numFmtId="0" fontId="164" fillId="86" borderId="60" xfId="0" applyFont="1" applyFill="1" applyBorder="1" applyAlignment="1">
      <alignment horizontal="center"/>
    </xf>
    <xf numFmtId="0" fontId="161" fillId="49" borderId="60" xfId="0" applyFont="1" applyFill="1" applyBorder="1" applyAlignment="1">
      <alignment horizontal="center"/>
    </xf>
    <xf numFmtId="0" fontId="164" fillId="22" borderId="60" xfId="0" applyFont="1" applyFill="1" applyBorder="1" applyAlignment="1">
      <alignment horizontal="center"/>
    </xf>
    <xf numFmtId="0" fontId="164" fillId="87" borderId="60" xfId="0" applyFont="1" applyFill="1" applyBorder="1" applyAlignment="1">
      <alignment horizontal="center"/>
    </xf>
    <xf numFmtId="0" fontId="164" fillId="38" borderId="60" xfId="0" applyFont="1" applyFill="1" applyBorder="1" applyAlignment="1">
      <alignment horizontal="center"/>
    </xf>
    <xf numFmtId="0" fontId="229" fillId="0" borderId="20" xfId="0" applyFont="1" applyBorder="1" applyAlignment="1">
      <alignment horizontal="center"/>
    </xf>
    <xf numFmtId="0" fontId="161" fillId="24" borderId="17" xfId="0" applyFont="1" applyFill="1" applyBorder="1" applyAlignment="1">
      <alignment horizontal="center"/>
    </xf>
    <xf numFmtId="0" fontId="164" fillId="88" borderId="17" xfId="0" applyFont="1" applyFill="1" applyBorder="1" applyAlignment="1">
      <alignment horizontal="center"/>
    </xf>
    <xf numFmtId="0" fontId="161" fillId="9" borderId="17" xfId="0" applyFont="1" applyFill="1" applyBorder="1" applyAlignment="1">
      <alignment horizontal="center"/>
    </xf>
    <xf numFmtId="0" fontId="83" fillId="0" borderId="33" xfId="0" applyFont="1" applyBorder="1"/>
    <xf numFmtId="0" fontId="164" fillId="2" borderId="25" xfId="0" applyFont="1" applyFill="1" applyBorder="1" applyAlignment="1">
      <alignment horizontal="center"/>
    </xf>
    <xf numFmtId="0" fontId="317" fillId="85" borderId="50" xfId="0" applyFont="1" applyFill="1" applyBorder="1" applyAlignment="1">
      <alignment horizontal="center" vertical="center"/>
    </xf>
    <xf numFmtId="0" fontId="317" fillId="85" borderId="1" xfId="0" applyFont="1" applyFill="1" applyBorder="1" applyAlignment="1">
      <alignment horizontal="center" vertical="center"/>
    </xf>
    <xf numFmtId="0" fontId="317" fillId="85" borderId="37" xfId="0" applyFont="1" applyFill="1" applyBorder="1" applyAlignment="1">
      <alignment horizontal="center" vertical="center"/>
    </xf>
    <xf numFmtId="49" fontId="219" fillId="0" borderId="0" xfId="0" applyNumberFormat="1" applyFont="1"/>
    <xf numFmtId="0" fontId="125" fillId="35" borderId="13" xfId="0" applyFont="1" applyFill="1" applyBorder="1" applyAlignment="1">
      <alignment horizontal="center"/>
    </xf>
    <xf numFmtId="0" fontId="194" fillId="35" borderId="13" xfId="0" applyFont="1" applyFill="1" applyBorder="1" applyAlignment="1">
      <alignment horizontal="center"/>
    </xf>
    <xf numFmtId="171" fontId="42" fillId="0" borderId="0" xfId="30" applyNumberFormat="1" applyFont="1" applyFill="1" applyBorder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125" fillId="0" borderId="25" xfId="0" applyFont="1" applyBorder="1" applyAlignment="1">
      <alignment horizontal="center"/>
    </xf>
    <xf numFmtId="0" fontId="125" fillId="0" borderId="13" xfId="0" applyFont="1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47" xfId="0" applyFont="1" applyBorder="1" applyAlignment="1">
      <alignment horizontal="center" vertical="center"/>
    </xf>
    <xf numFmtId="0" fontId="38" fillId="33" borderId="47" xfId="0" applyFont="1" applyFill="1" applyBorder="1" applyAlignment="1">
      <alignment horizontal="center" vertical="center"/>
    </xf>
    <xf numFmtId="0" fontId="316" fillId="0" borderId="47" xfId="22" applyFont="1" applyBorder="1" applyAlignment="1">
      <alignment horizontal="center" vertical="center"/>
    </xf>
    <xf numFmtId="14" fontId="3" fillId="10" borderId="32" xfId="0" applyNumberFormat="1" applyFont="1" applyFill="1" applyBorder="1" applyAlignment="1" applyProtection="1">
      <alignment horizontal="center"/>
      <protection locked="0"/>
    </xf>
    <xf numFmtId="0" fontId="286" fillId="0" borderId="85" xfId="0" applyFont="1" applyBorder="1" applyAlignment="1">
      <alignment horizontal="center"/>
    </xf>
    <xf numFmtId="0" fontId="286" fillId="0" borderId="86" xfId="0" applyFont="1" applyBorder="1" applyAlignment="1">
      <alignment horizontal="center"/>
    </xf>
    <xf numFmtId="0" fontId="321" fillId="0" borderId="2" xfId="0" applyFont="1" applyBorder="1" applyAlignment="1">
      <alignment horizontal="center" vertical="center"/>
    </xf>
    <xf numFmtId="168" fontId="321" fillId="0" borderId="2" xfId="0" applyNumberFormat="1" applyFont="1" applyBorder="1" applyAlignment="1">
      <alignment horizontal="center" vertical="center"/>
    </xf>
    <xf numFmtId="165" fontId="321" fillId="0" borderId="2" xfId="0" applyNumberFormat="1" applyFont="1" applyBorder="1" applyAlignment="1">
      <alignment horizontal="center" vertical="center"/>
    </xf>
    <xf numFmtId="0" fontId="324" fillId="0" borderId="0" xfId="0" applyFont="1" applyAlignment="1">
      <alignment wrapText="1"/>
    </xf>
    <xf numFmtId="0" fontId="284" fillId="4" borderId="0" xfId="0" applyFont="1" applyFill="1"/>
    <xf numFmtId="165" fontId="59" fillId="4" borderId="0" xfId="0" applyNumberFormat="1" applyFont="1" applyFill="1" applyAlignment="1">
      <alignment horizontal="center" vertical="center"/>
    </xf>
    <xf numFmtId="173" fontId="42" fillId="0" borderId="4" xfId="1" applyNumberFormat="1" applyFont="1" applyBorder="1" applyAlignment="1">
      <alignment horizontal="center" vertical="center"/>
    </xf>
    <xf numFmtId="173" fontId="42" fillId="0" borderId="5" xfId="1" applyNumberFormat="1" applyFont="1" applyBorder="1" applyAlignment="1">
      <alignment horizontal="center" vertical="center"/>
    </xf>
    <xf numFmtId="173" fontId="42" fillId="0" borderId="6" xfId="1" applyNumberFormat="1" applyFont="1" applyBorder="1" applyAlignment="1">
      <alignment horizontal="center" vertical="center"/>
    </xf>
    <xf numFmtId="173" fontId="42" fillId="0" borderId="7" xfId="1" applyNumberFormat="1" applyFont="1" applyBorder="1" applyAlignment="1">
      <alignment horizontal="center" vertical="center"/>
    </xf>
    <xf numFmtId="173" fontId="42" fillId="0" borderId="8" xfId="1" applyNumberFormat="1" applyFont="1" applyBorder="1" applyAlignment="1">
      <alignment horizontal="center" vertical="center"/>
    </xf>
    <xf numFmtId="173" fontId="42" fillId="0" borderId="9" xfId="1" applyNumberFormat="1" applyFont="1" applyBorder="1" applyAlignment="1">
      <alignment horizontal="center" vertical="center"/>
    </xf>
    <xf numFmtId="173" fontId="42" fillId="0" borderId="10" xfId="1" applyNumberFormat="1" applyFont="1" applyBorder="1" applyAlignment="1">
      <alignment horizontal="center" vertical="center"/>
    </xf>
    <xf numFmtId="173" fontId="42" fillId="0" borderId="11" xfId="1" applyNumberFormat="1" applyFont="1" applyBorder="1" applyAlignment="1">
      <alignment horizontal="center" vertical="center"/>
    </xf>
    <xf numFmtId="173" fontId="42" fillId="0" borderId="53" xfId="1" applyNumberFormat="1" applyFont="1" applyBorder="1" applyAlignment="1">
      <alignment horizontal="center" vertical="center"/>
    </xf>
    <xf numFmtId="173" fontId="42" fillId="0" borderId="54" xfId="1" applyNumberFormat="1" applyFont="1" applyBorder="1" applyAlignment="1">
      <alignment horizontal="center" vertical="center"/>
    </xf>
    <xf numFmtId="173" fontId="42" fillId="0" borderId="55" xfId="1" applyNumberFormat="1" applyFont="1" applyBorder="1" applyAlignment="1">
      <alignment horizontal="center" vertical="center"/>
    </xf>
    <xf numFmtId="43" fontId="32" fillId="0" borderId="4" xfId="1" applyFont="1" applyBorder="1" applyAlignment="1">
      <alignment horizontal="center" vertical="center"/>
    </xf>
    <xf numFmtId="43" fontId="32" fillId="0" borderId="7" xfId="1" applyFont="1" applyBorder="1" applyAlignment="1">
      <alignment horizontal="center" vertical="center"/>
    </xf>
    <xf numFmtId="43" fontId="32" fillId="0" borderId="9" xfId="1" applyFont="1" applyBorder="1" applyAlignment="1">
      <alignment horizontal="center" vertical="center"/>
    </xf>
    <xf numFmtId="0" fontId="274" fillId="0" borderId="0" xfId="0" applyFont="1" applyAlignment="1">
      <alignment horizontal="center" vertical="center"/>
    </xf>
    <xf numFmtId="0" fontId="279" fillId="0" borderId="0" xfId="0" applyFont="1" applyAlignment="1">
      <alignment horizontal="center" vertical="center"/>
    </xf>
    <xf numFmtId="0" fontId="280" fillId="0" borderId="0" xfId="0" applyFont="1" applyAlignment="1">
      <alignment horizontal="center" vertical="center"/>
    </xf>
    <xf numFmtId="0" fontId="29" fillId="46" borderId="340" xfId="0" applyFont="1" applyFill="1" applyBorder="1" applyAlignment="1">
      <alignment horizontal="left" vertical="center"/>
    </xf>
    <xf numFmtId="3" fontId="33" fillId="0" borderId="171" xfId="0" applyNumberFormat="1" applyFont="1" applyBorder="1" applyAlignment="1">
      <alignment horizontal="center" vertical="center"/>
    </xf>
    <xf numFmtId="0" fontId="29" fillId="46" borderId="317" xfId="0" applyFont="1" applyFill="1" applyBorder="1" applyAlignment="1">
      <alignment horizontal="left" vertical="center"/>
    </xf>
    <xf numFmtId="3" fontId="33" fillId="0" borderId="172" xfId="0" applyNumberFormat="1" applyFont="1" applyBorder="1" applyAlignment="1">
      <alignment horizontal="center" vertical="center"/>
    </xf>
    <xf numFmtId="0" fontId="29" fillId="46" borderId="341" xfId="0" applyFont="1" applyFill="1" applyBorder="1" applyAlignment="1">
      <alignment horizontal="left" vertical="center"/>
    </xf>
    <xf numFmtId="0" fontId="29" fillId="46" borderId="342" xfId="0" applyFont="1" applyFill="1" applyBorder="1" applyAlignment="1">
      <alignment horizontal="left" vertical="center"/>
    </xf>
    <xf numFmtId="0" fontId="29" fillId="46" borderId="173" xfId="0" applyFont="1" applyFill="1" applyBorder="1" applyAlignment="1">
      <alignment horizontal="left" vertical="center"/>
    </xf>
    <xf numFmtId="0" fontId="279" fillId="0" borderId="174" xfId="0" applyFont="1" applyBorder="1" applyAlignment="1">
      <alignment horizontal="center" vertical="center"/>
    </xf>
    <xf numFmtId="0" fontId="195" fillId="0" borderId="0" xfId="0" applyFont="1" applyAlignment="1" applyProtection="1">
      <alignment vertical="center" wrapText="1"/>
      <protection locked="0"/>
    </xf>
    <xf numFmtId="0" fontId="137" fillId="11" borderId="16" xfId="0" applyFont="1" applyFill="1" applyBorder="1" applyAlignment="1">
      <alignment horizontal="center" vertical="center" wrapText="1"/>
    </xf>
    <xf numFmtId="0" fontId="319" fillId="0" borderId="43" xfId="0" applyFont="1" applyBorder="1" applyAlignment="1">
      <alignment horizontal="center" vertical="center"/>
    </xf>
    <xf numFmtId="0" fontId="319" fillId="0" borderId="44" xfId="0" applyFont="1" applyBorder="1" applyAlignment="1">
      <alignment horizontal="center" vertical="center"/>
    </xf>
    <xf numFmtId="0" fontId="38" fillId="0" borderId="44" xfId="0" applyFont="1" applyBorder="1" applyAlignment="1">
      <alignment horizontal="center" vertical="center"/>
    </xf>
    <xf numFmtId="0" fontId="38" fillId="0" borderId="44" xfId="0" applyFont="1" applyBorder="1" applyAlignment="1" applyProtection="1">
      <alignment horizontal="center" vertical="center"/>
      <protection locked="0"/>
    </xf>
    <xf numFmtId="0" fontId="320" fillId="0" borderId="44" xfId="0" applyFont="1" applyBorder="1" applyAlignment="1">
      <alignment horizontal="center" vertical="center"/>
    </xf>
    <xf numFmtId="0" fontId="145" fillId="0" borderId="45" xfId="0" applyFont="1" applyBorder="1" applyAlignment="1">
      <alignment horizontal="center"/>
    </xf>
    <xf numFmtId="0" fontId="38" fillId="0" borderId="21" xfId="0" applyFont="1" applyBorder="1" applyAlignment="1">
      <alignment horizontal="center" vertical="center"/>
    </xf>
    <xf numFmtId="0" fontId="38" fillId="0" borderId="23" xfId="0" applyFont="1" applyBorder="1" applyAlignment="1" applyProtection="1">
      <alignment horizontal="center" vertical="center"/>
      <protection locked="0"/>
    </xf>
    <xf numFmtId="0" fontId="320" fillId="0" borderId="23" xfId="0" applyFont="1" applyBorder="1" applyAlignment="1">
      <alignment horizontal="center" vertical="center"/>
    </xf>
    <xf numFmtId="0" fontId="145" fillId="0" borderId="24" xfId="0" applyFont="1" applyBorder="1" applyAlignment="1">
      <alignment horizontal="center"/>
    </xf>
    <xf numFmtId="0" fontId="32" fillId="0" borderId="0" xfId="0" applyFont="1" applyAlignment="1" applyProtection="1">
      <alignment vertical="center" wrapText="1"/>
      <protection locked="0"/>
    </xf>
    <xf numFmtId="178" fontId="254" fillId="0" borderId="0" xfId="0" applyNumberFormat="1" applyFont="1" applyProtection="1">
      <protection locked="0"/>
    </xf>
    <xf numFmtId="0" fontId="34" fillId="9" borderId="2" xfId="0" applyFont="1" applyFill="1" applyBorder="1" applyAlignment="1">
      <alignment horizontal="center" vertical="center" wrapText="1"/>
    </xf>
    <xf numFmtId="0" fontId="34" fillId="76" borderId="2" xfId="0" applyFont="1" applyFill="1" applyBorder="1" applyAlignment="1">
      <alignment horizontal="center" vertical="center" wrapText="1"/>
    </xf>
    <xf numFmtId="0" fontId="34" fillId="77" borderId="2" xfId="0" applyFont="1" applyFill="1" applyBorder="1" applyAlignment="1">
      <alignment horizontal="center" vertical="center" wrapText="1"/>
    </xf>
    <xf numFmtId="0" fontId="34" fillId="48" borderId="2" xfId="0" applyFont="1" applyFill="1" applyBorder="1" applyAlignment="1">
      <alignment horizontal="center" vertical="center" wrapText="1"/>
    </xf>
    <xf numFmtId="0" fontId="34" fillId="78" borderId="2" xfId="0" applyFont="1" applyFill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34" fillId="0" borderId="25" xfId="0" applyFont="1" applyBorder="1" applyAlignment="1">
      <alignment horizontal="center" vertical="center" wrapText="1"/>
    </xf>
    <xf numFmtId="0" fontId="317" fillId="85" borderId="39" xfId="0" applyFont="1" applyFill="1" applyBorder="1" applyAlignment="1">
      <alignment horizontal="center" vertical="center"/>
    </xf>
    <xf numFmtId="0" fontId="317" fillId="85" borderId="5" xfId="0" applyFont="1" applyFill="1" applyBorder="1" applyAlignment="1">
      <alignment horizontal="center" vertical="center"/>
    </xf>
    <xf numFmtId="0" fontId="317" fillId="85" borderId="64" xfId="0" applyFont="1" applyFill="1" applyBorder="1" applyAlignment="1">
      <alignment horizontal="center" vertical="center"/>
    </xf>
    <xf numFmtId="0" fontId="317" fillId="85" borderId="89" xfId="0" applyFont="1" applyFill="1" applyBorder="1" applyAlignment="1">
      <alignment horizontal="center" vertical="center"/>
    </xf>
    <xf numFmtId="0" fontId="317" fillId="85" borderId="10" xfId="0" applyFont="1" applyFill="1" applyBorder="1" applyAlignment="1">
      <alignment horizontal="center" vertical="center"/>
    </xf>
    <xf numFmtId="0" fontId="317" fillId="85" borderId="65" xfId="0" applyFont="1" applyFill="1" applyBorder="1" applyAlignment="1">
      <alignment horizontal="center" vertical="center"/>
    </xf>
    <xf numFmtId="0" fontId="317" fillId="85" borderId="58" xfId="0" applyFont="1" applyFill="1" applyBorder="1" applyAlignment="1">
      <alignment horizontal="center" vertical="center"/>
    </xf>
    <xf numFmtId="0" fontId="317" fillId="85" borderId="54" xfId="0" applyFont="1" applyFill="1" applyBorder="1" applyAlignment="1">
      <alignment horizontal="center" vertical="center"/>
    </xf>
    <xf numFmtId="0" fontId="317" fillId="85" borderId="59" xfId="0" applyFont="1" applyFill="1" applyBorder="1" applyAlignment="1">
      <alignment horizontal="center" vertical="center"/>
    </xf>
    <xf numFmtId="0" fontId="274" fillId="53" borderId="31" xfId="0" applyFont="1" applyFill="1" applyBorder="1" applyAlignment="1">
      <alignment horizontal="center" vertical="center"/>
    </xf>
    <xf numFmtId="0" fontId="274" fillId="53" borderId="33" xfId="0" applyFont="1" applyFill="1" applyBorder="1" applyAlignment="1">
      <alignment horizontal="center" vertical="center"/>
    </xf>
    <xf numFmtId="0" fontId="274" fillId="53" borderId="32" xfId="0" applyFont="1" applyFill="1" applyBorder="1" applyAlignment="1">
      <alignment horizontal="center" vertical="center"/>
    </xf>
    <xf numFmtId="0" fontId="33" fillId="54" borderId="31" xfId="0" applyFont="1" applyFill="1" applyBorder="1" applyAlignment="1">
      <alignment horizontal="center" vertical="center"/>
    </xf>
    <xf numFmtId="0" fontId="33" fillId="54" borderId="33" xfId="0" applyFont="1" applyFill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3" fillId="46" borderId="31" xfId="0" applyFont="1" applyFill="1" applyBorder="1" applyAlignment="1">
      <alignment horizontal="center" vertical="center"/>
    </xf>
    <xf numFmtId="0" fontId="33" fillId="46" borderId="33" xfId="0" applyFont="1" applyFill="1" applyBorder="1" applyAlignment="1">
      <alignment horizontal="center" vertical="center"/>
    </xf>
    <xf numFmtId="0" fontId="33" fillId="46" borderId="32" xfId="0" applyFont="1" applyFill="1" applyBorder="1" applyAlignment="1">
      <alignment horizontal="center" vertical="center"/>
    </xf>
    <xf numFmtId="0" fontId="280" fillId="47" borderId="161" xfId="0" applyFont="1" applyFill="1" applyBorder="1" applyAlignment="1">
      <alignment horizontal="center" vertical="center"/>
    </xf>
    <xf numFmtId="0" fontId="281" fillId="47" borderId="161" xfId="0" applyFont="1" applyFill="1" applyBorder="1" applyAlignment="1">
      <alignment horizontal="center" vertical="center"/>
    </xf>
    <xf numFmtId="0" fontId="29" fillId="46" borderId="175" xfId="0" applyFont="1" applyFill="1" applyBorder="1" applyAlignment="1">
      <alignment horizontal="left" vertical="center"/>
    </xf>
    <xf numFmtId="0" fontId="29" fillId="46" borderId="194" xfId="0" applyFont="1" applyFill="1" applyBorder="1" applyAlignment="1">
      <alignment horizontal="left" vertical="center"/>
    </xf>
    <xf numFmtId="0" fontId="225" fillId="0" borderId="33" xfId="0" applyFont="1" applyBorder="1" applyAlignment="1">
      <alignment horizontal="center" vertical="center"/>
    </xf>
    <xf numFmtId="0" fontId="225" fillId="0" borderId="32" xfId="0" applyFont="1" applyBorder="1" applyAlignment="1">
      <alignment horizontal="center" vertical="center"/>
    </xf>
    <xf numFmtId="0" fontId="29" fillId="46" borderId="31" xfId="0" applyFont="1" applyFill="1" applyBorder="1" applyAlignment="1">
      <alignment horizontal="left" vertical="center"/>
    </xf>
    <xf numFmtId="0" fontId="186" fillId="0" borderId="33" xfId="0" applyFont="1" applyBorder="1" applyAlignment="1">
      <alignment horizontal="left" vertical="center"/>
    </xf>
    <xf numFmtId="0" fontId="34" fillId="4" borderId="22" xfId="0" applyFont="1" applyFill="1" applyBorder="1" applyAlignment="1">
      <alignment horizontal="center" vertical="center" textRotation="255" wrapText="1"/>
    </xf>
    <xf numFmtId="0" fontId="32" fillId="4" borderId="31" xfId="0" applyFont="1" applyFill="1" applyBorder="1" applyAlignment="1">
      <alignment horizontal="center" vertical="center" wrapText="1"/>
    </xf>
    <xf numFmtId="0" fontId="32" fillId="4" borderId="33" xfId="0" applyFont="1" applyFill="1" applyBorder="1" applyAlignment="1">
      <alignment horizontal="center" vertical="center" wrapText="1"/>
    </xf>
    <xf numFmtId="0" fontId="303" fillId="0" borderId="33" xfId="0" applyFont="1" applyBorder="1" applyAlignment="1">
      <alignment horizontal="center" vertical="center" wrapText="1"/>
    </xf>
    <xf numFmtId="0" fontId="303" fillId="0" borderId="32" xfId="0" applyFont="1" applyBorder="1" applyAlignment="1">
      <alignment horizontal="center" vertical="center" wrapText="1"/>
    </xf>
    <xf numFmtId="0" fontId="179" fillId="44" borderId="102" xfId="0" applyFont="1" applyFill="1" applyBorder="1" applyAlignment="1">
      <alignment horizontal="center" vertical="center"/>
    </xf>
    <xf numFmtId="173" fontId="267" fillId="44" borderId="3" xfId="0" applyNumberFormat="1" applyFont="1" applyFill="1" applyBorder="1" applyAlignment="1">
      <alignment horizontal="center" vertical="center"/>
    </xf>
    <xf numFmtId="173" fontId="267" fillId="44" borderId="38" xfId="0" applyNumberFormat="1" applyFont="1" applyFill="1" applyBorder="1" applyAlignment="1">
      <alignment horizontal="center" vertical="center"/>
    </xf>
    <xf numFmtId="173" fontId="267" fillId="44" borderId="16" xfId="0" applyNumberFormat="1" applyFont="1" applyFill="1" applyBorder="1" applyAlignment="1">
      <alignment horizontal="center" vertical="center"/>
    </xf>
    <xf numFmtId="0" fontId="31" fillId="16" borderId="31" xfId="0" applyFont="1" applyFill="1" applyBorder="1" applyAlignment="1">
      <alignment horizontal="center" vertical="center"/>
    </xf>
    <xf numFmtId="0" fontId="31" fillId="16" borderId="32" xfId="0" applyFont="1" applyFill="1" applyBorder="1" applyAlignment="1">
      <alignment horizontal="center" vertical="center"/>
    </xf>
    <xf numFmtId="0" fontId="224" fillId="0" borderId="31" xfId="0" applyFont="1" applyBorder="1" applyAlignment="1">
      <alignment horizontal="center" vertical="center"/>
    </xf>
    <xf numFmtId="0" fontId="32" fillId="0" borderId="33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8" fillId="48" borderId="3" xfId="0" applyFont="1" applyFill="1" applyBorder="1" applyAlignment="1">
      <alignment horizontal="center" vertical="center"/>
    </xf>
    <xf numFmtId="0" fontId="38" fillId="48" borderId="38" xfId="0" applyFont="1" applyFill="1" applyBorder="1" applyAlignment="1">
      <alignment horizontal="center" vertical="center"/>
    </xf>
    <xf numFmtId="0" fontId="304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247" fillId="0" borderId="31" xfId="0" applyFont="1" applyBorder="1" applyAlignment="1">
      <alignment horizontal="center"/>
    </xf>
    <xf numFmtId="0" fontId="247" fillId="0" borderId="33" xfId="0" applyFont="1" applyBorder="1" applyAlignment="1">
      <alignment horizontal="center"/>
    </xf>
    <xf numFmtId="0" fontId="247" fillId="0" borderId="32" xfId="0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27" fillId="0" borderId="0" xfId="0" applyFont="1" applyAlignment="1">
      <alignment horizontal="center" vertical="center" wrapText="1"/>
    </xf>
    <xf numFmtId="0" fontId="3" fillId="0" borderId="17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/>
    </xf>
    <xf numFmtId="0" fontId="3" fillId="0" borderId="34" xfId="0" applyFont="1" applyBorder="1" applyAlignment="1">
      <alignment horizontal="left" vertical="center"/>
    </xf>
    <xf numFmtId="0" fontId="3" fillId="0" borderId="45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44" xfId="0" applyFont="1" applyBorder="1" applyAlignment="1">
      <alignment horizontal="left" vertical="center"/>
    </xf>
    <xf numFmtId="0" fontId="3" fillId="3" borderId="31" xfId="0" applyFont="1" applyFill="1" applyBorder="1" applyAlignment="1">
      <alignment horizontal="left"/>
    </xf>
    <xf numFmtId="0" fontId="3" fillId="3" borderId="32" xfId="0" applyFont="1" applyFill="1" applyBorder="1" applyAlignment="1">
      <alignment horizontal="left"/>
    </xf>
    <xf numFmtId="0" fontId="3" fillId="0" borderId="12" xfId="0" applyFont="1" applyBorder="1" applyAlignment="1">
      <alignment horizontal="center"/>
    </xf>
    <xf numFmtId="0" fontId="3" fillId="43" borderId="31" xfId="0" applyFont="1" applyFill="1" applyBorder="1" applyAlignment="1">
      <alignment horizontal="center"/>
    </xf>
    <xf numFmtId="0" fontId="3" fillId="43" borderId="32" xfId="0" applyFont="1" applyFill="1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14" fillId="10" borderId="2" xfId="0" applyFont="1" applyFill="1" applyBorder="1" applyAlignment="1">
      <alignment horizontal="center" vertical="center"/>
    </xf>
    <xf numFmtId="0" fontId="14" fillId="10" borderId="22" xfId="0" applyFont="1" applyFill="1" applyBorder="1" applyAlignment="1">
      <alignment horizontal="center" vertical="center"/>
    </xf>
    <xf numFmtId="0" fontId="14" fillId="10" borderId="47" xfId="0" applyFont="1" applyFill="1" applyBorder="1" applyAlignment="1">
      <alignment horizontal="center" vertical="center"/>
    </xf>
    <xf numFmtId="0" fontId="14" fillId="10" borderId="27" xfId="0" applyFont="1" applyFill="1" applyBorder="1" applyAlignment="1">
      <alignment horizontal="center" vertical="center"/>
    </xf>
    <xf numFmtId="0" fontId="47" fillId="31" borderId="0" xfId="0" applyFont="1" applyFill="1" applyAlignment="1">
      <alignment horizontal="center" vertical="center" wrapText="1"/>
    </xf>
    <xf numFmtId="0" fontId="14" fillId="0" borderId="2" xfId="0" applyFont="1" applyBorder="1" applyAlignment="1">
      <alignment horizontal="center" vertical="center"/>
    </xf>
    <xf numFmtId="0" fontId="15" fillId="19" borderId="0" xfId="0" applyFont="1" applyFill="1" applyAlignment="1">
      <alignment horizontal="center"/>
    </xf>
    <xf numFmtId="0" fontId="14" fillId="0" borderId="48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22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297" fillId="44" borderId="199" xfId="0" applyFont="1" applyFill="1" applyBorder="1" applyAlignment="1">
      <alignment horizontal="center"/>
    </xf>
    <xf numFmtId="0" fontId="297" fillId="44" borderId="200" xfId="0" applyFont="1" applyFill="1" applyBorder="1" applyAlignment="1">
      <alignment horizontal="center"/>
    </xf>
    <xf numFmtId="0" fontId="297" fillId="44" borderId="201" xfId="0" applyFont="1" applyFill="1" applyBorder="1" applyAlignment="1">
      <alignment horizontal="center"/>
    </xf>
    <xf numFmtId="0" fontId="123" fillId="10" borderId="33" xfId="0" applyFont="1" applyFill="1" applyBorder="1" applyAlignment="1">
      <alignment horizontal="center"/>
    </xf>
    <xf numFmtId="0" fontId="123" fillId="10" borderId="32" xfId="0" applyFont="1" applyFill="1" applyBorder="1" applyAlignment="1">
      <alignment horizontal="center"/>
    </xf>
    <xf numFmtId="0" fontId="124" fillId="10" borderId="31" xfId="0" applyFont="1" applyFill="1" applyBorder="1" applyAlignment="1">
      <alignment horizontal="center" vertical="center"/>
    </xf>
    <xf numFmtId="0" fontId="124" fillId="10" borderId="33" xfId="0" applyFont="1" applyFill="1" applyBorder="1" applyAlignment="1">
      <alignment horizontal="center" vertical="center"/>
    </xf>
    <xf numFmtId="0" fontId="124" fillId="10" borderId="32" xfId="0" applyFont="1" applyFill="1" applyBorder="1" applyAlignment="1">
      <alignment horizontal="center" vertical="center"/>
    </xf>
    <xf numFmtId="0" fontId="123" fillId="10" borderId="31" xfId="0" applyFont="1" applyFill="1" applyBorder="1" applyAlignment="1">
      <alignment horizontal="center" vertical="center"/>
    </xf>
    <xf numFmtId="0" fontId="123" fillId="10" borderId="33" xfId="0" applyFont="1" applyFill="1" applyBorder="1" applyAlignment="1">
      <alignment horizontal="center" vertical="center"/>
    </xf>
    <xf numFmtId="0" fontId="123" fillId="10" borderId="32" xfId="0" applyFont="1" applyFill="1" applyBorder="1" applyAlignment="1">
      <alignment horizontal="center" vertical="center"/>
    </xf>
    <xf numFmtId="2" fontId="124" fillId="10" borderId="31" xfId="0" applyNumberFormat="1" applyFont="1" applyFill="1" applyBorder="1" applyAlignment="1">
      <alignment horizontal="center" vertical="center"/>
    </xf>
    <xf numFmtId="0" fontId="137" fillId="83" borderId="327" xfId="0" applyFont="1" applyFill="1" applyBorder="1" applyAlignment="1">
      <alignment horizontal="center" vertical="center"/>
    </xf>
    <xf numFmtId="0" fontId="137" fillId="83" borderId="328" xfId="0" applyFont="1" applyFill="1" applyBorder="1" applyAlignment="1">
      <alignment horizontal="center" vertical="center"/>
    </xf>
    <xf numFmtId="0" fontId="137" fillId="0" borderId="329" xfId="0" applyFont="1" applyBorder="1" applyAlignment="1">
      <alignment horizontal="center" vertical="center"/>
    </xf>
    <xf numFmtId="0" fontId="137" fillId="0" borderId="330" xfId="0" applyFont="1" applyBorder="1" applyAlignment="1">
      <alignment horizontal="center" vertical="center"/>
    </xf>
    <xf numFmtId="0" fontId="137" fillId="8" borderId="70" xfId="0" applyFont="1" applyFill="1" applyBorder="1" applyAlignment="1">
      <alignment horizontal="center" vertical="center"/>
    </xf>
    <xf numFmtId="0" fontId="137" fillId="8" borderId="206" xfId="0" applyFont="1" applyFill="1" applyBorder="1" applyAlignment="1">
      <alignment horizontal="center" vertical="center"/>
    </xf>
    <xf numFmtId="2" fontId="108" fillId="35" borderId="31" xfId="0" applyNumberFormat="1" applyFont="1" applyFill="1" applyBorder="1" applyAlignment="1">
      <alignment horizontal="center" vertical="center"/>
    </xf>
    <xf numFmtId="2" fontId="108" fillId="35" borderId="32" xfId="0" applyNumberFormat="1" applyFont="1" applyFill="1" applyBorder="1" applyAlignment="1">
      <alignment horizontal="center" vertical="center"/>
    </xf>
    <xf numFmtId="14" fontId="137" fillId="0" borderId="0" xfId="0" applyNumberFormat="1" applyFont="1" applyAlignment="1">
      <alignment horizontal="center"/>
    </xf>
    <xf numFmtId="0" fontId="137" fillId="0" borderId="19" xfId="0" applyFont="1" applyBorder="1" applyAlignment="1">
      <alignment horizontal="center"/>
    </xf>
    <xf numFmtId="0" fontId="137" fillId="0" borderId="0" xfId="0" applyFont="1" applyAlignment="1">
      <alignment horizontal="center"/>
    </xf>
    <xf numFmtId="0" fontId="137" fillId="8" borderId="33" xfId="0" applyFont="1" applyFill="1" applyBorder="1" applyAlignment="1">
      <alignment horizontal="center" vertical="center"/>
    </xf>
    <xf numFmtId="0" fontId="137" fillId="8" borderId="32" xfId="0" applyFont="1" applyFill="1" applyBorder="1" applyAlignment="1">
      <alignment horizontal="center" vertical="center"/>
    </xf>
    <xf numFmtId="0" fontId="137" fillId="0" borderId="329" xfId="0" applyFont="1" applyBorder="1" applyAlignment="1">
      <alignment horizontal="center"/>
    </xf>
    <xf numFmtId="0" fontId="137" fillId="0" borderId="330" xfId="0" applyFont="1" applyBorder="1" applyAlignment="1">
      <alignment horizontal="center"/>
    </xf>
    <xf numFmtId="0" fontId="137" fillId="8" borderId="54" xfId="0" applyFont="1" applyFill="1" applyBorder="1" applyAlignment="1">
      <alignment horizontal="center" vertical="center"/>
    </xf>
    <xf numFmtId="0" fontId="137" fillId="8" borderId="55" xfId="0" applyFont="1" applyFill="1" applyBorder="1" applyAlignment="1">
      <alignment horizontal="center" vertical="center"/>
    </xf>
    <xf numFmtId="0" fontId="137" fillId="8" borderId="69" xfId="0" applyFont="1" applyFill="1" applyBorder="1" applyAlignment="1">
      <alignment horizontal="center" vertical="center"/>
    </xf>
    <xf numFmtId="0" fontId="137" fillId="8" borderId="130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19" fillId="0" borderId="15" xfId="0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41" fillId="19" borderId="41" xfId="0" applyFont="1" applyFill="1" applyBorder="1" applyAlignment="1" applyProtection="1">
      <alignment horizontal="left" vertical="center"/>
      <protection locked="0"/>
    </xf>
    <xf numFmtId="0" fontId="141" fillId="19" borderId="56" xfId="0" applyFont="1" applyFill="1" applyBorder="1" applyAlignment="1" applyProtection="1">
      <alignment horizontal="left" vertical="center"/>
      <protection locked="0"/>
    </xf>
    <xf numFmtId="0" fontId="142" fillId="4" borderId="5" xfId="0" applyFont="1" applyFill="1" applyBorder="1" applyAlignment="1" applyProtection="1">
      <alignment horizontal="center" vertical="center"/>
      <protection locked="0"/>
    </xf>
    <xf numFmtId="0" fontId="141" fillId="19" borderId="5" xfId="0" applyFont="1" applyFill="1" applyBorder="1" applyAlignment="1" applyProtection="1">
      <alignment horizontal="left" vertical="center"/>
      <protection locked="0"/>
    </xf>
    <xf numFmtId="0" fontId="138" fillId="0" borderId="0" xfId="0" applyFont="1" applyAlignment="1" applyProtection="1">
      <alignment horizontal="center"/>
      <protection locked="0"/>
    </xf>
    <xf numFmtId="0" fontId="143" fillId="4" borderId="5" xfId="0" applyFont="1" applyFill="1" applyBorder="1" applyAlignment="1" applyProtection="1">
      <alignment horizontal="center" vertical="center"/>
      <protection locked="0"/>
    </xf>
    <xf numFmtId="0" fontId="143" fillId="4" borderId="6" xfId="0" applyFont="1" applyFill="1" applyBorder="1" applyAlignment="1" applyProtection="1">
      <alignment horizontal="center" vertical="center"/>
      <protection locked="0"/>
    </xf>
    <xf numFmtId="0" fontId="141" fillId="19" borderId="34" xfId="0" applyFont="1" applyFill="1" applyBorder="1" applyAlignment="1" applyProtection="1">
      <alignment horizontal="left" vertical="center"/>
      <protection locked="0"/>
    </xf>
    <xf numFmtId="0" fontId="141" fillId="19" borderId="52" xfId="0" applyFont="1" applyFill="1" applyBorder="1" applyAlignment="1" applyProtection="1">
      <alignment horizontal="left" vertical="center"/>
      <protection locked="0"/>
    </xf>
    <xf numFmtId="49" fontId="106" fillId="0" borderId="9" xfId="0" applyNumberFormat="1" applyFont="1" applyBorder="1" applyAlignment="1">
      <alignment horizontal="center" vertical="center"/>
    </xf>
    <xf numFmtId="49" fontId="106" fillId="0" borderId="11" xfId="0" applyNumberFormat="1" applyFont="1" applyBorder="1" applyAlignment="1">
      <alignment horizontal="center" vertical="center"/>
    </xf>
    <xf numFmtId="0" fontId="50" fillId="0" borderId="0" xfId="3" applyAlignment="1">
      <alignment horizontal="center"/>
    </xf>
    <xf numFmtId="0" fontId="107" fillId="26" borderId="53" xfId="0" applyFont="1" applyFill="1" applyBorder="1" applyAlignment="1">
      <alignment horizontal="center" vertical="center" wrapText="1"/>
    </xf>
    <xf numFmtId="0" fontId="107" fillId="26" borderId="54" xfId="0" applyFont="1" applyFill="1" applyBorder="1" applyAlignment="1">
      <alignment horizontal="center" vertical="center" wrapText="1"/>
    </xf>
    <xf numFmtId="0" fontId="107" fillId="26" borderId="55" xfId="0" applyFont="1" applyFill="1" applyBorder="1" applyAlignment="1">
      <alignment horizontal="center" vertical="center" wrapText="1"/>
    </xf>
    <xf numFmtId="0" fontId="142" fillId="4" borderId="10" xfId="0" applyFont="1" applyFill="1" applyBorder="1" applyAlignment="1" applyProtection="1">
      <alignment horizontal="center" vertical="center"/>
      <protection locked="0"/>
    </xf>
    <xf numFmtId="14" fontId="144" fillId="4" borderId="10" xfId="0" applyNumberFormat="1" applyFont="1" applyFill="1" applyBorder="1" applyAlignment="1" applyProtection="1">
      <alignment horizontal="center" vertical="center"/>
      <protection locked="0"/>
    </xf>
    <xf numFmtId="14" fontId="144" fillId="4" borderId="11" xfId="0" applyNumberFormat="1" applyFont="1" applyFill="1" applyBorder="1" applyAlignment="1" applyProtection="1">
      <alignment horizontal="center" vertical="center"/>
      <protection locked="0"/>
    </xf>
    <xf numFmtId="0" fontId="141" fillId="19" borderId="10" xfId="0" applyFont="1" applyFill="1" applyBorder="1" applyAlignment="1" applyProtection="1">
      <alignment horizontal="left" vertical="center"/>
      <protection locked="0"/>
    </xf>
    <xf numFmtId="0" fontId="137" fillId="8" borderId="63" xfId="0" applyFont="1" applyFill="1" applyBorder="1" applyAlignment="1">
      <alignment horizontal="center" vertical="center"/>
    </xf>
    <xf numFmtId="4" fontId="147" fillId="29" borderId="1" xfId="0" applyNumberFormat="1" applyFont="1" applyFill="1" applyBorder="1" applyAlignment="1" applyProtection="1">
      <alignment horizontal="center" vertical="center"/>
      <protection locked="0"/>
    </xf>
    <xf numFmtId="4" fontId="147" fillId="29" borderId="2" xfId="0" applyNumberFormat="1" applyFont="1" applyFill="1" applyBorder="1" applyAlignment="1" applyProtection="1">
      <alignment horizontal="center" vertical="center"/>
      <protection locked="0"/>
    </xf>
    <xf numFmtId="2" fontId="108" fillId="0" borderId="31" xfId="0" applyNumberFormat="1" applyFont="1" applyBorder="1" applyAlignment="1">
      <alignment horizontal="center" vertical="center"/>
    </xf>
    <xf numFmtId="2" fontId="108" fillId="0" borderId="32" xfId="0" applyNumberFormat="1" applyFont="1" applyBorder="1" applyAlignment="1">
      <alignment horizontal="center" vertical="center"/>
    </xf>
    <xf numFmtId="2" fontId="108" fillId="4" borderId="31" xfId="0" applyNumberFormat="1" applyFont="1" applyFill="1" applyBorder="1" applyAlignment="1">
      <alignment horizontal="center" vertical="center"/>
    </xf>
    <xf numFmtId="2" fontId="108" fillId="4" borderId="32" xfId="0" applyNumberFormat="1" applyFont="1" applyFill="1" applyBorder="1" applyAlignment="1">
      <alignment horizontal="center" vertical="center"/>
    </xf>
    <xf numFmtId="4" fontId="146" fillId="4" borderId="3" xfId="0" applyNumberFormat="1" applyFont="1" applyFill="1" applyBorder="1" applyAlignment="1">
      <alignment horizontal="center" vertical="center"/>
    </xf>
    <xf numFmtId="4" fontId="146" fillId="4" borderId="38" xfId="0" applyNumberFormat="1" applyFont="1" applyFill="1" applyBorder="1" applyAlignment="1">
      <alignment horizontal="center" vertical="center"/>
    </xf>
    <xf numFmtId="4" fontId="146" fillId="4" borderId="16" xfId="0" applyNumberFormat="1" applyFont="1" applyFill="1" applyBorder="1" applyAlignment="1">
      <alignment horizontal="center" vertical="center"/>
    </xf>
    <xf numFmtId="4" fontId="146" fillId="4" borderId="12" xfId="0" applyNumberFormat="1" applyFont="1" applyFill="1" applyBorder="1" applyAlignment="1">
      <alignment horizontal="center" vertical="center"/>
    </xf>
    <xf numFmtId="4" fontId="146" fillId="4" borderId="15" xfId="0" applyNumberFormat="1" applyFont="1" applyFill="1" applyBorder="1" applyAlignment="1">
      <alignment horizontal="center" vertical="center"/>
    </xf>
    <xf numFmtId="4" fontId="146" fillId="4" borderId="14" xfId="0" applyNumberFormat="1" applyFont="1" applyFill="1" applyBorder="1" applyAlignment="1">
      <alignment horizontal="center" vertical="center"/>
    </xf>
    <xf numFmtId="0" fontId="108" fillId="2" borderId="3" xfId="0" applyFont="1" applyFill="1" applyBorder="1" applyAlignment="1">
      <alignment horizontal="center" vertical="center" wrapText="1"/>
    </xf>
    <xf numFmtId="0" fontId="108" fillId="2" borderId="38" xfId="0" applyFont="1" applyFill="1" applyBorder="1" applyAlignment="1">
      <alignment horizontal="center" vertical="center" wrapText="1"/>
    </xf>
    <xf numFmtId="0" fontId="108" fillId="2" borderId="16" xfId="0" applyFont="1" applyFill="1" applyBorder="1" applyAlignment="1">
      <alignment horizontal="center" vertical="center" wrapText="1"/>
    </xf>
    <xf numFmtId="0" fontId="108" fillId="2" borderId="12" xfId="0" applyFont="1" applyFill="1" applyBorder="1" applyAlignment="1">
      <alignment horizontal="center" vertical="center" wrapText="1"/>
    </xf>
    <xf numFmtId="0" fontId="108" fillId="2" borderId="15" xfId="0" applyFont="1" applyFill="1" applyBorder="1" applyAlignment="1">
      <alignment horizontal="center" vertical="center" wrapText="1"/>
    </xf>
    <xf numFmtId="0" fontId="108" fillId="2" borderId="14" xfId="0" applyFont="1" applyFill="1" applyBorder="1" applyAlignment="1">
      <alignment horizontal="center" vertical="center" wrapText="1"/>
    </xf>
    <xf numFmtId="0" fontId="108" fillId="28" borderId="3" xfId="0" applyFont="1" applyFill="1" applyBorder="1" applyAlignment="1">
      <alignment horizontal="center" vertical="center"/>
    </xf>
    <xf numFmtId="0" fontId="108" fillId="28" borderId="38" xfId="0" applyFont="1" applyFill="1" applyBorder="1" applyAlignment="1">
      <alignment horizontal="center" vertical="center"/>
    </xf>
    <xf numFmtId="0" fontId="108" fillId="28" borderId="16" xfId="0" applyFont="1" applyFill="1" applyBorder="1" applyAlignment="1">
      <alignment horizontal="center" vertical="center"/>
    </xf>
    <xf numFmtId="0" fontId="108" fillId="28" borderId="12" xfId="0" applyFont="1" applyFill="1" applyBorder="1" applyAlignment="1">
      <alignment horizontal="center" vertical="center"/>
    </xf>
    <xf numFmtId="0" fontId="108" fillId="28" borderId="15" xfId="0" applyFont="1" applyFill="1" applyBorder="1" applyAlignment="1">
      <alignment horizontal="center" vertical="center"/>
    </xf>
    <xf numFmtId="0" fontId="108" fillId="28" borderId="14" xfId="0" applyFont="1" applyFill="1" applyBorder="1" applyAlignment="1">
      <alignment horizontal="center" vertical="center"/>
    </xf>
    <xf numFmtId="0" fontId="0" fillId="4" borderId="0" xfId="0" applyFill="1" applyAlignment="1" applyProtection="1">
      <alignment horizontal="center"/>
      <protection locked="0"/>
    </xf>
    <xf numFmtId="0" fontId="103" fillId="0" borderId="3" xfId="3" applyFont="1" applyBorder="1" applyAlignment="1">
      <alignment horizontal="center" vertical="center" wrapText="1"/>
    </xf>
    <xf numFmtId="0" fontId="103" fillId="0" borderId="38" xfId="3" applyFont="1" applyBorder="1" applyAlignment="1">
      <alignment horizontal="center" vertical="center" wrapText="1"/>
    </xf>
    <xf numFmtId="0" fontId="103" fillId="0" borderId="16" xfId="3" applyFont="1" applyBorder="1" applyAlignment="1">
      <alignment horizontal="center" vertical="center" wrapText="1"/>
    </xf>
    <xf numFmtId="0" fontId="103" fillId="0" borderId="18" xfId="3" applyFont="1" applyBorder="1" applyAlignment="1">
      <alignment horizontal="center" vertical="center" wrapText="1"/>
    </xf>
    <xf numFmtId="0" fontId="103" fillId="0" borderId="0" xfId="3" applyFont="1" applyAlignment="1">
      <alignment horizontal="center" vertical="center" wrapText="1"/>
    </xf>
    <xf numFmtId="0" fontId="103" fillId="0" borderId="19" xfId="3" applyFont="1" applyBorder="1" applyAlignment="1">
      <alignment horizontal="center" vertical="center" wrapText="1"/>
    </xf>
    <xf numFmtId="0" fontId="103" fillId="0" borderId="12" xfId="3" applyFont="1" applyBorder="1" applyAlignment="1">
      <alignment horizontal="center" vertical="center" wrapText="1"/>
    </xf>
    <xf numFmtId="0" fontId="103" fillId="0" borderId="15" xfId="3" applyFont="1" applyBorder="1" applyAlignment="1">
      <alignment horizontal="center" vertical="center" wrapText="1"/>
    </xf>
    <xf numFmtId="0" fontId="103" fillId="0" borderId="14" xfId="3" applyFont="1" applyBorder="1" applyAlignment="1">
      <alignment horizontal="center" vertical="center" wrapText="1"/>
    </xf>
    <xf numFmtId="0" fontId="104" fillId="19" borderId="3" xfId="3" applyFont="1" applyFill="1" applyBorder="1" applyAlignment="1">
      <alignment horizontal="center" vertical="center" wrapText="1"/>
    </xf>
    <xf numFmtId="0" fontId="104" fillId="19" borderId="38" xfId="3" applyFont="1" applyFill="1" applyBorder="1" applyAlignment="1">
      <alignment horizontal="center" vertical="center" wrapText="1"/>
    </xf>
    <xf numFmtId="0" fontId="104" fillId="19" borderId="16" xfId="3" applyFont="1" applyFill="1" applyBorder="1" applyAlignment="1">
      <alignment horizontal="center" vertical="center" wrapText="1"/>
    </xf>
    <xf numFmtId="0" fontId="104" fillId="19" borderId="18" xfId="3" applyFont="1" applyFill="1" applyBorder="1" applyAlignment="1">
      <alignment horizontal="center" vertical="center" wrapText="1"/>
    </xf>
    <xf numFmtId="0" fontId="104" fillId="19" borderId="0" xfId="3" applyFont="1" applyFill="1" applyAlignment="1">
      <alignment horizontal="center" vertical="center" wrapText="1"/>
    </xf>
    <xf numFmtId="0" fontId="104" fillId="19" borderId="19" xfId="3" applyFont="1" applyFill="1" applyBorder="1" applyAlignment="1">
      <alignment horizontal="center" vertical="center" wrapText="1"/>
    </xf>
    <xf numFmtId="0" fontId="104" fillId="19" borderId="12" xfId="3" applyFont="1" applyFill="1" applyBorder="1" applyAlignment="1">
      <alignment horizontal="center" vertical="center" wrapText="1"/>
    </xf>
    <xf numFmtId="0" fontId="104" fillId="19" borderId="15" xfId="3" applyFont="1" applyFill="1" applyBorder="1" applyAlignment="1">
      <alignment horizontal="center" vertical="center" wrapText="1"/>
    </xf>
    <xf numFmtId="0" fontId="104" fillId="19" borderId="14" xfId="3" applyFont="1" applyFill="1" applyBorder="1" applyAlignment="1">
      <alignment horizontal="center" vertical="center" wrapText="1"/>
    </xf>
    <xf numFmtId="0" fontId="108" fillId="27" borderId="85" xfId="0" applyFont="1" applyFill="1" applyBorder="1" applyAlignment="1">
      <alignment horizontal="center" vertical="center" wrapText="1"/>
    </xf>
    <xf numFmtId="0" fontId="108" fillId="27" borderId="86" xfId="0" applyFont="1" applyFill="1" applyBorder="1" applyAlignment="1">
      <alignment horizontal="center" vertical="center" wrapText="1"/>
    </xf>
    <xf numFmtId="0" fontId="108" fillId="27" borderId="87" xfId="0" applyFont="1" applyFill="1" applyBorder="1" applyAlignment="1">
      <alignment horizontal="center" vertical="center" wrapText="1"/>
    </xf>
    <xf numFmtId="0" fontId="108" fillId="27" borderId="31" xfId="0" applyFont="1" applyFill="1" applyBorder="1" applyAlignment="1">
      <alignment horizontal="center" vertical="center" wrapText="1"/>
    </xf>
    <xf numFmtId="0" fontId="108" fillId="27" borderId="32" xfId="0" applyFont="1" applyFill="1" applyBorder="1" applyAlignment="1">
      <alignment horizontal="center" vertical="center" wrapText="1"/>
    </xf>
    <xf numFmtId="0" fontId="108" fillId="27" borderId="33" xfId="0" applyFont="1" applyFill="1" applyBorder="1" applyAlignment="1">
      <alignment horizontal="center" vertical="center" wrapText="1"/>
    </xf>
    <xf numFmtId="0" fontId="110" fillId="22" borderId="31" xfId="0" applyFont="1" applyFill="1" applyBorder="1" applyAlignment="1">
      <alignment horizontal="center" vertical="center" wrapText="1"/>
    </xf>
    <xf numFmtId="0" fontId="110" fillId="22" borderId="33" xfId="0" applyFont="1" applyFill="1" applyBorder="1" applyAlignment="1">
      <alignment horizontal="center" vertical="center" wrapText="1"/>
    </xf>
    <xf numFmtId="0" fontId="110" fillId="22" borderId="32" xfId="0" applyFont="1" applyFill="1" applyBorder="1" applyAlignment="1">
      <alignment horizontal="center" vertical="center" wrapText="1"/>
    </xf>
    <xf numFmtId="0" fontId="110" fillId="0" borderId="31" xfId="0" applyFont="1" applyBorder="1" applyAlignment="1">
      <alignment horizontal="center" vertical="center" wrapText="1"/>
    </xf>
    <xf numFmtId="0" fontId="110" fillId="0" borderId="33" xfId="0" applyFont="1" applyBorder="1" applyAlignment="1">
      <alignment horizontal="center" vertical="center" wrapText="1"/>
    </xf>
    <xf numFmtId="0" fontId="110" fillId="0" borderId="32" xfId="0" applyFont="1" applyBorder="1" applyAlignment="1">
      <alignment horizontal="center" vertical="center" wrapText="1"/>
    </xf>
    <xf numFmtId="0" fontId="106" fillId="0" borderId="4" xfId="0" applyFont="1" applyBorder="1" applyAlignment="1">
      <alignment horizontal="center" vertical="center"/>
    </xf>
    <xf numFmtId="0" fontId="106" fillId="0" borderId="6" xfId="0" applyFont="1" applyBorder="1" applyAlignment="1">
      <alignment horizontal="center" vertical="center"/>
    </xf>
    <xf numFmtId="49" fontId="106" fillId="0" borderId="7" xfId="0" applyNumberFormat="1" applyFont="1" applyBorder="1" applyAlignment="1">
      <alignment horizontal="center" vertical="center"/>
    </xf>
    <xf numFmtId="49" fontId="106" fillId="0" borderId="8" xfId="0" applyNumberFormat="1" applyFont="1" applyBorder="1" applyAlignment="1">
      <alignment horizontal="center" vertical="center"/>
    </xf>
    <xf numFmtId="0" fontId="56" fillId="4" borderId="0" xfId="3" applyFont="1" applyFill="1" applyAlignment="1">
      <alignment horizontal="left"/>
    </xf>
    <xf numFmtId="0" fontId="56" fillId="4" borderId="0" xfId="3" applyFont="1" applyFill="1" applyAlignment="1">
      <alignment horizontal="center" wrapText="1"/>
    </xf>
    <xf numFmtId="0" fontId="56" fillId="4" borderId="0" xfId="3" applyFont="1" applyFill="1" applyAlignment="1">
      <alignment horizontal="center" vertical="center" wrapText="1"/>
    </xf>
    <xf numFmtId="0" fontId="0" fillId="4" borderId="0" xfId="0" applyFill="1" applyAlignment="1" applyProtection="1">
      <alignment horizontal="center" vertical="center" textRotation="255"/>
      <protection locked="0"/>
    </xf>
    <xf numFmtId="0" fontId="51" fillId="0" borderId="2" xfId="3" applyFont="1" applyBorder="1" applyAlignment="1">
      <alignment horizontal="center" vertical="top"/>
    </xf>
    <xf numFmtId="0" fontId="54" fillId="0" borderId="35" xfId="3" applyFont="1" applyBorder="1" applyAlignment="1">
      <alignment horizontal="center" vertical="center" wrapText="1"/>
    </xf>
    <xf numFmtId="0" fontId="54" fillId="0" borderId="48" xfId="3" applyFont="1" applyBorder="1" applyAlignment="1">
      <alignment horizontal="center" vertical="center" wrapText="1"/>
    </xf>
    <xf numFmtId="0" fontId="54" fillId="0" borderId="29" xfId="3" applyFont="1" applyBorder="1" applyAlignment="1">
      <alignment horizontal="center" vertical="center" wrapText="1"/>
    </xf>
    <xf numFmtId="0" fontId="54" fillId="0" borderId="51" xfId="3" applyFont="1" applyBorder="1" applyAlignment="1">
      <alignment horizontal="center" vertical="center" wrapText="1"/>
    </xf>
    <xf numFmtId="0" fontId="54" fillId="0" borderId="0" xfId="3" applyFont="1" applyAlignment="1">
      <alignment horizontal="center" vertical="center" wrapText="1"/>
    </xf>
    <xf numFmtId="0" fontId="54" fillId="0" borderId="46" xfId="3" applyFont="1" applyBorder="1" applyAlignment="1">
      <alignment horizontal="center" vertical="center" wrapText="1"/>
    </xf>
    <xf numFmtId="0" fontId="54" fillId="0" borderId="37" xfId="3" applyFont="1" applyBorder="1" applyAlignment="1">
      <alignment horizontal="center" vertical="center" wrapText="1"/>
    </xf>
    <xf numFmtId="0" fontId="54" fillId="0" borderId="49" xfId="3" applyFont="1" applyBorder="1" applyAlignment="1">
      <alignment horizontal="center" vertical="center" wrapText="1"/>
    </xf>
    <xf numFmtId="0" fontId="54" fillId="0" borderId="50" xfId="3" applyFont="1" applyBorder="1" applyAlignment="1">
      <alignment horizontal="center" vertical="center" wrapText="1"/>
    </xf>
    <xf numFmtId="0" fontId="52" fillId="0" borderId="2" xfId="3" applyFont="1" applyBorder="1" applyAlignment="1">
      <alignment horizontal="left" vertical="center"/>
    </xf>
    <xf numFmtId="0" fontId="19" fillId="12" borderId="22" xfId="0" applyFont="1" applyFill="1" applyBorder="1" applyAlignment="1" applyProtection="1">
      <alignment horizontal="left" vertical="center"/>
      <protection locked="0"/>
    </xf>
    <xf numFmtId="0" fontId="19" fillId="12" borderId="47" xfId="0" applyFont="1" applyFill="1" applyBorder="1" applyAlignment="1" applyProtection="1">
      <alignment horizontal="left" vertical="center"/>
      <protection locked="0"/>
    </xf>
    <xf numFmtId="0" fontId="55" fillId="11" borderId="2" xfId="0" applyFont="1" applyFill="1" applyBorder="1" applyAlignment="1" applyProtection="1">
      <alignment horizontal="center" vertical="center"/>
      <protection locked="0"/>
    </xf>
    <xf numFmtId="0" fontId="19" fillId="12" borderId="2" xfId="0" applyFont="1" applyFill="1" applyBorder="1" applyAlignment="1" applyProtection="1">
      <alignment horizontal="left" vertical="center"/>
      <protection locked="0"/>
    </xf>
    <xf numFmtId="0" fontId="45" fillId="4" borderId="2" xfId="0" applyFont="1" applyFill="1" applyBorder="1" applyAlignment="1" applyProtection="1">
      <alignment horizontal="center" vertical="center"/>
      <protection locked="0"/>
    </xf>
    <xf numFmtId="0" fontId="55" fillId="4" borderId="2" xfId="0" applyFont="1" applyFill="1" applyBorder="1" applyAlignment="1" applyProtection="1">
      <alignment horizontal="center" vertical="center"/>
      <protection locked="0"/>
    </xf>
    <xf numFmtId="14" fontId="58" fillId="4" borderId="2" xfId="0" applyNumberFormat="1" applyFont="1" applyFill="1" applyBorder="1" applyAlignment="1" applyProtection="1">
      <alignment horizontal="center" vertical="center"/>
      <protection locked="0"/>
    </xf>
    <xf numFmtId="0" fontId="46" fillId="35" borderId="22" xfId="0" applyFont="1" applyFill="1" applyBorder="1" applyAlignment="1">
      <alignment horizontal="center" vertical="center"/>
    </xf>
    <xf numFmtId="0" fontId="46" fillId="35" borderId="47" xfId="0" applyFont="1" applyFill="1" applyBorder="1" applyAlignment="1">
      <alignment horizontal="center" vertical="center"/>
    </xf>
    <xf numFmtId="0" fontId="46" fillId="35" borderId="27" xfId="0" applyFont="1" applyFill="1" applyBorder="1" applyAlignment="1">
      <alignment horizontal="center" vertical="center"/>
    </xf>
    <xf numFmtId="0" fontId="46" fillId="0" borderId="30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3" fontId="46" fillId="0" borderId="30" xfId="0" applyNumberFormat="1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 wrapText="1"/>
    </xf>
    <xf numFmtId="0" fontId="46" fillId="0" borderId="37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2" fontId="15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5" fillId="0" borderId="30" xfId="0" applyNumberFormat="1" applyFont="1" applyBorder="1" applyAlignment="1">
      <alignment horizontal="center"/>
    </xf>
    <xf numFmtId="165" fontId="15" fillId="0" borderId="1" xfId="0" applyNumberFormat="1" applyFont="1" applyBorder="1" applyAlignment="1">
      <alignment horizontal="center"/>
    </xf>
    <xf numFmtId="0" fontId="15" fillId="0" borderId="22" xfId="0" applyFont="1" applyBorder="1" applyAlignment="1">
      <alignment horizontal="center"/>
    </xf>
    <xf numFmtId="0" fontId="15" fillId="0" borderId="27" xfId="0" applyFont="1" applyBorder="1" applyAlignment="1">
      <alignment horizontal="center"/>
    </xf>
    <xf numFmtId="0" fontId="125" fillId="0" borderId="12" xfId="0" applyFont="1" applyBorder="1" applyAlignment="1">
      <alignment horizontal="center"/>
    </xf>
    <xf numFmtId="0" fontId="125" fillId="0" borderId="14" xfId="0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25" fillId="35" borderId="31" xfId="0" applyFont="1" applyFill="1" applyBorder="1" applyAlignment="1">
      <alignment horizontal="center"/>
    </xf>
    <xf numFmtId="0" fontId="125" fillId="35" borderId="32" xfId="0" applyFont="1" applyFill="1" applyBorder="1" applyAlignment="1">
      <alignment horizontal="center"/>
    </xf>
    <xf numFmtId="0" fontId="14" fillId="35" borderId="31" xfId="0" applyFont="1" applyFill="1" applyBorder="1" applyAlignment="1">
      <alignment horizontal="center"/>
    </xf>
    <xf numFmtId="0" fontId="14" fillId="35" borderId="32" xfId="0" applyFont="1" applyFill="1" applyBorder="1" applyAlignment="1">
      <alignment horizontal="center"/>
    </xf>
    <xf numFmtId="0" fontId="14" fillId="35" borderId="12" xfId="0" applyFont="1" applyFill="1" applyBorder="1" applyAlignment="1">
      <alignment horizontal="center"/>
    </xf>
    <xf numFmtId="0" fontId="14" fillId="35" borderId="14" xfId="0" applyFont="1" applyFill="1" applyBorder="1" applyAlignment="1">
      <alignment horizontal="center"/>
    </xf>
    <xf numFmtId="0" fontId="125" fillId="35" borderId="12" xfId="0" applyFont="1" applyFill="1" applyBorder="1" applyAlignment="1">
      <alignment horizontal="center"/>
    </xf>
    <xf numFmtId="0" fontId="125" fillId="35" borderId="14" xfId="0" applyFont="1" applyFill="1" applyBorder="1" applyAlignment="1">
      <alignment horizontal="center"/>
    </xf>
    <xf numFmtId="0" fontId="49" fillId="35" borderId="12" xfId="0" applyFont="1" applyFill="1" applyBorder="1" applyAlignment="1">
      <alignment horizontal="center"/>
    </xf>
    <xf numFmtId="0" fontId="49" fillId="35" borderId="14" xfId="0" applyFont="1" applyFill="1" applyBorder="1" applyAlignment="1">
      <alignment horizontal="center"/>
    </xf>
    <xf numFmtId="0" fontId="194" fillId="35" borderId="12" xfId="0" applyFont="1" applyFill="1" applyBorder="1" applyAlignment="1">
      <alignment horizontal="center"/>
    </xf>
    <xf numFmtId="0" fontId="194" fillId="35" borderId="14" xfId="0" applyFont="1" applyFill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2" xfId="0" applyFont="1" applyBorder="1" applyAlignment="1">
      <alignment horizontal="center"/>
    </xf>
    <xf numFmtId="0" fontId="45" fillId="35" borderId="31" xfId="0" applyFont="1" applyFill="1" applyBorder="1" applyAlignment="1">
      <alignment horizontal="center"/>
    </xf>
    <xf numFmtId="0" fontId="45" fillId="35" borderId="32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116" fillId="3" borderId="31" xfId="0" applyFont="1" applyFill="1" applyBorder="1" applyAlignment="1">
      <alignment horizontal="center"/>
    </xf>
    <xf numFmtId="0" fontId="116" fillId="3" borderId="32" xfId="0" applyFont="1" applyFill="1" applyBorder="1" applyAlignment="1">
      <alignment horizontal="center"/>
    </xf>
    <xf numFmtId="0" fontId="166" fillId="3" borderId="31" xfId="0" applyFont="1" applyFill="1" applyBorder="1" applyAlignment="1">
      <alignment horizontal="center"/>
    </xf>
    <xf numFmtId="0" fontId="166" fillId="3" borderId="32" xfId="0" applyFont="1" applyFill="1" applyBorder="1" applyAlignment="1">
      <alignment horizontal="center"/>
    </xf>
    <xf numFmtId="0" fontId="125" fillId="0" borderId="31" xfId="0" applyFont="1" applyBorder="1" applyAlignment="1">
      <alignment horizontal="center"/>
    </xf>
    <xf numFmtId="0" fontId="125" fillId="0" borderId="32" xfId="0" applyFont="1" applyBorder="1" applyAlignment="1">
      <alignment horizontal="center"/>
    </xf>
    <xf numFmtId="0" fontId="163" fillId="36" borderId="0" xfId="0" applyFont="1" applyFill="1" applyAlignment="1">
      <alignment horizontal="center"/>
    </xf>
    <xf numFmtId="0" fontId="261" fillId="10" borderId="0" xfId="0" applyFont="1" applyFill="1" applyAlignment="1">
      <alignment horizontal="center" vertical="center"/>
    </xf>
    <xf numFmtId="0" fontId="125" fillId="0" borderId="0" xfId="0" applyFont="1" applyAlignment="1">
      <alignment horizontal="center" vertical="center"/>
    </xf>
    <xf numFmtId="0" fontId="2" fillId="46" borderId="197" xfId="0" applyFont="1" applyFill="1" applyBorder="1" applyAlignment="1">
      <alignment horizontal="center" vertical="center"/>
    </xf>
    <xf numFmtId="0" fontId="2" fillId="46" borderId="297" xfId="0" applyFont="1" applyFill="1" applyBorder="1" applyAlignment="1">
      <alignment horizontal="center" vertical="center"/>
    </xf>
    <xf numFmtId="0" fontId="163" fillId="44" borderId="164" xfId="0" applyFont="1" applyFill="1" applyBorder="1" applyAlignment="1">
      <alignment horizontal="center" vertical="center"/>
    </xf>
    <xf numFmtId="0" fontId="2" fillId="46" borderId="166" xfId="0" applyFont="1" applyFill="1" applyBorder="1" applyAlignment="1">
      <alignment vertical="center"/>
    </xf>
    <xf numFmtId="0" fontId="2" fillId="46" borderId="162" xfId="0" applyFont="1" applyFill="1" applyBorder="1" applyAlignment="1">
      <alignment vertical="center"/>
    </xf>
    <xf numFmtId="0" fontId="277" fillId="47" borderId="162" xfId="0" applyFont="1" applyFill="1" applyBorder="1" applyAlignment="1">
      <alignment horizontal="center" vertical="center"/>
    </xf>
    <xf numFmtId="0" fontId="163" fillId="44" borderId="3" xfId="0" applyFont="1" applyFill="1" applyBorder="1" applyAlignment="1">
      <alignment horizontal="center" vertical="center"/>
    </xf>
    <xf numFmtId="0" fontId="163" fillId="44" borderId="38" xfId="0" applyFont="1" applyFill="1" applyBorder="1" applyAlignment="1">
      <alignment horizontal="center" vertical="center"/>
    </xf>
    <xf numFmtId="0" fontId="163" fillId="44" borderId="16" xfId="0" applyFont="1" applyFill="1" applyBorder="1" applyAlignment="1">
      <alignment horizontal="center" vertical="center"/>
    </xf>
    <xf numFmtId="0" fontId="32" fillId="4" borderId="31" xfId="0" applyFont="1" applyFill="1" applyBorder="1" applyAlignment="1">
      <alignment horizontal="center" vertical="center"/>
    </xf>
    <xf numFmtId="0" fontId="32" fillId="4" borderId="33" xfId="0" applyFont="1" applyFill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03" fillId="0" borderId="33" xfId="0" applyFont="1" applyBorder="1" applyAlignment="1">
      <alignment horizontal="center" vertical="center"/>
    </xf>
    <xf numFmtId="0" fontId="303" fillId="0" borderId="32" xfId="0" applyFont="1" applyBorder="1" applyAlignment="1">
      <alignment horizontal="center" vertical="center"/>
    </xf>
    <xf numFmtId="0" fontId="233" fillId="0" borderId="31" xfId="0" applyFont="1" applyBorder="1" applyAlignment="1">
      <alignment horizontal="center" vertical="center"/>
    </xf>
    <xf numFmtId="0" fontId="233" fillId="0" borderId="33" xfId="0" applyFont="1" applyBorder="1" applyAlignment="1">
      <alignment horizontal="center" vertical="center"/>
    </xf>
    <xf numFmtId="0" fontId="233" fillId="44" borderId="122" xfId="0" applyFont="1" applyFill="1" applyBorder="1" applyAlignment="1">
      <alignment horizontal="center" vertical="center"/>
    </xf>
    <xf numFmtId="0" fontId="233" fillId="44" borderId="123" xfId="0" applyFont="1" applyFill="1" applyBorder="1" applyAlignment="1">
      <alignment horizontal="center" vertical="center"/>
    </xf>
    <xf numFmtId="0" fontId="233" fillId="44" borderId="124" xfId="0" applyFont="1" applyFill="1" applyBorder="1" applyAlignment="1">
      <alignment horizontal="center" vertical="center"/>
    </xf>
    <xf numFmtId="0" fontId="38" fillId="48" borderId="31" xfId="0" applyFont="1" applyFill="1" applyBorder="1" applyAlignment="1">
      <alignment horizontal="center" vertical="center"/>
    </xf>
    <xf numFmtId="0" fontId="38" fillId="48" borderId="33" xfId="0" applyFont="1" applyFill="1" applyBorder="1" applyAlignment="1">
      <alignment horizontal="center" vertical="center"/>
    </xf>
    <xf numFmtId="0" fontId="38" fillId="48" borderId="32" xfId="0" applyFont="1" applyFill="1" applyBorder="1" applyAlignment="1">
      <alignment horizontal="center" vertical="center"/>
    </xf>
    <xf numFmtId="0" fontId="179" fillId="44" borderId="129" xfId="0" applyFont="1" applyFill="1" applyBorder="1" applyAlignment="1">
      <alignment horizontal="center" vertical="center"/>
    </xf>
    <xf numFmtId="0" fontId="179" fillId="44" borderId="123" xfId="0" applyFont="1" applyFill="1" applyBorder="1" applyAlignment="1">
      <alignment horizontal="center" vertical="center"/>
    </xf>
    <xf numFmtId="0" fontId="179" fillId="44" borderId="124" xfId="0" applyFont="1" applyFill="1" applyBorder="1" applyAlignment="1">
      <alignment horizontal="center" vertical="center"/>
    </xf>
    <xf numFmtId="0" fontId="39" fillId="69" borderId="2" xfId="0" applyFont="1" applyFill="1" applyBorder="1" applyAlignment="1">
      <alignment horizontal="center" vertical="center"/>
    </xf>
    <xf numFmtId="0" fontId="39" fillId="38" borderId="31" xfId="0" applyFont="1" applyFill="1" applyBorder="1" applyAlignment="1">
      <alignment horizontal="center" vertical="center"/>
    </xf>
    <xf numFmtId="0" fontId="39" fillId="38" borderId="122" xfId="0" applyFont="1" applyFill="1" applyBorder="1" applyAlignment="1">
      <alignment horizontal="center" vertical="center"/>
    </xf>
    <xf numFmtId="0" fontId="39" fillId="38" borderId="125" xfId="0" applyFont="1" applyFill="1" applyBorder="1" applyAlignment="1">
      <alignment horizontal="center" vertical="center"/>
    </xf>
    <xf numFmtId="0" fontId="39" fillId="38" borderId="32" xfId="0" applyFont="1" applyFill="1" applyBorder="1" applyAlignment="1">
      <alignment horizontal="center" vertical="center"/>
    </xf>
    <xf numFmtId="0" fontId="29" fillId="0" borderId="185" xfId="0" applyFont="1" applyBorder="1" applyAlignment="1">
      <alignment horizontal="center" vertical="center"/>
    </xf>
    <xf numFmtId="0" fontId="29" fillId="0" borderId="161" xfId="0" applyFont="1" applyBorder="1" applyAlignment="1">
      <alignment horizontal="center" vertical="center"/>
    </xf>
    <xf numFmtId="0" fontId="33" fillId="46" borderId="186" xfId="0" applyFont="1" applyFill="1" applyBorder="1" applyAlignment="1">
      <alignment horizontal="center" vertical="center"/>
    </xf>
    <xf numFmtId="0" fontId="33" fillId="46" borderId="173" xfId="0" applyFont="1" applyFill="1" applyBorder="1" applyAlignment="1">
      <alignment horizontal="center" vertical="center"/>
    </xf>
    <xf numFmtId="0" fontId="29" fillId="46" borderId="161" xfId="0" applyFont="1" applyFill="1" applyBorder="1" applyAlignment="1">
      <alignment horizontal="left" vertical="center"/>
    </xf>
    <xf numFmtId="0" fontId="274" fillId="53" borderId="179" xfId="0" applyFont="1" applyFill="1" applyBorder="1" applyAlignment="1">
      <alignment horizontal="center" vertical="center"/>
    </xf>
    <xf numFmtId="0" fontId="274" fillId="53" borderId="180" xfId="0" applyFont="1" applyFill="1" applyBorder="1" applyAlignment="1">
      <alignment horizontal="center" vertical="center"/>
    </xf>
    <xf numFmtId="0" fontId="274" fillId="53" borderId="181" xfId="0" applyFont="1" applyFill="1" applyBorder="1" applyAlignment="1">
      <alignment horizontal="center" vertical="center"/>
    </xf>
    <xf numFmtId="0" fontId="274" fillId="53" borderId="169" xfId="0" applyFont="1" applyFill="1" applyBorder="1" applyAlignment="1">
      <alignment horizontal="center" vertical="center"/>
    </xf>
    <xf numFmtId="0" fontId="274" fillId="53" borderId="168" xfId="0" applyFont="1" applyFill="1" applyBorder="1" applyAlignment="1">
      <alignment horizontal="center" vertical="center"/>
    </xf>
    <xf numFmtId="0" fontId="274" fillId="53" borderId="170" xfId="0" applyFont="1" applyFill="1" applyBorder="1" applyAlignment="1">
      <alignment horizontal="center" vertical="center"/>
    </xf>
    <xf numFmtId="0" fontId="33" fillId="54" borderId="182" xfId="0" applyFont="1" applyFill="1" applyBorder="1" applyAlignment="1">
      <alignment horizontal="center" vertical="center"/>
    </xf>
    <xf numFmtId="0" fontId="33" fillId="54" borderId="183" xfId="0" applyFont="1" applyFill="1" applyBorder="1" applyAlignment="1">
      <alignment horizontal="center" vertical="center"/>
    </xf>
    <xf numFmtId="0" fontId="29" fillId="46" borderId="167" xfId="0" applyFont="1" applyFill="1" applyBorder="1" applyAlignment="1">
      <alignment horizontal="left" vertical="center"/>
    </xf>
    <xf numFmtId="0" fontId="32" fillId="4" borderId="32" xfId="0" applyFont="1" applyFill="1" applyBorder="1" applyAlignment="1">
      <alignment horizontal="center" vertical="center" wrapText="1"/>
    </xf>
    <xf numFmtId="20" fontId="32" fillId="4" borderId="31" xfId="0" applyNumberFormat="1" applyFont="1" applyFill="1" applyBorder="1" applyAlignment="1">
      <alignment horizontal="center" vertical="center" wrapText="1"/>
    </xf>
    <xf numFmtId="20" fontId="32" fillId="4" borderId="33" xfId="0" applyNumberFormat="1" applyFont="1" applyFill="1" applyBorder="1" applyAlignment="1">
      <alignment horizontal="center" vertical="center" wrapText="1"/>
    </xf>
    <xf numFmtId="20" fontId="32" fillId="4" borderId="32" xfId="0" applyNumberFormat="1" applyFont="1" applyFill="1" applyBorder="1" applyAlignment="1">
      <alignment horizontal="center" vertical="center" wrapText="1"/>
    </xf>
    <xf numFmtId="0" fontId="91" fillId="0" borderId="15" xfId="0" applyFont="1" applyBorder="1" applyAlignment="1">
      <alignment horizontal="center"/>
    </xf>
    <xf numFmtId="0" fontId="232" fillId="44" borderId="129" xfId="0" applyFont="1" applyFill="1" applyBorder="1" applyAlignment="1">
      <alignment horizontal="center" vertical="center"/>
    </xf>
    <xf numFmtId="0" fontId="232" fillId="44" borderId="123" xfId="0" applyFont="1" applyFill="1" applyBorder="1" applyAlignment="1">
      <alignment horizontal="center" vertical="center"/>
    </xf>
    <xf numFmtId="0" fontId="232" fillId="44" borderId="124" xfId="0" applyFont="1" applyFill="1" applyBorder="1" applyAlignment="1">
      <alignment horizontal="center" vertical="center"/>
    </xf>
    <xf numFmtId="0" fontId="39" fillId="47" borderId="31" xfId="0" applyFont="1" applyFill="1" applyBorder="1" applyAlignment="1">
      <alignment horizontal="center" vertical="center"/>
    </xf>
    <xf numFmtId="0" fontId="39" fillId="47" borderId="122" xfId="0" applyFont="1" applyFill="1" applyBorder="1" applyAlignment="1">
      <alignment horizontal="center" vertical="center"/>
    </xf>
    <xf numFmtId="0" fontId="33" fillId="46" borderId="161" xfId="0" applyFont="1" applyFill="1" applyBorder="1" applyAlignment="1">
      <alignment horizontal="center" vertical="center"/>
    </xf>
    <xf numFmtId="0" fontId="33" fillId="54" borderId="167" xfId="0" applyFont="1" applyFill="1" applyBorder="1" applyAlignment="1">
      <alignment horizontal="center" vertical="center"/>
    </xf>
    <xf numFmtId="0" fontId="305" fillId="0" borderId="0" xfId="0" applyFont="1" applyAlignment="1">
      <alignment horizontal="center" vertical="center"/>
    </xf>
    <xf numFmtId="0" fontId="179" fillId="44" borderId="216" xfId="0" applyFont="1" applyFill="1" applyBorder="1" applyAlignment="1">
      <alignment horizontal="center" vertical="center"/>
    </xf>
    <xf numFmtId="0" fontId="179" fillId="44" borderId="217" xfId="0" applyFont="1" applyFill="1" applyBorder="1" applyAlignment="1">
      <alignment horizontal="center" vertical="center"/>
    </xf>
    <xf numFmtId="0" fontId="179" fillId="44" borderId="218" xfId="0" applyFont="1" applyFill="1" applyBorder="1" applyAlignment="1">
      <alignment horizontal="center" vertical="center"/>
    </xf>
    <xf numFmtId="0" fontId="38" fillId="48" borderId="15" xfId="0" applyFont="1" applyFill="1" applyBorder="1" applyAlignment="1">
      <alignment horizontal="center" vertical="center"/>
    </xf>
    <xf numFmtId="0" fontId="179" fillId="44" borderId="126" xfId="0" applyFont="1" applyFill="1" applyBorder="1" applyAlignment="1">
      <alignment horizontal="center" vertical="center"/>
    </xf>
    <xf numFmtId="0" fontId="179" fillId="44" borderId="128" xfId="0" applyFont="1" applyFill="1" applyBorder="1" applyAlignment="1">
      <alignment horizontal="center" vertical="center"/>
    </xf>
    <xf numFmtId="0" fontId="179" fillId="44" borderId="127" xfId="0" applyFont="1" applyFill="1" applyBorder="1" applyAlignment="1">
      <alignment horizontal="center" vertical="center"/>
    </xf>
    <xf numFmtId="0" fontId="29" fillId="46" borderId="209" xfId="0" applyFont="1" applyFill="1" applyBorder="1" applyAlignment="1">
      <alignment horizontal="left" vertical="center"/>
    </xf>
    <xf numFmtId="0" fontId="39" fillId="4" borderId="31" xfId="0" applyFont="1" applyFill="1" applyBorder="1" applyAlignment="1">
      <alignment horizontal="center" vertical="center" wrapText="1"/>
    </xf>
    <xf numFmtId="0" fontId="39" fillId="4" borderId="33" xfId="0" applyFont="1" applyFill="1" applyBorder="1" applyAlignment="1">
      <alignment horizontal="center" vertical="center" wrapText="1"/>
    </xf>
    <xf numFmtId="0" fontId="305" fillId="0" borderId="33" xfId="0" applyFont="1" applyBorder="1" applyAlignment="1">
      <alignment horizontal="center" vertical="center" wrapText="1"/>
    </xf>
    <xf numFmtId="0" fontId="39" fillId="4" borderId="32" xfId="0" applyFont="1" applyFill="1" applyBorder="1" applyAlignment="1">
      <alignment horizontal="center" vertical="center" wrapText="1"/>
    </xf>
    <xf numFmtId="0" fontId="274" fillId="53" borderId="210" xfId="0" applyFont="1" applyFill="1" applyBorder="1" applyAlignment="1">
      <alignment horizontal="center" vertical="center"/>
    </xf>
    <xf numFmtId="0" fontId="225" fillId="0" borderId="0" xfId="0" applyFont="1" applyAlignment="1">
      <alignment horizontal="center" vertical="center"/>
    </xf>
    <xf numFmtId="0" fontId="33" fillId="54" borderId="187" xfId="0" applyFont="1" applyFill="1" applyBorder="1" applyAlignment="1">
      <alignment horizontal="center" vertical="center"/>
    </xf>
    <xf numFmtId="0" fontId="29" fillId="46" borderId="208" xfId="0" applyFont="1" applyFill="1" applyBorder="1" applyAlignment="1">
      <alignment horizontal="left" vertical="center"/>
    </xf>
    <xf numFmtId="0" fontId="176" fillId="44" borderId="31" xfId="0" applyFont="1" applyFill="1" applyBorder="1" applyAlignment="1">
      <alignment horizontal="center" vertical="center"/>
    </xf>
    <xf numFmtId="0" fontId="176" fillId="44" borderId="33" xfId="0" applyFont="1" applyFill="1" applyBorder="1" applyAlignment="1">
      <alignment horizontal="center" vertical="center"/>
    </xf>
    <xf numFmtId="0" fontId="176" fillId="44" borderId="32" xfId="0" applyFont="1" applyFill="1" applyBorder="1" applyAlignment="1">
      <alignment horizontal="center" vertical="center"/>
    </xf>
    <xf numFmtId="0" fontId="266" fillId="6" borderId="31" xfId="0" applyFont="1" applyFill="1" applyBorder="1" applyAlignment="1">
      <alignment horizontal="center" vertical="center"/>
    </xf>
    <xf numFmtId="0" fontId="266" fillId="6" borderId="33" xfId="0" applyFont="1" applyFill="1" applyBorder="1" applyAlignment="1">
      <alignment horizontal="center" vertical="center"/>
    </xf>
    <xf numFmtId="0" fontId="266" fillId="6" borderId="32" xfId="0" applyFont="1" applyFill="1" applyBorder="1" applyAlignment="1">
      <alignment horizontal="center" vertical="center"/>
    </xf>
    <xf numFmtId="0" fontId="281" fillId="47" borderId="161" xfId="0" applyFont="1" applyFill="1" applyBorder="1" applyAlignment="1">
      <alignment horizontal="center" vertical="center" wrapText="1"/>
    </xf>
    <xf numFmtId="0" fontId="29" fillId="46" borderId="161" xfId="0" applyFont="1" applyFill="1" applyBorder="1" applyAlignment="1">
      <alignment horizontal="left" vertical="center" wrapText="1"/>
    </xf>
    <xf numFmtId="0" fontId="280" fillId="47" borderId="161" xfId="0" applyFont="1" applyFill="1" applyBorder="1" applyAlignment="1">
      <alignment horizontal="center" vertical="center" wrapText="1"/>
    </xf>
    <xf numFmtId="0" fontId="29" fillId="46" borderId="208" xfId="0" applyFont="1" applyFill="1" applyBorder="1" applyAlignment="1">
      <alignment horizontal="left" vertical="center" wrapText="1"/>
    </xf>
    <xf numFmtId="0" fontId="29" fillId="0" borderId="0" xfId="0" applyFont="1" applyAlignment="1">
      <alignment horizontal="left" vertical="center" wrapText="1"/>
    </xf>
    <xf numFmtId="0" fontId="29" fillId="46" borderId="209" xfId="0" applyFont="1" applyFill="1" applyBorder="1" applyAlignment="1">
      <alignment horizontal="left" vertical="center" wrapText="1"/>
    </xf>
    <xf numFmtId="0" fontId="29" fillId="46" borderId="167" xfId="0" applyFont="1" applyFill="1" applyBorder="1" applyAlignment="1">
      <alignment horizontal="left" vertical="center" wrapText="1"/>
    </xf>
    <xf numFmtId="0" fontId="179" fillId="44" borderId="4" xfId="0" applyFont="1" applyFill="1" applyBorder="1" applyAlignment="1">
      <alignment horizontal="center" vertical="center"/>
    </xf>
    <xf numFmtId="0" fontId="179" fillId="44" borderId="5" xfId="0" applyFont="1" applyFill="1" applyBorder="1" applyAlignment="1">
      <alignment horizontal="center"/>
    </xf>
    <xf numFmtId="0" fontId="179" fillId="44" borderId="6" xfId="0" applyFont="1" applyFill="1" applyBorder="1" applyAlignment="1">
      <alignment horizontal="center"/>
    </xf>
    <xf numFmtId="0" fontId="274" fillId="53" borderId="207" xfId="0" applyFont="1" applyFill="1" applyBorder="1" applyAlignment="1">
      <alignment horizontal="center" vertical="center" wrapText="1"/>
    </xf>
    <xf numFmtId="0" fontId="225" fillId="0" borderId="0" xfId="0" applyFont="1" applyAlignment="1">
      <alignment horizontal="center" vertical="center" wrapText="1"/>
    </xf>
    <xf numFmtId="0" fontId="179" fillId="44" borderId="5" xfId="0" applyFont="1" applyFill="1" applyBorder="1" applyAlignment="1">
      <alignment horizontal="center" vertical="center"/>
    </xf>
    <xf numFmtId="0" fontId="179" fillId="44" borderId="6" xfId="0" applyFont="1" applyFill="1" applyBorder="1" applyAlignment="1">
      <alignment horizontal="center" vertical="center"/>
    </xf>
    <xf numFmtId="0" fontId="39" fillId="38" borderId="34" xfId="0" applyFont="1" applyFill="1" applyBorder="1" applyAlignment="1">
      <alignment horizontal="center" vertical="center"/>
    </xf>
    <xf numFmtId="0" fontId="39" fillId="38" borderId="89" xfId="0" applyFont="1" applyFill="1" applyBorder="1" applyAlignment="1">
      <alignment horizontal="center" vertical="center"/>
    </xf>
    <xf numFmtId="0" fontId="38" fillId="6" borderId="15" xfId="0" applyFont="1" applyFill="1" applyBorder="1" applyAlignment="1">
      <alignment horizontal="center" vertical="center" wrapText="1"/>
    </xf>
    <xf numFmtId="0" fontId="304" fillId="0" borderId="0" xfId="0" applyFont="1" applyAlignment="1">
      <alignment horizontal="center" vertical="center" wrapText="1"/>
    </xf>
    <xf numFmtId="0" fontId="224" fillId="0" borderId="31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29" fillId="46" borderId="251" xfId="0" applyFont="1" applyFill="1" applyBorder="1" applyAlignment="1">
      <alignment horizontal="left" vertical="center"/>
    </xf>
    <xf numFmtId="0" fontId="29" fillId="46" borderId="248" xfId="0" applyFont="1" applyFill="1" applyBorder="1" applyAlignment="1">
      <alignment horizontal="left" vertical="center"/>
    </xf>
    <xf numFmtId="0" fontId="29" fillId="46" borderId="253" xfId="0" applyFont="1" applyFill="1" applyBorder="1" applyAlignment="1">
      <alignment horizontal="left" vertical="center"/>
    </xf>
    <xf numFmtId="0" fontId="29" fillId="46" borderId="254" xfId="0" applyFont="1" applyFill="1" applyBorder="1" applyAlignment="1">
      <alignment horizontal="left" vertical="center"/>
    </xf>
    <xf numFmtId="0" fontId="33" fillId="53" borderId="249" xfId="0" applyFont="1" applyFill="1" applyBorder="1" applyAlignment="1">
      <alignment horizontal="center" vertical="center"/>
    </xf>
    <xf numFmtId="0" fontId="33" fillId="0" borderId="250" xfId="0" applyFont="1" applyBorder="1" applyAlignment="1">
      <alignment horizontal="center" vertical="center"/>
    </xf>
    <xf numFmtId="0" fontId="33" fillId="0" borderId="246" xfId="0" applyFont="1" applyBorder="1" applyAlignment="1">
      <alignment horizontal="center" vertical="center"/>
    </xf>
    <xf numFmtId="0" fontId="29" fillId="0" borderId="248" xfId="0" applyFont="1" applyBorder="1" applyAlignment="1">
      <alignment horizontal="left" vertical="center"/>
    </xf>
    <xf numFmtId="0" fontId="303" fillId="0" borderId="0" xfId="0" applyFont="1" applyAlignment="1">
      <alignment horizontal="center" vertical="center"/>
    </xf>
    <xf numFmtId="0" fontId="179" fillId="44" borderId="31" xfId="0" applyFont="1" applyFill="1" applyBorder="1" applyAlignment="1">
      <alignment horizontal="center"/>
    </xf>
    <xf numFmtId="0" fontId="179" fillId="44" borderId="33" xfId="0" applyFont="1" applyFill="1" applyBorder="1" applyAlignment="1">
      <alignment horizontal="center"/>
    </xf>
    <xf numFmtId="0" fontId="179" fillId="44" borderId="32" xfId="0" applyFont="1" applyFill="1" applyBorder="1" applyAlignment="1">
      <alignment horizontal="center"/>
    </xf>
    <xf numFmtId="0" fontId="34" fillId="0" borderId="288" xfId="0" applyFont="1" applyBorder="1" applyAlignment="1">
      <alignment horizontal="center" vertical="center" wrapText="1"/>
    </xf>
    <xf numFmtId="0" fontId="34" fillId="0" borderId="289" xfId="0" applyFont="1" applyBorder="1" applyAlignment="1">
      <alignment horizontal="center" vertical="center" wrapText="1"/>
    </xf>
    <xf numFmtId="0" fontId="195" fillId="0" borderId="282" xfId="0" applyFont="1" applyBorder="1" applyAlignment="1">
      <alignment horizontal="center" vertical="center" wrapText="1"/>
    </xf>
    <xf numFmtId="0" fontId="195" fillId="0" borderId="283" xfId="0" applyFont="1" applyBorder="1" applyAlignment="1">
      <alignment horizontal="center" vertical="center" wrapText="1"/>
    </xf>
    <xf numFmtId="0" fontId="195" fillId="0" borderId="284" xfId="0" applyFont="1" applyBorder="1" applyAlignment="1">
      <alignment horizontal="center" vertical="center" wrapText="1"/>
    </xf>
    <xf numFmtId="0" fontId="195" fillId="0" borderId="285" xfId="0" applyFont="1" applyBorder="1" applyAlignment="1">
      <alignment horizontal="center" vertical="center" wrapText="1"/>
    </xf>
    <xf numFmtId="170" fontId="30" fillId="6" borderId="1" xfId="0" applyNumberFormat="1" applyFont="1" applyFill="1" applyBorder="1" applyAlignment="1">
      <alignment horizontal="center" vertical="center"/>
    </xf>
    <xf numFmtId="170" fontId="30" fillId="6" borderId="274" xfId="0" applyNumberFormat="1" applyFont="1" applyFill="1" applyBorder="1" applyAlignment="1">
      <alignment horizontal="center" vertical="center"/>
    </xf>
    <xf numFmtId="0" fontId="219" fillId="9" borderId="291" xfId="0" applyFont="1" applyFill="1" applyBorder="1" applyAlignment="1">
      <alignment horizontal="center" vertical="center"/>
    </xf>
    <xf numFmtId="0" fontId="219" fillId="9" borderId="292" xfId="0" applyFont="1" applyFill="1" applyBorder="1" applyAlignment="1">
      <alignment horizontal="center" vertical="center"/>
    </xf>
    <xf numFmtId="0" fontId="219" fillId="9" borderId="293" xfId="0" applyFont="1" applyFill="1" applyBorder="1" applyAlignment="1">
      <alignment horizontal="center" vertical="center"/>
    </xf>
    <xf numFmtId="2" fontId="195" fillId="24" borderId="278" xfId="0" applyNumberFormat="1" applyFont="1" applyFill="1" applyBorder="1" applyAlignment="1">
      <alignment horizontal="center" vertical="center" wrapText="1"/>
    </xf>
    <xf numFmtId="2" fontId="195" fillId="24" borderId="257" xfId="0" applyNumberFormat="1" applyFont="1" applyFill="1" applyBorder="1" applyAlignment="1">
      <alignment horizontal="center" vertical="center" wrapText="1"/>
    </xf>
    <xf numFmtId="2" fontId="195" fillId="24" borderId="260" xfId="0" applyNumberFormat="1" applyFont="1" applyFill="1" applyBorder="1" applyAlignment="1">
      <alignment horizontal="center" vertical="center" wrapText="1"/>
    </xf>
    <xf numFmtId="2" fontId="195" fillId="24" borderId="279" xfId="0" applyNumberFormat="1" applyFont="1" applyFill="1" applyBorder="1" applyAlignment="1">
      <alignment horizontal="center" vertical="center" wrapText="1"/>
    </xf>
    <xf numFmtId="2" fontId="195" fillId="24" borderId="0" xfId="0" applyNumberFormat="1" applyFont="1" applyFill="1" applyAlignment="1">
      <alignment horizontal="center" vertical="center" wrapText="1"/>
    </xf>
    <xf numFmtId="2" fontId="195" fillId="24" borderId="280" xfId="0" applyNumberFormat="1" applyFont="1" applyFill="1" applyBorder="1" applyAlignment="1">
      <alignment horizontal="center" vertical="center" wrapText="1"/>
    </xf>
    <xf numFmtId="169" fontId="42" fillId="79" borderId="278" xfId="0" applyNumberFormat="1" applyFont="1" applyFill="1" applyBorder="1" applyAlignment="1">
      <alignment horizontal="center" vertical="center"/>
    </xf>
    <xf numFmtId="169" fontId="42" fillId="79" borderId="281" xfId="0" applyNumberFormat="1" applyFont="1" applyFill="1" applyBorder="1" applyAlignment="1">
      <alignment horizontal="center" vertical="center"/>
    </xf>
    <xf numFmtId="2" fontId="195" fillId="79" borderId="278" xfId="0" applyNumberFormat="1" applyFont="1" applyFill="1" applyBorder="1" applyAlignment="1">
      <alignment horizontal="center" vertical="center"/>
    </xf>
    <xf numFmtId="2" fontId="195" fillId="79" borderId="260" xfId="0" applyNumberFormat="1" applyFont="1" applyFill="1" applyBorder="1" applyAlignment="1">
      <alignment horizontal="center" vertical="center"/>
    </xf>
    <xf numFmtId="2" fontId="195" fillId="79" borderId="281" xfId="0" applyNumberFormat="1" applyFont="1" applyFill="1" applyBorder="1" applyAlignment="1">
      <alignment horizontal="center" vertical="center"/>
    </xf>
    <xf numFmtId="2" fontId="195" fillId="79" borderId="265" xfId="0" applyNumberFormat="1" applyFont="1" applyFill="1" applyBorder="1" applyAlignment="1">
      <alignment horizontal="center" vertical="center"/>
    </xf>
    <xf numFmtId="0" fontId="34" fillId="0" borderId="290" xfId="0" applyFont="1" applyBorder="1" applyAlignment="1">
      <alignment horizontal="center" vertical="center" wrapText="1"/>
    </xf>
    <xf numFmtId="0" fontId="195" fillId="0" borderId="286" xfId="0" applyFont="1" applyBorder="1" applyAlignment="1">
      <alignment horizontal="center" vertical="center" wrapText="1"/>
    </xf>
    <xf numFmtId="0" fontId="195" fillId="0" borderId="287" xfId="0" applyFont="1" applyBorder="1" applyAlignment="1">
      <alignment horizontal="center" vertical="center" wrapText="1"/>
    </xf>
    <xf numFmtId="0" fontId="303" fillId="0" borderId="0" xfId="0" applyFont="1" applyAlignment="1">
      <alignment horizontal="center"/>
    </xf>
    <xf numFmtId="178" fontId="187" fillId="0" borderId="0" xfId="0" applyNumberFormat="1" applyFont="1" applyAlignment="1">
      <alignment horizontal="center"/>
    </xf>
    <xf numFmtId="0" fontId="179" fillId="44" borderId="31" xfId="0" applyFont="1" applyFill="1" applyBorder="1" applyAlignment="1">
      <alignment horizontal="center" vertical="center"/>
    </xf>
    <xf numFmtId="0" fontId="179" fillId="44" borderId="33" xfId="0" applyFont="1" applyFill="1" applyBorder="1" applyAlignment="1">
      <alignment horizontal="center" vertical="center"/>
    </xf>
    <xf numFmtId="0" fontId="179" fillId="44" borderId="32" xfId="0" applyFont="1" applyFill="1" applyBorder="1" applyAlignment="1">
      <alignment horizontal="center" vertical="center"/>
    </xf>
    <xf numFmtId="0" fontId="39" fillId="38" borderId="33" xfId="0" applyFont="1" applyFill="1" applyBorder="1" applyAlignment="1">
      <alignment horizontal="center" vertical="center"/>
    </xf>
    <xf numFmtId="0" fontId="281" fillId="47" borderId="209" xfId="0" applyFont="1" applyFill="1" applyBorder="1" applyAlignment="1">
      <alignment horizontal="center" vertical="center"/>
    </xf>
    <xf numFmtId="0" fontId="281" fillId="47" borderId="315" xfId="0" applyFont="1" applyFill="1" applyBorder="1" applyAlignment="1">
      <alignment horizontal="center" vertical="center"/>
    </xf>
    <xf numFmtId="0" fontId="281" fillId="47" borderId="316" xfId="0" applyFont="1" applyFill="1" applyBorder="1" applyAlignment="1">
      <alignment horizontal="center" vertical="center"/>
    </xf>
    <xf numFmtId="0" fontId="274" fillId="53" borderId="337" xfId="0" applyFont="1" applyFill="1" applyBorder="1" applyAlignment="1">
      <alignment horizontal="center" vertical="center"/>
    </xf>
    <xf numFmtId="0" fontId="274" fillId="53" borderId="338" xfId="0" applyFont="1" applyFill="1" applyBorder="1" applyAlignment="1">
      <alignment horizontal="center" vertical="center"/>
    </xf>
    <xf numFmtId="0" fontId="274" fillId="53" borderId="339" xfId="0" applyFont="1" applyFill="1" applyBorder="1" applyAlignment="1">
      <alignment horizontal="center" vertical="center"/>
    </xf>
    <xf numFmtId="0" fontId="29" fillId="0" borderId="317" xfId="0" applyFont="1" applyBorder="1" applyAlignment="1">
      <alignment horizontal="center" vertical="center"/>
    </xf>
    <xf numFmtId="0" fontId="29" fillId="0" borderId="315" xfId="0" applyFont="1" applyBorder="1" applyAlignment="1">
      <alignment horizontal="center" vertical="center"/>
    </xf>
    <xf numFmtId="0" fontId="29" fillId="0" borderId="318" xfId="0" applyFont="1" applyBorder="1" applyAlignment="1">
      <alignment horizontal="center" vertical="center"/>
    </xf>
    <xf numFmtId="0" fontId="29" fillId="0" borderId="319" xfId="0" applyFont="1" applyBorder="1" applyAlignment="1">
      <alignment horizontal="center" vertical="center"/>
    </xf>
    <xf numFmtId="0" fontId="29" fillId="0" borderId="320" xfId="0" applyFont="1" applyBorder="1" applyAlignment="1">
      <alignment horizontal="center" vertical="center"/>
    </xf>
    <xf numFmtId="0" fontId="29" fillId="0" borderId="321" xfId="0" applyFont="1" applyBorder="1" applyAlignment="1">
      <alignment horizontal="center" vertical="center"/>
    </xf>
    <xf numFmtId="0" fontId="33" fillId="46" borderId="12" xfId="0" applyFont="1" applyFill="1" applyBorder="1" applyAlignment="1">
      <alignment horizontal="center" vertical="center"/>
    </xf>
    <xf numFmtId="0" fontId="33" fillId="46" borderId="15" xfId="0" applyFont="1" applyFill="1" applyBorder="1" applyAlignment="1">
      <alignment horizontal="center" vertical="center"/>
    </xf>
    <xf numFmtId="0" fontId="33" fillId="46" borderId="322" xfId="0" applyFont="1" applyFill="1" applyBorder="1" applyAlignment="1">
      <alignment horizontal="center" vertical="center"/>
    </xf>
    <xf numFmtId="0" fontId="179" fillId="36" borderId="2" xfId="0" applyFont="1" applyFill="1" applyBorder="1" applyAlignment="1">
      <alignment horizontal="center"/>
    </xf>
    <xf numFmtId="0" fontId="31" fillId="16" borderId="33" xfId="0" applyFont="1" applyFill="1" applyBorder="1" applyAlignment="1">
      <alignment horizontal="center" vertical="center"/>
    </xf>
    <xf numFmtId="0" fontId="32" fillId="0" borderId="53" xfId="0" applyFont="1" applyBorder="1" applyAlignment="1">
      <alignment horizontal="center" vertical="center"/>
    </xf>
    <xf numFmtId="0" fontId="32" fillId="0" borderId="54" xfId="0" applyFont="1" applyBorder="1" applyAlignment="1">
      <alignment horizontal="center" vertical="center"/>
    </xf>
    <xf numFmtId="0" fontId="32" fillId="0" borderId="59" xfId="0" applyFont="1" applyBorder="1" applyAlignment="1">
      <alignment horizontal="center" vertical="center"/>
    </xf>
    <xf numFmtId="0" fontId="32" fillId="0" borderId="55" xfId="0" applyFont="1" applyBorder="1" applyAlignment="1">
      <alignment horizontal="center" vertical="center"/>
    </xf>
    <xf numFmtId="0" fontId="280" fillId="47" borderId="209" xfId="0" applyFont="1" applyFill="1" applyBorder="1" applyAlignment="1">
      <alignment horizontal="center" vertical="center"/>
    </xf>
    <xf numFmtId="0" fontId="280" fillId="47" borderId="315" xfId="0" applyFont="1" applyFill="1" applyBorder="1" applyAlignment="1">
      <alignment horizontal="center" vertical="center"/>
    </xf>
    <xf numFmtId="0" fontId="280" fillId="47" borderId="316" xfId="0" applyFont="1" applyFill="1" applyBorder="1" applyAlignment="1">
      <alignment horizontal="center" vertical="center"/>
    </xf>
    <xf numFmtId="0" fontId="275" fillId="36" borderId="2" xfId="0" applyFont="1" applyFill="1" applyBorder="1" applyAlignment="1">
      <alignment horizontal="center" vertical="center"/>
    </xf>
    <xf numFmtId="0" fontId="274" fillId="53" borderId="15" xfId="0" applyFont="1" applyFill="1" applyBorder="1" applyAlignment="1">
      <alignment horizontal="center" vertical="center"/>
    </xf>
    <xf numFmtId="0" fontId="33" fillId="54" borderId="314" xfId="0" applyFont="1" applyFill="1" applyBorder="1" applyAlignment="1">
      <alignment horizontal="center" vertical="center"/>
    </xf>
    <xf numFmtId="178" fontId="254" fillId="0" borderId="38" xfId="0" applyNumberFormat="1" applyFont="1" applyBorder="1" applyAlignment="1" applyProtection="1">
      <alignment horizontal="center"/>
      <protection locked="0"/>
    </xf>
    <xf numFmtId="178" fontId="254" fillId="0" borderId="16" xfId="0" applyNumberFormat="1" applyFont="1" applyBorder="1" applyAlignment="1" applyProtection="1">
      <alignment horizontal="center"/>
      <protection locked="0"/>
    </xf>
    <xf numFmtId="0" fontId="195" fillId="72" borderId="31" xfId="0" applyFont="1" applyFill="1" applyBorder="1" applyAlignment="1" applyProtection="1">
      <alignment horizontal="center"/>
      <protection locked="0"/>
    </xf>
    <xf numFmtId="0" fontId="195" fillId="72" borderId="33" xfId="0" applyFont="1" applyFill="1" applyBorder="1" applyAlignment="1" applyProtection="1">
      <alignment horizontal="center"/>
      <protection locked="0"/>
    </xf>
    <xf numFmtId="0" fontId="195" fillId="72" borderId="32" xfId="0" applyFont="1" applyFill="1" applyBorder="1" applyAlignment="1" applyProtection="1">
      <alignment horizontal="center"/>
      <protection locked="0"/>
    </xf>
    <xf numFmtId="0" fontId="32" fillId="17" borderId="3" xfId="0" applyFont="1" applyFill="1" applyBorder="1" applyAlignment="1" applyProtection="1">
      <alignment horizontal="center" vertical="center" wrapText="1"/>
      <protection locked="0"/>
    </xf>
    <xf numFmtId="0" fontId="32" fillId="17" borderId="38" xfId="0" applyFont="1" applyFill="1" applyBorder="1" applyAlignment="1" applyProtection="1">
      <alignment horizontal="center" vertical="center" wrapText="1"/>
      <protection locked="0"/>
    </xf>
    <xf numFmtId="0" fontId="32" fillId="0" borderId="31" xfId="0" applyFont="1" applyBorder="1" applyAlignment="1" applyProtection="1">
      <alignment horizontal="center" vertical="center" wrapText="1"/>
      <protection locked="0"/>
    </xf>
    <xf numFmtId="0" fontId="32" fillId="0" borderId="33" xfId="0" applyFont="1" applyBorder="1" applyAlignment="1" applyProtection="1">
      <alignment horizontal="center" vertical="center" wrapText="1"/>
      <protection locked="0"/>
    </xf>
    <xf numFmtId="0" fontId="32" fillId="0" borderId="32" xfId="0" applyFont="1" applyBorder="1" applyAlignment="1" applyProtection="1">
      <alignment horizontal="center" vertical="center" wrapText="1"/>
      <protection locked="0"/>
    </xf>
    <xf numFmtId="0" fontId="195" fillId="35" borderId="31" xfId="0" applyFont="1" applyFill="1" applyBorder="1" applyAlignment="1" applyProtection="1">
      <alignment horizontal="center"/>
      <protection locked="0"/>
    </xf>
    <xf numFmtId="0" fontId="195" fillId="35" borderId="33" xfId="0" applyFont="1" applyFill="1" applyBorder="1" applyAlignment="1" applyProtection="1">
      <alignment horizontal="center"/>
      <protection locked="0"/>
    </xf>
    <xf numFmtId="0" fontId="32" fillId="75" borderId="31" xfId="0" applyFont="1" applyFill="1" applyBorder="1" applyAlignment="1" applyProtection="1">
      <alignment horizontal="center" vertical="center" wrapText="1"/>
      <protection locked="0"/>
    </xf>
    <xf numFmtId="0" fontId="32" fillId="75" borderId="33" xfId="0" applyFont="1" applyFill="1" applyBorder="1" applyAlignment="1" applyProtection="1">
      <alignment horizontal="center" vertical="center" wrapText="1"/>
      <protection locked="0"/>
    </xf>
    <xf numFmtId="0" fontId="32" fillId="75" borderId="32" xfId="0" applyFont="1" applyFill="1" applyBorder="1" applyAlignment="1" applyProtection="1">
      <alignment horizontal="center" vertical="center" wrapText="1"/>
      <protection locked="0"/>
    </xf>
    <xf numFmtId="0" fontId="254" fillId="21" borderId="31" xfId="0" applyFont="1" applyFill="1" applyBorder="1" applyAlignment="1" applyProtection="1">
      <alignment horizontal="center"/>
      <protection locked="0"/>
    </xf>
    <xf numFmtId="0" fontId="254" fillId="21" borderId="33" xfId="0" applyFont="1" applyFill="1" applyBorder="1" applyAlignment="1" applyProtection="1">
      <alignment horizontal="center"/>
      <protection locked="0"/>
    </xf>
    <xf numFmtId="0" fontId="254" fillId="21" borderId="32" xfId="0" applyFont="1" applyFill="1" applyBorder="1" applyAlignment="1" applyProtection="1">
      <alignment horizontal="center"/>
      <protection locked="0"/>
    </xf>
    <xf numFmtId="0" fontId="199" fillId="44" borderId="2" xfId="0" applyFont="1" applyFill="1" applyBorder="1" applyAlignment="1">
      <alignment horizontal="center"/>
    </xf>
    <xf numFmtId="0" fontId="34" fillId="4" borderId="22" xfId="0" applyFont="1" applyFill="1" applyBorder="1" applyAlignment="1" applyProtection="1">
      <alignment horizontal="center" vertical="center" textRotation="255" wrapText="1"/>
      <protection locked="0"/>
    </xf>
    <xf numFmtId="0" fontId="31" fillId="16" borderId="31" xfId="0" applyFont="1" applyFill="1" applyBorder="1" applyAlignment="1" applyProtection="1">
      <alignment horizontal="center" vertical="center"/>
      <protection locked="0"/>
    </xf>
    <xf numFmtId="0" fontId="31" fillId="16" borderId="32" xfId="0" applyFont="1" applyFill="1" applyBorder="1" applyAlignment="1" applyProtection="1">
      <alignment horizontal="center" vertical="center"/>
      <protection locked="0"/>
    </xf>
    <xf numFmtId="0" fontId="224" fillId="0" borderId="31" xfId="0" applyFont="1" applyBorder="1" applyAlignment="1" applyProtection="1">
      <alignment horizontal="center" vertical="center"/>
      <protection locked="0"/>
    </xf>
    <xf numFmtId="0" fontId="32" fillId="0" borderId="33" xfId="0" applyFont="1" applyBorder="1" applyAlignment="1" applyProtection="1">
      <alignment horizontal="center" vertical="center"/>
      <protection locked="0"/>
    </xf>
    <xf numFmtId="0" fontId="32" fillId="0" borderId="32" xfId="0" applyFont="1" applyBorder="1" applyAlignment="1" applyProtection="1">
      <alignment horizontal="center" vertical="center"/>
      <protection locked="0"/>
    </xf>
    <xf numFmtId="0" fontId="38" fillId="0" borderId="15" xfId="0" applyFont="1" applyBorder="1" applyAlignment="1" applyProtection="1">
      <alignment horizontal="center" vertical="center"/>
      <protection locked="0"/>
    </xf>
    <xf numFmtId="0" fontId="151" fillId="0" borderId="0" xfId="0" applyFont="1" applyAlignment="1" applyProtection="1">
      <alignment horizontal="center" vertical="center"/>
      <protection locked="0"/>
    </xf>
    <xf numFmtId="178" fontId="41" fillId="0" borderId="3" xfId="0" applyNumberFormat="1" applyFont="1" applyBorder="1" applyAlignment="1">
      <alignment horizontal="center" vertical="center"/>
    </xf>
    <xf numFmtId="178" fontId="41" fillId="0" borderId="38" xfId="0" applyNumberFormat="1" applyFont="1" applyBorder="1" applyAlignment="1">
      <alignment horizontal="center" vertical="center"/>
    </xf>
    <xf numFmtId="178" fontId="41" fillId="0" borderId="16" xfId="0" applyNumberFormat="1" applyFont="1" applyBorder="1" applyAlignment="1">
      <alignment horizontal="center" vertical="center"/>
    </xf>
    <xf numFmtId="178" fontId="41" fillId="0" borderId="18" xfId="0" applyNumberFormat="1" applyFont="1" applyBorder="1" applyAlignment="1">
      <alignment horizontal="center" vertical="center"/>
    </xf>
    <xf numFmtId="178" fontId="41" fillId="0" borderId="0" xfId="0" applyNumberFormat="1" applyFont="1" applyAlignment="1">
      <alignment horizontal="center" vertical="center"/>
    </xf>
    <xf numFmtId="178" fontId="41" fillId="0" borderId="19" xfId="0" applyNumberFormat="1" applyFont="1" applyBorder="1" applyAlignment="1">
      <alignment horizontal="center" vertical="center"/>
    </xf>
    <xf numFmtId="178" fontId="41" fillId="0" borderId="12" xfId="0" applyNumberFormat="1" applyFont="1" applyBorder="1" applyAlignment="1">
      <alignment horizontal="center" vertical="center"/>
    </xf>
    <xf numFmtId="178" fontId="41" fillId="0" borderId="15" xfId="0" applyNumberFormat="1" applyFont="1" applyBorder="1" applyAlignment="1">
      <alignment horizontal="center" vertical="center"/>
    </xf>
    <xf numFmtId="178" fontId="41" fillId="0" borderId="14" xfId="0" applyNumberFormat="1" applyFont="1" applyBorder="1" applyAlignment="1">
      <alignment horizontal="center" vertical="center"/>
    </xf>
    <xf numFmtId="0" fontId="257" fillId="0" borderId="15" xfId="0" applyFont="1" applyBorder="1" applyAlignment="1">
      <alignment horizontal="center" vertical="center"/>
    </xf>
    <xf numFmtId="0" fontId="194" fillId="51" borderId="3" xfId="0" applyFont="1" applyFill="1" applyBorder="1" applyAlignment="1" applyProtection="1">
      <alignment horizontal="center" vertical="center" wrapText="1"/>
      <protection locked="0"/>
    </xf>
    <xf numFmtId="0" fontId="194" fillId="51" borderId="38" xfId="0" applyFont="1" applyFill="1" applyBorder="1" applyAlignment="1" applyProtection="1">
      <alignment horizontal="center" vertical="center" wrapText="1"/>
      <protection locked="0"/>
    </xf>
    <xf numFmtId="0" fontId="194" fillId="51" borderId="16" xfId="0" applyFont="1" applyFill="1" applyBorder="1" applyAlignment="1" applyProtection="1">
      <alignment horizontal="center" vertical="center" wrapText="1"/>
      <protection locked="0"/>
    </xf>
    <xf numFmtId="0" fontId="194" fillId="51" borderId="12" xfId="0" applyFont="1" applyFill="1" applyBorder="1" applyAlignment="1" applyProtection="1">
      <alignment horizontal="center" vertical="center" wrapText="1"/>
      <protection locked="0"/>
    </xf>
    <xf numFmtId="0" fontId="194" fillId="51" borderId="15" xfId="0" applyFont="1" applyFill="1" applyBorder="1" applyAlignment="1" applyProtection="1">
      <alignment horizontal="center" vertical="center" wrapText="1"/>
      <protection locked="0"/>
    </xf>
    <xf numFmtId="0" fontId="194" fillId="51" borderId="14" xfId="0" applyFont="1" applyFill="1" applyBorder="1" applyAlignment="1" applyProtection="1">
      <alignment horizontal="center" vertical="center" wrapText="1"/>
      <protection locked="0"/>
    </xf>
    <xf numFmtId="0" fontId="49" fillId="53" borderId="131" xfId="0" applyFont="1" applyFill="1" applyBorder="1" applyAlignment="1">
      <alignment horizontal="center" vertical="center"/>
    </xf>
    <xf numFmtId="0" fontId="49" fillId="53" borderId="132" xfId="0" applyFont="1" applyFill="1" applyBorder="1" applyAlignment="1">
      <alignment horizontal="center" vertical="center"/>
    </xf>
    <xf numFmtId="0" fontId="49" fillId="53" borderId="198" xfId="0" applyFont="1" applyFill="1" applyBorder="1" applyAlignment="1">
      <alignment horizontal="center" vertical="center"/>
    </xf>
    <xf numFmtId="0" fontId="257" fillId="71" borderId="3" xfId="0" applyFont="1" applyFill="1" applyBorder="1" applyAlignment="1" applyProtection="1">
      <alignment horizontal="center"/>
      <protection locked="0"/>
    </xf>
    <xf numFmtId="0" fontId="257" fillId="71" borderId="38" xfId="0" applyFont="1" applyFill="1" applyBorder="1" applyAlignment="1" applyProtection="1">
      <alignment horizontal="center"/>
      <protection locked="0"/>
    </xf>
    <xf numFmtId="0" fontId="257" fillId="71" borderId="16" xfId="0" applyFont="1" applyFill="1" applyBorder="1" applyAlignment="1" applyProtection="1">
      <alignment horizontal="center"/>
      <protection locked="0"/>
    </xf>
    <xf numFmtId="0" fontId="257" fillId="71" borderId="12" xfId="0" applyFont="1" applyFill="1" applyBorder="1" applyAlignment="1" applyProtection="1">
      <alignment horizontal="center"/>
      <protection locked="0"/>
    </xf>
    <xf numFmtId="0" fontId="257" fillId="71" borderId="15" xfId="0" applyFont="1" applyFill="1" applyBorder="1" applyAlignment="1" applyProtection="1">
      <alignment horizontal="center"/>
      <protection locked="0"/>
    </xf>
    <xf numFmtId="0" fontId="257" fillId="71" borderId="14" xfId="0" applyFont="1" applyFill="1" applyBorder="1" applyAlignment="1" applyProtection="1">
      <alignment horizontal="center"/>
      <protection locked="0"/>
    </xf>
    <xf numFmtId="0" fontId="257" fillId="0" borderId="3" xfId="0" applyFont="1" applyBorder="1" applyAlignment="1" applyProtection="1">
      <alignment horizontal="center"/>
      <protection locked="0"/>
    </xf>
    <xf numFmtId="0" fontId="257" fillId="0" borderId="38" xfId="0" applyFont="1" applyBorder="1" applyAlignment="1" applyProtection="1">
      <alignment horizontal="center"/>
      <protection locked="0"/>
    </xf>
    <xf numFmtId="0" fontId="257" fillId="0" borderId="16" xfId="0" applyFont="1" applyBorder="1" applyAlignment="1" applyProtection="1">
      <alignment horizontal="center"/>
      <protection locked="0"/>
    </xf>
    <xf numFmtId="0" fontId="257" fillId="0" borderId="12" xfId="0" applyFont="1" applyBorder="1" applyAlignment="1" applyProtection="1">
      <alignment horizontal="center"/>
      <protection locked="0"/>
    </xf>
    <xf numFmtId="0" fontId="257" fillId="0" borderId="15" xfId="0" applyFont="1" applyBorder="1" applyAlignment="1" applyProtection="1">
      <alignment horizontal="center"/>
      <protection locked="0"/>
    </xf>
    <xf numFmtId="0" fontId="257" fillId="0" borderId="14" xfId="0" applyFont="1" applyBorder="1" applyAlignment="1" applyProtection="1">
      <alignment horizontal="center"/>
      <protection locked="0"/>
    </xf>
    <xf numFmtId="0" fontId="194" fillId="18" borderId="3" xfId="0" applyFont="1" applyFill="1" applyBorder="1" applyAlignment="1" applyProtection="1">
      <alignment horizontal="center" vertical="center"/>
      <protection locked="0"/>
    </xf>
    <xf numFmtId="0" fontId="194" fillId="18" borderId="38" xfId="0" applyFont="1" applyFill="1" applyBorder="1" applyAlignment="1" applyProtection="1">
      <alignment horizontal="center" vertical="center"/>
      <protection locked="0"/>
    </xf>
    <xf numFmtId="0" fontId="194" fillId="18" borderId="16" xfId="0" applyFont="1" applyFill="1" applyBorder="1" applyAlignment="1" applyProtection="1">
      <alignment horizontal="center" vertical="center"/>
      <protection locked="0"/>
    </xf>
    <xf numFmtId="0" fontId="194" fillId="18" borderId="12" xfId="0" applyFont="1" applyFill="1" applyBorder="1" applyAlignment="1" applyProtection="1">
      <alignment horizontal="center" vertical="center"/>
      <protection locked="0"/>
    </xf>
    <xf numFmtId="0" fontId="194" fillId="18" borderId="15" xfId="0" applyFont="1" applyFill="1" applyBorder="1" applyAlignment="1" applyProtection="1">
      <alignment horizontal="center" vertical="center"/>
      <protection locked="0"/>
    </xf>
    <xf numFmtId="0" fontId="194" fillId="18" borderId="14" xfId="0" applyFont="1" applyFill="1" applyBorder="1" applyAlignment="1" applyProtection="1">
      <alignment horizontal="center" vertical="center"/>
      <protection locked="0"/>
    </xf>
    <xf numFmtId="0" fontId="49" fillId="16" borderId="31" xfId="0" applyFont="1" applyFill="1" applyBorder="1" applyAlignment="1">
      <alignment horizontal="center" vertical="center"/>
    </xf>
    <xf numFmtId="0" fontId="49" fillId="16" borderId="32" xfId="0" applyFont="1" applyFill="1" applyBorder="1" applyAlignment="1">
      <alignment horizontal="center" vertical="center"/>
    </xf>
    <xf numFmtId="0" fontId="258" fillId="0" borderId="31" xfId="0" applyFont="1" applyBorder="1" applyAlignment="1">
      <alignment horizontal="center" vertical="center"/>
    </xf>
    <xf numFmtId="0" fontId="49" fillId="0" borderId="33" xfId="0" applyFont="1" applyBorder="1" applyAlignment="1">
      <alignment horizontal="center" vertical="center"/>
    </xf>
    <xf numFmtId="0" fontId="49" fillId="0" borderId="32" xfId="0" applyFont="1" applyBorder="1" applyAlignment="1">
      <alignment horizontal="center" vertical="center"/>
    </xf>
    <xf numFmtId="0" fontId="49" fillId="0" borderId="0" xfId="0" applyFont="1" applyAlignment="1" applyProtection="1">
      <alignment horizontal="center" vertical="center"/>
      <protection locked="0"/>
    </xf>
    <xf numFmtId="0" fontId="265" fillId="31" borderId="3" xfId="0" applyFont="1" applyFill="1" applyBorder="1" applyAlignment="1" applyProtection="1">
      <alignment horizontal="center" vertical="center" wrapText="1"/>
      <protection locked="0"/>
    </xf>
    <xf numFmtId="0" fontId="265" fillId="31" borderId="38" xfId="0" applyFont="1" applyFill="1" applyBorder="1" applyAlignment="1" applyProtection="1">
      <alignment horizontal="center" vertical="center" wrapText="1"/>
      <protection locked="0"/>
    </xf>
    <xf numFmtId="0" fontId="265" fillId="31" borderId="16" xfId="0" applyFont="1" applyFill="1" applyBorder="1" applyAlignment="1" applyProtection="1">
      <alignment horizontal="center" vertical="center" wrapText="1"/>
      <protection locked="0"/>
    </xf>
    <xf numFmtId="0" fontId="265" fillId="31" borderId="12" xfId="0" applyFont="1" applyFill="1" applyBorder="1" applyAlignment="1" applyProtection="1">
      <alignment horizontal="center" vertical="center" wrapText="1"/>
      <protection locked="0"/>
    </xf>
    <xf numFmtId="0" fontId="265" fillId="31" borderId="15" xfId="0" applyFont="1" applyFill="1" applyBorder="1" applyAlignment="1" applyProtection="1">
      <alignment horizontal="center" vertical="center" wrapText="1"/>
      <protection locked="0"/>
    </xf>
    <xf numFmtId="0" fontId="265" fillId="31" borderId="14" xfId="0" applyFont="1" applyFill="1" applyBorder="1" applyAlignment="1" applyProtection="1">
      <alignment horizontal="center" vertical="center" wrapText="1"/>
      <protection locked="0"/>
    </xf>
    <xf numFmtId="0" fontId="265" fillId="15" borderId="3" xfId="0" applyFont="1" applyFill="1" applyBorder="1" applyAlignment="1" applyProtection="1">
      <alignment horizontal="center" vertical="center" wrapText="1"/>
      <protection locked="0"/>
    </xf>
    <xf numFmtId="0" fontId="265" fillId="15" borderId="38" xfId="0" applyFont="1" applyFill="1" applyBorder="1" applyAlignment="1" applyProtection="1">
      <alignment horizontal="center" vertical="center" wrapText="1"/>
      <protection locked="0"/>
    </xf>
    <xf numFmtId="0" fontId="265" fillId="15" borderId="16" xfId="0" applyFont="1" applyFill="1" applyBorder="1" applyAlignment="1" applyProtection="1">
      <alignment horizontal="center" vertical="center" wrapText="1"/>
      <protection locked="0"/>
    </xf>
    <xf numFmtId="0" fontId="265" fillId="15" borderId="12" xfId="0" applyFont="1" applyFill="1" applyBorder="1" applyAlignment="1" applyProtection="1">
      <alignment horizontal="center" vertical="center" wrapText="1"/>
      <protection locked="0"/>
    </xf>
    <xf numFmtId="0" fontId="265" fillId="15" borderId="15" xfId="0" applyFont="1" applyFill="1" applyBorder="1" applyAlignment="1" applyProtection="1">
      <alignment horizontal="center" vertical="center" wrapText="1"/>
      <protection locked="0"/>
    </xf>
    <xf numFmtId="0" fontId="265" fillId="15" borderId="14" xfId="0" applyFont="1" applyFill="1" applyBorder="1" applyAlignment="1" applyProtection="1">
      <alignment horizontal="center" vertical="center" wrapText="1"/>
      <protection locked="0"/>
    </xf>
    <xf numFmtId="0" fontId="169" fillId="39" borderId="5" xfId="0" applyFont="1" applyFill="1" applyBorder="1" applyAlignment="1">
      <alignment horizontal="center" vertical="center" wrapText="1"/>
    </xf>
    <xf numFmtId="0" fontId="169" fillId="39" borderId="6" xfId="0" applyFont="1" applyFill="1" applyBorder="1" applyAlignment="1">
      <alignment horizontal="center" vertical="center" wrapText="1"/>
    </xf>
    <xf numFmtId="0" fontId="169" fillId="39" borderId="2" xfId="0" applyFont="1" applyFill="1" applyBorder="1" applyAlignment="1">
      <alignment horizontal="center" vertical="center" wrapText="1"/>
    </xf>
    <xf numFmtId="0" fontId="169" fillId="39" borderId="8" xfId="0" applyFont="1" applyFill="1" applyBorder="1" applyAlignment="1">
      <alignment horizontal="center" vertical="center" wrapText="1"/>
    </xf>
    <xf numFmtId="0" fontId="325" fillId="0" borderId="10" xfId="0" applyFont="1" applyBorder="1" applyAlignment="1">
      <alignment horizontal="center"/>
    </xf>
    <xf numFmtId="0" fontId="325" fillId="0" borderId="11" xfId="0" applyFont="1" applyBorder="1" applyAlignment="1">
      <alignment horizontal="center"/>
    </xf>
    <xf numFmtId="0" fontId="323" fillId="0" borderId="31" xfId="0" applyFont="1" applyBorder="1" applyAlignment="1">
      <alignment horizontal="center" wrapText="1"/>
    </xf>
    <xf numFmtId="0" fontId="323" fillId="0" borderId="33" xfId="0" applyFont="1" applyBorder="1" applyAlignment="1">
      <alignment horizontal="center" wrapText="1"/>
    </xf>
    <xf numFmtId="0" fontId="323" fillId="0" borderId="32" xfId="0" applyFont="1" applyBorder="1" applyAlignment="1">
      <alignment horizontal="center" wrapText="1"/>
    </xf>
    <xf numFmtId="0" fontId="325" fillId="0" borderId="9" xfId="0" applyFont="1" applyBorder="1" applyAlignment="1">
      <alignment horizontal="center"/>
    </xf>
    <xf numFmtId="0" fontId="283" fillId="0" borderId="89" xfId="0" applyFont="1" applyBorder="1" applyAlignment="1">
      <alignment horizontal="center"/>
    </xf>
    <xf numFmtId="0" fontId="283" fillId="0" borderId="10" xfId="0" applyFont="1" applyBorder="1" applyAlignment="1">
      <alignment horizontal="center"/>
    </xf>
    <xf numFmtId="0" fontId="324" fillId="35" borderId="31" xfId="0" applyFont="1" applyFill="1" applyBorder="1" applyAlignment="1">
      <alignment horizontal="center" vertical="center"/>
    </xf>
    <xf numFmtId="0" fontId="324" fillId="35" borderId="33" xfId="0" applyFont="1" applyFill="1" applyBorder="1" applyAlignment="1">
      <alignment horizontal="center" vertical="center"/>
    </xf>
    <xf numFmtId="0" fontId="283" fillId="0" borderId="1" xfId="0" applyFont="1" applyBorder="1" applyAlignment="1">
      <alignment horizontal="center"/>
    </xf>
    <xf numFmtId="0" fontId="326" fillId="30" borderId="31" xfId="0" applyFont="1" applyFill="1" applyBorder="1" applyAlignment="1">
      <alignment horizontal="center" vertical="center"/>
    </xf>
    <xf numFmtId="0" fontId="326" fillId="30" borderId="33" xfId="0" applyFont="1" applyFill="1" applyBorder="1" applyAlignment="1">
      <alignment horizontal="center" vertical="center"/>
    </xf>
    <xf numFmtId="0" fontId="326" fillId="30" borderId="32" xfId="0" applyFont="1" applyFill="1" applyBorder="1" applyAlignment="1">
      <alignment horizontal="center" vertical="center"/>
    </xf>
    <xf numFmtId="0" fontId="321" fillId="35" borderId="31" xfId="0" applyFont="1" applyFill="1" applyBorder="1" applyAlignment="1">
      <alignment horizontal="center" vertical="center"/>
    </xf>
    <xf numFmtId="0" fontId="321" fillId="35" borderId="32" xfId="0" applyFont="1" applyFill="1" applyBorder="1" applyAlignment="1">
      <alignment horizontal="center" vertical="center"/>
    </xf>
    <xf numFmtId="0" fontId="283" fillId="0" borderId="4" xfId="0" applyFont="1" applyBorder="1" applyAlignment="1">
      <alignment horizontal="center"/>
    </xf>
    <xf numFmtId="0" fontId="283" fillId="0" borderId="6" xfId="0" applyFont="1" applyBorder="1" applyAlignment="1">
      <alignment horizontal="center"/>
    </xf>
    <xf numFmtId="0" fontId="283" fillId="0" borderId="50" xfId="0" applyFont="1" applyBorder="1" applyAlignment="1">
      <alignment horizontal="center"/>
    </xf>
    <xf numFmtId="0" fontId="326" fillId="30" borderId="31" xfId="0" applyFont="1" applyFill="1" applyBorder="1" applyAlignment="1">
      <alignment horizontal="center" vertical="center" wrapText="1"/>
    </xf>
    <xf numFmtId="0" fontId="326" fillId="30" borderId="32" xfId="0" applyFont="1" applyFill="1" applyBorder="1" applyAlignment="1">
      <alignment horizontal="center" vertical="center" wrapText="1"/>
    </xf>
    <xf numFmtId="0" fontId="283" fillId="0" borderId="42" xfId="0" applyFont="1" applyBorder="1" applyAlignment="1">
      <alignment horizontal="center"/>
    </xf>
    <xf numFmtId="2" fontId="322" fillId="3" borderId="22" xfId="0" applyNumberFormat="1" applyFont="1" applyFill="1" applyBorder="1" applyAlignment="1">
      <alignment horizontal="center" vertical="center"/>
    </xf>
    <xf numFmtId="2" fontId="322" fillId="3" borderId="47" xfId="0" applyNumberFormat="1" applyFont="1" applyFill="1" applyBorder="1" applyAlignment="1">
      <alignment horizontal="center" vertical="center"/>
    </xf>
    <xf numFmtId="2" fontId="322" fillId="3" borderId="27" xfId="0" applyNumberFormat="1" applyFont="1" applyFill="1" applyBorder="1" applyAlignment="1">
      <alignment horizontal="center" vertical="center"/>
    </xf>
    <xf numFmtId="0" fontId="161" fillId="57" borderId="148" xfId="0" applyFont="1" applyFill="1" applyBorder="1" applyAlignment="1">
      <alignment horizontal="center" vertical="center"/>
    </xf>
    <xf numFmtId="0" fontId="161" fillId="57" borderId="151" xfId="0" applyFont="1" applyFill="1" applyBorder="1" applyAlignment="1">
      <alignment horizontal="center" vertical="center"/>
    </xf>
    <xf numFmtId="0" fontId="161" fillId="57" borderId="147" xfId="0" applyFont="1" applyFill="1" applyBorder="1" applyAlignment="1">
      <alignment horizontal="center" vertical="center"/>
    </xf>
    <xf numFmtId="0" fontId="161" fillId="57" borderId="153" xfId="0" applyFont="1" applyFill="1" applyBorder="1" applyAlignment="1">
      <alignment horizontal="center" vertical="center"/>
    </xf>
    <xf numFmtId="0" fontId="283" fillId="4" borderId="0" xfId="0" applyFont="1" applyFill="1" applyAlignment="1">
      <alignment horizontal="center"/>
    </xf>
    <xf numFmtId="0" fontId="0" fillId="0" borderId="71" xfId="0" applyBorder="1" applyAlignment="1">
      <alignment horizontal="center" vertical="center"/>
    </xf>
    <xf numFmtId="0" fontId="16" fillId="0" borderId="71" xfId="0" applyFont="1" applyBorder="1" applyAlignment="1">
      <alignment horizontal="left" vertical="center"/>
    </xf>
    <xf numFmtId="0" fontId="0" fillId="0" borderId="72" xfId="0" applyBorder="1" applyAlignment="1">
      <alignment horizontal="center" vertical="center"/>
    </xf>
    <xf numFmtId="167" fontId="28" fillId="0" borderId="2" xfId="1" applyNumberFormat="1" applyFont="1" applyBorder="1" applyAlignment="1">
      <alignment horizontal="center" vertical="center"/>
    </xf>
    <xf numFmtId="0" fontId="16" fillId="0" borderId="72" xfId="0" applyFont="1" applyBorder="1" applyAlignment="1">
      <alignment horizontal="left" vertical="center"/>
    </xf>
    <xf numFmtId="0" fontId="16" fillId="0" borderId="73" xfId="0" applyFont="1" applyBorder="1" applyAlignment="1">
      <alignment horizontal="left" vertical="center"/>
    </xf>
    <xf numFmtId="0" fontId="16" fillId="0" borderId="74" xfId="0" applyFont="1" applyBorder="1" applyAlignment="1">
      <alignment horizontal="left" vertical="center"/>
    </xf>
    <xf numFmtId="0" fontId="16" fillId="0" borderId="22" xfId="0" applyFont="1" applyBorder="1" applyAlignment="1">
      <alignment horizontal="center" vertical="center"/>
    </xf>
    <xf numFmtId="0" fontId="16" fillId="0" borderId="47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6" fillId="0" borderId="48" xfId="0" applyFont="1" applyBorder="1" applyAlignment="1">
      <alignment horizontal="center" vertical="center"/>
    </xf>
    <xf numFmtId="0" fontId="16" fillId="0" borderId="71" xfId="0" applyFont="1" applyBorder="1" applyAlignment="1">
      <alignment horizontal="center" vertical="center"/>
    </xf>
    <xf numFmtId="0" fontId="16" fillId="0" borderId="72" xfId="0" applyFont="1" applyBorder="1" applyAlignment="1">
      <alignment horizontal="center" vertical="center"/>
    </xf>
    <xf numFmtId="0" fontId="66" fillId="4" borderId="35" xfId="0" applyFont="1" applyFill="1" applyBorder="1" applyAlignment="1">
      <alignment horizontal="center" vertical="center"/>
    </xf>
    <xf numFmtId="0" fontId="66" fillId="4" borderId="48" xfId="0" applyFont="1" applyFill="1" applyBorder="1" applyAlignment="1">
      <alignment horizontal="center" vertical="center"/>
    </xf>
    <xf numFmtId="0" fontId="66" fillId="4" borderId="51" xfId="0" applyFont="1" applyFill="1" applyBorder="1" applyAlignment="1">
      <alignment horizontal="center" vertical="center"/>
    </xf>
    <xf numFmtId="0" fontId="66" fillId="4" borderId="0" xfId="0" applyFont="1" applyFill="1" applyAlignment="1">
      <alignment horizontal="center" vertical="center"/>
    </xf>
    <xf numFmtId="0" fontId="66" fillId="4" borderId="37" xfId="0" applyFont="1" applyFill="1" applyBorder="1" applyAlignment="1">
      <alignment horizontal="center" vertical="center"/>
    </xf>
    <xf numFmtId="0" fontId="66" fillId="4" borderId="49" xfId="0" applyFont="1" applyFill="1" applyBorder="1" applyAlignment="1">
      <alignment horizontal="center" vertical="center"/>
    </xf>
    <xf numFmtId="0" fontId="67" fillId="4" borderId="2" xfId="0" applyFont="1" applyFill="1" applyBorder="1" applyAlignment="1">
      <alignment vertical="center" wrapText="1"/>
    </xf>
    <xf numFmtId="0" fontId="68" fillId="4" borderId="2" xfId="0" applyFont="1" applyFill="1" applyBorder="1" applyAlignment="1">
      <alignment vertical="center" wrapText="1"/>
    </xf>
    <xf numFmtId="0" fontId="69" fillId="4" borderId="48" xfId="0" applyFont="1" applyFill="1" applyBorder="1" applyAlignment="1">
      <alignment horizontal="center" vertical="center" wrapText="1"/>
    </xf>
    <xf numFmtId="0" fontId="69" fillId="4" borderId="29" xfId="0" applyFont="1" applyFill="1" applyBorder="1" applyAlignment="1">
      <alignment horizontal="center" vertical="center" wrapText="1"/>
    </xf>
    <xf numFmtId="0" fontId="69" fillId="4" borderId="47" xfId="0" applyFont="1" applyFill="1" applyBorder="1" applyAlignment="1">
      <alignment horizontal="center" vertical="center" wrapText="1"/>
    </xf>
    <xf numFmtId="0" fontId="69" fillId="4" borderId="27" xfId="0" applyFont="1" applyFill="1" applyBorder="1" applyAlignment="1">
      <alignment horizontal="center" vertical="center" wrapText="1"/>
    </xf>
    <xf numFmtId="0" fontId="70" fillId="4" borderId="22" xfId="0" applyFont="1" applyFill="1" applyBorder="1" applyAlignment="1">
      <alignment horizontal="center" vertical="center" wrapText="1"/>
    </xf>
    <xf numFmtId="0" fontId="70" fillId="4" borderId="27" xfId="0" applyFont="1" applyFill="1" applyBorder="1" applyAlignment="1">
      <alignment horizontal="center" vertical="center" wrapText="1"/>
    </xf>
    <xf numFmtId="14" fontId="70" fillId="4" borderId="22" xfId="0" applyNumberFormat="1" applyFont="1" applyFill="1" applyBorder="1" applyAlignment="1">
      <alignment horizontal="center" vertical="center" wrapText="1"/>
    </xf>
    <xf numFmtId="0" fontId="74" fillId="12" borderId="2" xfId="0" applyFont="1" applyFill="1" applyBorder="1" applyAlignment="1">
      <alignment horizontal="left" vertical="center"/>
    </xf>
    <xf numFmtId="0" fontId="75" fillId="4" borderId="2" xfId="0" applyFont="1" applyFill="1" applyBorder="1" applyAlignment="1">
      <alignment horizontal="left" vertical="center"/>
    </xf>
    <xf numFmtId="0" fontId="74" fillId="4" borderId="22" xfId="0" applyFont="1" applyFill="1" applyBorder="1" applyAlignment="1">
      <alignment horizontal="center" vertical="center"/>
    </xf>
    <xf numFmtId="0" fontId="74" fillId="4" borderId="47" xfId="0" applyFont="1" applyFill="1" applyBorder="1" applyAlignment="1">
      <alignment horizontal="center" vertical="center"/>
    </xf>
    <xf numFmtId="0" fontId="74" fillId="4" borderId="27" xfId="0" applyFont="1" applyFill="1" applyBorder="1" applyAlignment="1">
      <alignment horizontal="center" vertical="center"/>
    </xf>
    <xf numFmtId="0" fontId="77" fillId="4" borderId="22" xfId="4" applyFont="1" applyFill="1" applyBorder="1" applyAlignment="1">
      <alignment horizontal="center" vertical="center"/>
    </xf>
    <xf numFmtId="0" fontId="78" fillId="4" borderId="47" xfId="4" applyFont="1" applyFill="1" applyBorder="1" applyAlignment="1">
      <alignment horizontal="center" vertical="center"/>
    </xf>
    <xf numFmtId="0" fontId="78" fillId="4" borderId="27" xfId="4" applyFont="1" applyFill="1" applyBorder="1" applyAlignment="1">
      <alignment horizontal="center" vertical="center"/>
    </xf>
    <xf numFmtId="0" fontId="73" fillId="20" borderId="2" xfId="0" applyFont="1" applyFill="1" applyBorder="1" applyAlignment="1">
      <alignment horizontal="center"/>
    </xf>
    <xf numFmtId="49" fontId="75" fillId="4" borderId="2" xfId="0" applyNumberFormat="1" applyFont="1" applyFill="1" applyBorder="1" applyAlignment="1">
      <alignment horizontal="left" vertical="center"/>
    </xf>
    <xf numFmtId="0" fontId="68" fillId="3" borderId="2" xfId="0" applyFont="1" applyFill="1" applyBorder="1" applyAlignment="1">
      <alignment horizontal="center" vertical="center"/>
    </xf>
    <xf numFmtId="0" fontId="74" fillId="12" borderId="2" xfId="0" applyFont="1" applyFill="1" applyBorder="1" applyAlignment="1">
      <alignment horizontal="left"/>
    </xf>
    <xf numFmtId="0" fontId="75" fillId="4" borderId="22" xfId="0" applyFont="1" applyFill="1" applyBorder="1" applyAlignment="1">
      <alignment horizontal="left"/>
    </xf>
    <xf numFmtId="0" fontId="75" fillId="4" borderId="47" xfId="0" applyFont="1" applyFill="1" applyBorder="1" applyAlignment="1">
      <alignment horizontal="left"/>
    </xf>
    <xf numFmtId="0" fontId="75" fillId="4" borderId="27" xfId="0" applyFont="1" applyFill="1" applyBorder="1" applyAlignment="1">
      <alignment horizontal="left"/>
    </xf>
    <xf numFmtId="0" fontId="74" fillId="4" borderId="22" xfId="0" applyFont="1" applyFill="1" applyBorder="1" applyAlignment="1">
      <alignment horizontal="center"/>
    </xf>
    <xf numFmtId="0" fontId="74" fillId="4" borderId="47" xfId="0" applyFont="1" applyFill="1" applyBorder="1" applyAlignment="1">
      <alignment horizontal="center"/>
    </xf>
    <xf numFmtId="0" fontId="74" fillId="4" borderId="27" xfId="0" applyFont="1" applyFill="1" applyBorder="1" applyAlignment="1">
      <alignment horizontal="center"/>
    </xf>
    <xf numFmtId="0" fontId="75" fillId="4" borderId="2" xfId="0" applyFont="1" applyFill="1" applyBorder="1" applyAlignment="1">
      <alignment horizontal="left"/>
    </xf>
    <xf numFmtId="0" fontId="68" fillId="0" borderId="35" xfId="0" applyFont="1" applyBorder="1" applyAlignment="1">
      <alignment horizontal="center" vertical="center"/>
    </xf>
    <xf numFmtId="0" fontId="68" fillId="0" borderId="29" xfId="0" applyFont="1" applyBorder="1" applyAlignment="1">
      <alignment horizontal="center" vertical="center"/>
    </xf>
    <xf numFmtId="0" fontId="68" fillId="0" borderId="37" xfId="0" applyFont="1" applyBorder="1" applyAlignment="1">
      <alignment horizontal="center" vertical="center"/>
    </xf>
    <xf numFmtId="0" fontId="68" fillId="0" borderId="50" xfId="0" applyFont="1" applyBorder="1" applyAlignment="1">
      <alignment horizontal="center" vertical="center"/>
    </xf>
    <xf numFmtId="0" fontId="79" fillId="0" borderId="35" xfId="0" applyFont="1" applyBorder="1" applyAlignment="1">
      <alignment horizontal="center" vertical="center"/>
    </xf>
    <xf numFmtId="0" fontId="79" fillId="0" borderId="48" xfId="0" applyFont="1" applyBorder="1" applyAlignment="1">
      <alignment horizontal="center" vertical="center"/>
    </xf>
    <xf numFmtId="0" fontId="79" fillId="0" borderId="29" xfId="0" applyFont="1" applyBorder="1" applyAlignment="1">
      <alignment horizontal="center" vertical="center"/>
    </xf>
    <xf numFmtId="0" fontId="79" fillId="0" borderId="37" xfId="0" applyFont="1" applyBorder="1" applyAlignment="1">
      <alignment horizontal="center" vertical="center"/>
    </xf>
    <xf numFmtId="0" fontId="79" fillId="0" borderId="49" xfId="0" applyFont="1" applyBorder="1" applyAlignment="1">
      <alignment horizontal="center" vertical="center"/>
    </xf>
    <xf numFmtId="0" fontId="79" fillId="0" borderId="50" xfId="0" applyFont="1" applyBorder="1" applyAlignment="1">
      <alignment horizontal="center" vertical="center"/>
    </xf>
    <xf numFmtId="0" fontId="68" fillId="4" borderId="2" xfId="0" applyFont="1" applyFill="1" applyBorder="1" applyAlignment="1">
      <alignment horizontal="left"/>
    </xf>
    <xf numFmtId="0" fontId="74" fillId="4" borderId="2" xfId="0" applyFont="1" applyFill="1" applyBorder="1" applyAlignment="1">
      <alignment horizontal="center"/>
    </xf>
    <xf numFmtId="0" fontId="80" fillId="21" borderId="35" xfId="0" applyFont="1" applyFill="1" applyBorder="1" applyAlignment="1">
      <alignment horizontal="center" vertical="center" wrapText="1"/>
    </xf>
    <xf numFmtId="0" fontId="80" fillId="21" borderId="29" xfId="0" applyFont="1" applyFill="1" applyBorder="1" applyAlignment="1">
      <alignment horizontal="center" vertical="center" wrapText="1"/>
    </xf>
    <xf numFmtId="0" fontId="80" fillId="21" borderId="48" xfId="0" applyFont="1" applyFill="1" applyBorder="1" applyAlignment="1">
      <alignment horizontal="center" vertical="center" wrapText="1"/>
    </xf>
    <xf numFmtId="0" fontId="16" fillId="0" borderId="37" xfId="0" applyFont="1" applyBorder="1" applyAlignment="1">
      <alignment horizontal="center" vertical="center"/>
    </xf>
    <xf numFmtId="0" fontId="16" fillId="0" borderId="49" xfId="0" applyFont="1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18" fillId="4" borderId="75" xfId="0" applyFont="1" applyFill="1" applyBorder="1" applyAlignment="1">
      <alignment horizontal="center"/>
    </xf>
    <xf numFmtId="0" fontId="18" fillId="4" borderId="0" xfId="0" applyFont="1" applyFill="1" applyAlignment="1">
      <alignment horizontal="center"/>
    </xf>
    <xf numFmtId="0" fontId="18" fillId="4" borderId="76" xfId="0" applyFont="1" applyFill="1" applyBorder="1" applyAlignment="1">
      <alignment horizontal="center"/>
    </xf>
    <xf numFmtId="0" fontId="18" fillId="4" borderId="78" xfId="0" applyFont="1" applyFill="1" applyBorder="1" applyAlignment="1">
      <alignment horizontal="center"/>
    </xf>
    <xf numFmtId="0" fontId="18" fillId="4" borderId="79" xfId="0" applyFont="1" applyFill="1" applyBorder="1" applyAlignment="1">
      <alignment horizontal="center"/>
    </xf>
    <xf numFmtId="0" fontId="18" fillId="4" borderId="80" xfId="0" applyFont="1" applyFill="1" applyBorder="1" applyAlignment="1">
      <alignment horizontal="center"/>
    </xf>
    <xf numFmtId="0" fontId="18" fillId="4" borderId="71" xfId="0" applyFont="1" applyFill="1" applyBorder="1" applyAlignment="1">
      <alignment horizontal="center"/>
    </xf>
    <xf numFmtId="0" fontId="18" fillId="4" borderId="72" xfId="0" applyFont="1" applyFill="1" applyBorder="1" applyAlignment="1">
      <alignment horizontal="center"/>
    </xf>
    <xf numFmtId="0" fontId="74" fillId="4" borderId="2" xfId="0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/>
    </xf>
    <xf numFmtId="0" fontId="24" fillId="4" borderId="2" xfId="0" applyFont="1" applyFill="1" applyBorder="1" applyAlignment="1">
      <alignment horizontal="center" vertical="center"/>
    </xf>
    <xf numFmtId="0" fontId="82" fillId="4" borderId="74" xfId="0" applyFont="1" applyFill="1" applyBorder="1" applyAlignment="1">
      <alignment horizontal="center" vertical="center"/>
    </xf>
    <xf numFmtId="0" fontId="82" fillId="4" borderId="71" xfId="0" applyFont="1" applyFill="1" applyBorder="1" applyAlignment="1">
      <alignment horizontal="center" vertical="center"/>
    </xf>
    <xf numFmtId="0" fontId="82" fillId="4" borderId="72" xfId="0" applyFont="1" applyFill="1" applyBorder="1" applyAlignment="1">
      <alignment horizontal="center" vertical="center"/>
    </xf>
    <xf numFmtId="0" fontId="82" fillId="4" borderId="2" xfId="0" applyFont="1" applyFill="1" applyBorder="1" applyAlignment="1">
      <alignment horizontal="center" vertical="center"/>
    </xf>
    <xf numFmtId="0" fontId="74" fillId="4" borderId="74" xfId="0" applyFont="1" applyFill="1" applyBorder="1" applyAlignment="1">
      <alignment horizontal="center" vertical="center" wrapText="1"/>
    </xf>
    <xf numFmtId="0" fontId="74" fillId="4" borderId="71" xfId="0" applyFont="1" applyFill="1" applyBorder="1" applyAlignment="1">
      <alignment horizontal="center" vertical="center" wrapText="1"/>
    </xf>
    <xf numFmtId="0" fontId="74" fillId="4" borderId="72" xfId="0" applyFont="1" applyFill="1" applyBorder="1" applyAlignment="1">
      <alignment horizontal="center" vertical="center" wrapText="1"/>
    </xf>
    <xf numFmtId="0" fontId="217" fillId="0" borderId="53" xfId="0" applyFont="1" applyBorder="1" applyAlignment="1">
      <alignment horizontal="center" wrapText="1"/>
    </xf>
    <xf numFmtId="0" fontId="217" fillId="0" borderId="54" xfId="0" applyFont="1" applyBorder="1" applyAlignment="1">
      <alignment horizontal="center" wrapText="1"/>
    </xf>
    <xf numFmtId="0" fontId="217" fillId="0" borderId="55" xfId="0" applyFont="1" applyBorder="1" applyAlignment="1">
      <alignment horizontal="center" wrapText="1"/>
    </xf>
    <xf numFmtId="0" fontId="210" fillId="4" borderId="0" xfId="0" applyFont="1" applyFill="1" applyAlignment="1">
      <alignment horizontal="center" vertical="center"/>
    </xf>
    <xf numFmtId="0" fontId="213" fillId="49" borderId="31" xfId="0" applyFont="1" applyFill="1" applyBorder="1" applyAlignment="1">
      <alignment horizontal="center"/>
    </xf>
    <xf numFmtId="0" fontId="213" fillId="49" borderId="33" xfId="0" applyFont="1" applyFill="1" applyBorder="1" applyAlignment="1">
      <alignment horizontal="center"/>
    </xf>
    <xf numFmtId="0" fontId="213" fillId="49" borderId="32" xfId="0" applyFont="1" applyFill="1" applyBorder="1" applyAlignment="1">
      <alignment horizontal="center"/>
    </xf>
    <xf numFmtId="0" fontId="217" fillId="0" borderId="31" xfId="0" applyFont="1" applyBorder="1" applyAlignment="1">
      <alignment horizontal="center"/>
    </xf>
    <xf numFmtId="0" fontId="217" fillId="0" borderId="33" xfId="0" applyFont="1" applyBorder="1" applyAlignment="1">
      <alignment horizontal="center"/>
    </xf>
    <xf numFmtId="0" fontId="217" fillId="0" borderId="32" xfId="0" applyFont="1" applyBorder="1" applyAlignment="1">
      <alignment horizontal="center"/>
    </xf>
    <xf numFmtId="0" fontId="210" fillId="4" borderId="0" xfId="0" applyFont="1" applyFill="1" applyAlignment="1">
      <alignment horizontal="center" vertical="center" wrapText="1"/>
    </xf>
    <xf numFmtId="0" fontId="213" fillId="36" borderId="84" xfId="0" applyFont="1" applyFill="1" applyBorder="1" applyAlignment="1">
      <alignment horizontal="center"/>
    </xf>
    <xf numFmtId="0" fontId="203" fillId="0" borderId="0" xfId="0" applyFont="1" applyAlignment="1">
      <alignment horizontal="left"/>
    </xf>
    <xf numFmtId="0" fontId="213" fillId="49" borderId="134" xfId="0" applyFont="1" applyFill="1" applyBorder="1" applyAlignment="1">
      <alignment horizontal="center"/>
    </xf>
    <xf numFmtId="0" fontId="213" fillId="49" borderId="135" xfId="0" applyFont="1" applyFill="1" applyBorder="1" applyAlignment="1">
      <alignment horizontal="center"/>
    </xf>
    <xf numFmtId="0" fontId="213" fillId="49" borderId="136" xfId="0" applyFont="1" applyFill="1" applyBorder="1" applyAlignment="1">
      <alignment horizontal="center"/>
    </xf>
    <xf numFmtId="0" fontId="9" fillId="0" borderId="3" xfId="0" applyFont="1" applyBorder="1" applyAlignment="1" applyProtection="1">
      <alignment horizontal="left"/>
      <protection locked="0"/>
    </xf>
    <xf numFmtId="0" fontId="9" fillId="0" borderId="16" xfId="0" applyFont="1" applyBorder="1" applyAlignment="1" applyProtection="1">
      <alignment horizontal="left"/>
      <protection locked="0"/>
    </xf>
    <xf numFmtId="0" fontId="9" fillId="0" borderId="18" xfId="0" applyFont="1" applyBorder="1" applyAlignment="1" applyProtection="1">
      <alignment horizontal="left"/>
      <protection locked="0"/>
    </xf>
    <xf numFmtId="0" fontId="9" fillId="0" borderId="19" xfId="0" applyFont="1" applyBorder="1" applyAlignment="1" applyProtection="1">
      <alignment horizontal="left"/>
      <protection locked="0"/>
    </xf>
    <xf numFmtId="0" fontId="9" fillId="0" borderId="12" xfId="0" applyFont="1" applyBorder="1" applyAlignment="1" applyProtection="1">
      <alignment horizontal="left"/>
      <protection locked="0"/>
    </xf>
    <xf numFmtId="0" fontId="9" fillId="0" borderId="14" xfId="0" applyFont="1" applyBorder="1" applyAlignment="1" applyProtection="1">
      <alignment horizontal="left"/>
      <protection locked="0"/>
    </xf>
    <xf numFmtId="0" fontId="205" fillId="0" borderId="0" xfId="0" applyFont="1" applyAlignment="1">
      <alignment horizontal="center"/>
    </xf>
    <xf numFmtId="0" fontId="206" fillId="4" borderId="0" xfId="0" applyFont="1" applyFill="1" applyAlignment="1" applyProtection="1">
      <alignment horizontal="center" vertical="center" wrapText="1"/>
      <protection locked="0"/>
    </xf>
    <xf numFmtId="0" fontId="9" fillId="0" borderId="31" xfId="0" applyFont="1" applyBorder="1" applyAlignment="1" applyProtection="1">
      <alignment horizontal="left"/>
      <protection locked="0"/>
    </xf>
    <xf numFmtId="0" fontId="9" fillId="0" borderId="32" xfId="0" applyFont="1" applyBorder="1" applyAlignment="1" applyProtection="1">
      <alignment horizontal="left"/>
      <protection locked="0"/>
    </xf>
    <xf numFmtId="0" fontId="3" fillId="0" borderId="26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9" fillId="0" borderId="18" xfId="0" applyFont="1" applyBorder="1" applyAlignment="1" applyProtection="1">
      <alignment horizontal="left" wrapText="1"/>
      <protection locked="0"/>
    </xf>
    <xf numFmtId="0" fontId="9" fillId="0" borderId="19" xfId="0" applyFont="1" applyBorder="1" applyAlignment="1" applyProtection="1">
      <alignment horizontal="left" wrapText="1"/>
      <protection locked="0"/>
    </xf>
    <xf numFmtId="0" fontId="209" fillId="36" borderId="0" xfId="0" applyFont="1" applyFill="1" applyAlignment="1">
      <alignment horizontal="center"/>
    </xf>
    <xf numFmtId="0" fontId="27" fillId="4" borderId="0" xfId="0" applyFont="1" applyFill="1" applyAlignment="1">
      <alignment horizontal="center" vertical="center" wrapText="1"/>
    </xf>
    <xf numFmtId="0" fontId="3" fillId="0" borderId="31" xfId="0" applyFont="1" applyBorder="1" applyAlignment="1" applyProtection="1">
      <alignment horizontal="center" wrapText="1"/>
      <protection locked="0"/>
    </xf>
    <xf numFmtId="0" fontId="3" fillId="0" borderId="32" xfId="0" applyFont="1" applyBorder="1" applyAlignment="1" applyProtection="1">
      <alignment horizontal="center" wrapText="1"/>
      <protection locked="0"/>
    </xf>
    <xf numFmtId="0" fontId="3" fillId="0" borderId="41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317" fillId="85" borderId="29" xfId="0" applyFont="1" applyFill="1" applyBorder="1" applyAlignment="1">
      <alignment horizontal="center" vertical="center"/>
    </xf>
    <xf numFmtId="0" fontId="317" fillId="85" borderId="30" xfId="0" applyFont="1" applyFill="1" applyBorder="1" applyAlignment="1">
      <alignment horizontal="center" vertical="center"/>
    </xf>
    <xf numFmtId="0" fontId="317" fillId="85" borderId="35" xfId="0" applyFont="1" applyFill="1" applyBorder="1" applyAlignment="1">
      <alignment horizontal="center" vertical="center"/>
    </xf>
    <xf numFmtId="0" fontId="32" fillId="4" borderId="13" xfId="0" applyFont="1" applyFill="1" applyBorder="1" applyAlignment="1">
      <alignment horizontal="center" vertical="center" wrapText="1"/>
    </xf>
    <xf numFmtId="168" fontId="32" fillId="0" borderId="14" xfId="0" applyNumberFormat="1" applyFont="1" applyBorder="1" applyAlignment="1">
      <alignment horizontal="center" vertical="center" wrapText="1"/>
    </xf>
    <xf numFmtId="43" fontId="32" fillId="0" borderId="2" xfId="1" applyFont="1" applyFill="1" applyBorder="1" applyAlignment="1" applyProtection="1">
      <alignment horizontal="center" vertical="center"/>
    </xf>
    <xf numFmtId="43" fontId="32" fillId="0" borderId="5" xfId="1" applyFont="1" applyFill="1" applyBorder="1" applyAlignment="1" applyProtection="1">
      <alignment horizontal="center" vertical="center"/>
    </xf>
    <xf numFmtId="43" fontId="32" fillId="0" borderId="10" xfId="1" applyFont="1" applyFill="1" applyBorder="1" applyAlignment="1" applyProtection="1">
      <alignment horizontal="center" vertical="center"/>
    </xf>
    <xf numFmtId="0" fontId="32" fillId="0" borderId="25" xfId="0" applyFont="1" applyBorder="1" applyAlignment="1">
      <alignment horizontal="center" vertical="center" wrapText="1"/>
    </xf>
    <xf numFmtId="0" fontId="317" fillId="85" borderId="146" xfId="0" applyFont="1" applyFill="1" applyBorder="1" applyAlignment="1">
      <alignment horizontal="center" vertical="center"/>
    </xf>
    <xf numFmtId="0" fontId="317" fillId="85" borderId="86" xfId="0" applyFont="1" applyFill="1" applyBorder="1" applyAlignment="1">
      <alignment horizontal="center" vertical="center"/>
    </xf>
    <xf numFmtId="0" fontId="317" fillId="85" borderId="82" xfId="0" applyFont="1" applyFill="1" applyBorder="1" applyAlignment="1">
      <alignment horizontal="center" vertical="center"/>
    </xf>
    <xf numFmtId="43" fontId="32" fillId="0" borderId="12" xfId="1" applyFont="1" applyFill="1" applyBorder="1" applyAlignment="1" applyProtection="1">
      <alignment horizontal="center" vertical="center"/>
    </xf>
    <xf numFmtId="0" fontId="34" fillId="0" borderId="16" xfId="0" applyFont="1" applyBorder="1" applyAlignment="1">
      <alignment horizontal="center" vertical="center"/>
    </xf>
    <xf numFmtId="167" fontId="32" fillId="0" borderId="13" xfId="0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168" fontId="32" fillId="0" borderId="0" xfId="0" applyNumberFormat="1" applyFont="1" applyAlignment="1">
      <alignment horizontal="center" vertical="center" wrapText="1"/>
    </xf>
    <xf numFmtId="0" fontId="34" fillId="0" borderId="25" xfId="0" applyFont="1" applyBorder="1" applyAlignment="1">
      <alignment horizontal="center" vertical="center"/>
    </xf>
    <xf numFmtId="167" fontId="32" fillId="0" borderId="17" xfId="0" applyNumberFormat="1" applyFont="1" applyBorder="1" applyAlignment="1">
      <alignment horizontal="center" vertical="center"/>
    </xf>
    <xf numFmtId="167" fontId="32" fillId="0" borderId="20" xfId="0" applyNumberFormat="1" applyFont="1" applyBorder="1" applyAlignment="1">
      <alignment horizontal="center" vertical="center"/>
    </xf>
    <xf numFmtId="168" fontId="32" fillId="0" borderId="13" xfId="0" applyNumberFormat="1" applyFont="1" applyBorder="1" applyAlignment="1">
      <alignment horizontal="center" vertical="center" wrapText="1"/>
    </xf>
    <xf numFmtId="0" fontId="35" fillId="4" borderId="18" xfId="0" applyFont="1" applyFill="1" applyBorder="1" applyAlignment="1">
      <alignment vertical="center" wrapText="1"/>
    </xf>
    <xf numFmtId="0" fontId="32" fillId="0" borderId="54" xfId="0" applyFont="1" applyBorder="1" applyAlignment="1" applyProtection="1">
      <alignment horizontal="center"/>
      <protection locked="0"/>
    </xf>
    <xf numFmtId="0" fontId="35" fillId="4" borderId="4" xfId="0" applyFont="1" applyFill="1" applyBorder="1" applyAlignment="1">
      <alignment horizontal="center" vertical="center" wrapText="1"/>
    </xf>
    <xf numFmtId="0" fontId="35" fillId="4" borderId="9" xfId="0" applyFont="1" applyFill="1" applyBorder="1" applyAlignment="1">
      <alignment horizontal="center" vertical="center" wrapText="1"/>
    </xf>
    <xf numFmtId="0" fontId="35" fillId="4" borderId="7" xfId="0" applyFont="1" applyFill="1" applyBorder="1" applyAlignment="1">
      <alignment horizontal="center" vertical="center" wrapText="1"/>
    </xf>
    <xf numFmtId="0" fontId="35" fillId="4" borderId="64" xfId="0" applyFont="1" applyFill="1" applyBorder="1" applyAlignment="1">
      <alignment vertical="center" wrapText="1"/>
    </xf>
    <xf numFmtId="0" fontId="35" fillId="4" borderId="22" xfId="0" applyFont="1" applyFill="1" applyBorder="1" applyAlignment="1">
      <alignment vertical="center" wrapText="1"/>
    </xf>
    <xf numFmtId="0" fontId="35" fillId="4" borderId="65" xfId="0" applyFont="1" applyFill="1" applyBorder="1" applyAlignment="1">
      <alignment vertical="center" wrapText="1"/>
    </xf>
    <xf numFmtId="43" fontId="32" fillId="0" borderId="39" xfId="1" applyFont="1" applyFill="1" applyBorder="1" applyAlignment="1" applyProtection="1">
      <alignment horizontal="center" vertical="center"/>
    </xf>
    <xf numFmtId="43" fontId="32" fillId="0" borderId="27" xfId="1" applyFont="1" applyFill="1" applyBorder="1" applyAlignment="1" applyProtection="1">
      <alignment horizontal="center" vertical="center"/>
    </xf>
    <xf numFmtId="43" fontId="32" fillId="0" borderId="89" xfId="1" applyFont="1" applyFill="1" applyBorder="1" applyAlignment="1" applyProtection="1">
      <alignment horizontal="center" vertical="center"/>
    </xf>
    <xf numFmtId="0" fontId="151" fillId="4" borderId="17" xfId="0" applyFont="1" applyFill="1" applyBorder="1" applyAlignment="1">
      <alignment horizontal="center" vertical="center" wrapText="1"/>
    </xf>
    <xf numFmtId="0" fontId="151" fillId="4" borderId="18" xfId="0" applyFont="1" applyFill="1" applyBorder="1" applyAlignment="1">
      <alignment horizontal="center" vertical="center" wrapText="1"/>
    </xf>
    <xf numFmtId="0" fontId="151" fillId="4" borderId="20" xfId="0" applyFont="1" applyFill="1" applyBorder="1" applyAlignment="1">
      <alignment horizontal="center" vertical="center"/>
    </xf>
    <xf numFmtId="0" fontId="83" fillId="4" borderId="40" xfId="0" applyFont="1" applyFill="1" applyBorder="1" applyAlignment="1">
      <alignment horizontal="center" vertical="center" wrapText="1"/>
    </xf>
    <xf numFmtId="0" fontId="83" fillId="4" borderId="24" xfId="0" applyFont="1" applyFill="1" applyBorder="1" applyAlignment="1">
      <alignment horizontal="center" vertical="center" wrapText="1"/>
    </xf>
    <xf numFmtId="0" fontId="187" fillId="0" borderId="10" xfId="0" applyFont="1" applyBorder="1" applyAlignment="1" applyProtection="1">
      <alignment horizontal="center" vertical="center" wrapText="1"/>
      <protection locked="0"/>
    </xf>
    <xf numFmtId="0" fontId="187" fillId="0" borderId="65" xfId="0" applyFont="1" applyBorder="1" applyAlignment="1" applyProtection="1">
      <alignment horizontal="center" vertical="center" wrapText="1"/>
      <protection locked="0"/>
    </xf>
    <xf numFmtId="0" fontId="83" fillId="4" borderId="25" xfId="0" applyFont="1" applyFill="1" applyBorder="1" applyAlignment="1">
      <alignment horizontal="center" vertical="center" wrapText="1"/>
    </xf>
    <xf numFmtId="0" fontId="187" fillId="0" borderId="54" xfId="0" applyFont="1" applyBorder="1" applyAlignment="1" applyProtection="1">
      <alignment horizontal="center" vertical="center" wrapText="1"/>
      <protection locked="0"/>
    </xf>
    <xf numFmtId="0" fontId="187" fillId="0" borderId="59" xfId="0" applyFont="1" applyBorder="1" applyAlignment="1" applyProtection="1">
      <alignment horizontal="center" vertical="center" wrapText="1"/>
      <protection locked="0"/>
    </xf>
    <xf numFmtId="0" fontId="83" fillId="4" borderId="60" xfId="0" applyFont="1" applyFill="1" applyBorder="1" applyAlignment="1">
      <alignment horizontal="center" vertical="center" wrapText="1"/>
    </xf>
    <xf numFmtId="0" fontId="83" fillId="4" borderId="68" xfId="0" applyFont="1" applyFill="1" applyBorder="1" applyAlignment="1">
      <alignment vertical="center" wrapText="1"/>
    </xf>
    <xf numFmtId="0" fontId="31" fillId="4" borderId="30" xfId="0" applyFont="1" applyFill="1" applyBorder="1" applyAlignment="1" applyProtection="1">
      <alignment horizontal="center" vertical="center" wrapText="1"/>
      <protection locked="0"/>
    </xf>
    <xf numFmtId="0" fontId="31" fillId="4" borderId="39" xfId="0" applyFont="1" applyFill="1" applyBorder="1" applyAlignment="1" applyProtection="1">
      <alignment horizontal="center" vertical="center"/>
      <protection locked="0"/>
    </xf>
    <xf numFmtId="0" fontId="31" fillId="4" borderId="27" xfId="0" applyFont="1" applyFill="1" applyBorder="1" applyAlignment="1" applyProtection="1">
      <alignment horizontal="center" vertical="center"/>
      <protection locked="0"/>
    </xf>
    <xf numFmtId="0" fontId="31" fillId="4" borderId="89" xfId="0" applyFont="1" applyFill="1" applyBorder="1" applyAlignment="1" applyProtection="1">
      <alignment horizontal="center" vertical="center"/>
      <protection locked="0"/>
    </xf>
    <xf numFmtId="0" fontId="83" fillId="4" borderId="43" xfId="0" applyFont="1" applyFill="1" applyBorder="1" applyAlignment="1">
      <alignment vertical="center" wrapText="1"/>
    </xf>
    <xf numFmtId="0" fontId="83" fillId="4" borderId="44" xfId="0" applyFont="1" applyFill="1" applyBorder="1" applyAlignment="1">
      <alignment vertical="center" wrapText="1"/>
    </xf>
    <xf numFmtId="0" fontId="83" fillId="4" borderId="45" xfId="0" applyFont="1" applyFill="1" applyBorder="1" applyAlignment="1">
      <alignment vertical="center" wrapText="1"/>
    </xf>
    <xf numFmtId="167" fontId="151" fillId="0" borderId="43" xfId="0" applyNumberFormat="1" applyFont="1" applyBorder="1" applyAlignment="1">
      <alignment horizontal="center" vertical="center"/>
    </xf>
    <xf numFmtId="167" fontId="151" fillId="0" borderId="44" xfId="0" applyNumberFormat="1" applyFont="1" applyBorder="1" applyAlignment="1">
      <alignment horizontal="center" vertical="center"/>
    </xf>
    <xf numFmtId="167" fontId="151" fillId="0" borderId="45" xfId="0" applyNumberFormat="1" applyFont="1" applyBorder="1" applyAlignment="1">
      <alignment horizontal="center" vertical="center"/>
    </xf>
    <xf numFmtId="43" fontId="151" fillId="0" borderId="21" xfId="0" applyNumberFormat="1" applyFont="1" applyBorder="1" applyAlignment="1">
      <alignment horizontal="center" vertical="center"/>
    </xf>
    <xf numFmtId="43" fontId="151" fillId="0" borderId="23" xfId="0" applyNumberFormat="1" applyFont="1" applyBorder="1" applyAlignment="1">
      <alignment horizontal="center" vertical="center"/>
    </xf>
    <xf numFmtId="43" fontId="151" fillId="0" borderId="24" xfId="0" applyNumberFormat="1" applyFont="1" applyBorder="1" applyAlignment="1">
      <alignment horizontal="center" vertical="center"/>
    </xf>
    <xf numFmtId="0" fontId="83" fillId="4" borderId="41" xfId="0" applyFont="1" applyFill="1" applyBorder="1" applyAlignment="1">
      <alignment horizontal="center" vertical="center" wrapText="1"/>
    </xf>
    <xf numFmtId="0" fontId="83" fillId="4" borderId="34" xfId="0" applyFont="1" applyFill="1" applyBorder="1" applyAlignment="1">
      <alignment horizontal="center" vertical="center" wrapText="1"/>
    </xf>
    <xf numFmtId="0" fontId="187" fillId="0" borderId="54" xfId="0" applyFont="1" applyBorder="1" applyAlignment="1" applyProtection="1">
      <alignment horizontal="center" vertical="center"/>
      <protection locked="0"/>
    </xf>
    <xf numFmtId="0" fontId="187" fillId="0" borderId="59" xfId="0" applyFont="1" applyBorder="1" applyAlignment="1" applyProtection="1">
      <alignment horizontal="center" vertical="center"/>
      <protection locked="0"/>
    </xf>
    <xf numFmtId="43" fontId="151" fillId="0" borderId="32" xfId="0" applyNumberFormat="1" applyFont="1" applyBorder="1" applyAlignment="1">
      <alignment horizontal="center" vertical="center"/>
    </xf>
    <xf numFmtId="43" fontId="151" fillId="0" borderId="32" xfId="1" applyFont="1" applyFill="1" applyBorder="1" applyAlignment="1" applyProtection="1">
      <alignment horizontal="center" vertical="center"/>
    </xf>
    <xf numFmtId="0" fontId="264" fillId="4" borderId="85" xfId="0" applyFont="1" applyFill="1" applyBorder="1" applyAlignment="1">
      <alignment horizontal="center" vertical="center" wrapText="1"/>
    </xf>
    <xf numFmtId="0" fontId="264" fillId="4" borderId="86" xfId="0" applyFont="1" applyFill="1" applyBorder="1" applyAlignment="1">
      <alignment horizontal="center" vertical="center" wrapText="1"/>
    </xf>
    <xf numFmtId="0" fontId="264" fillId="4" borderId="82" xfId="0" applyFont="1" applyFill="1" applyBorder="1" applyAlignment="1">
      <alignment horizontal="center" vertical="center" wrapText="1"/>
    </xf>
    <xf numFmtId="0" fontId="305" fillId="0" borderId="86" xfId="0" applyFont="1" applyBorder="1" applyAlignment="1">
      <alignment horizontal="center" vertical="center" wrapText="1"/>
    </xf>
    <xf numFmtId="0" fontId="305" fillId="0" borderId="82" xfId="0" applyFont="1" applyBorder="1" applyAlignment="1">
      <alignment horizontal="center" vertical="center" wrapText="1"/>
    </xf>
    <xf numFmtId="0" fontId="187" fillId="0" borderId="55" xfId="0" applyFont="1" applyBorder="1" applyAlignment="1" applyProtection="1">
      <alignment horizontal="center" vertical="center"/>
      <protection locked="0"/>
    </xf>
    <xf numFmtId="0" fontId="32" fillId="4" borderId="39" xfId="0" applyFont="1" applyFill="1" applyBorder="1" applyAlignment="1" applyProtection="1">
      <alignment horizontal="center" vertical="center" wrapText="1"/>
      <protection locked="0"/>
    </xf>
    <xf numFmtId="0" fontId="32" fillId="4" borderId="5" xfId="0" applyFont="1" applyFill="1" applyBorder="1" applyAlignment="1" applyProtection="1">
      <alignment horizontal="center" vertical="center" wrapText="1"/>
      <protection locked="0"/>
    </xf>
    <xf numFmtId="0" fontId="303" fillId="0" borderId="5" xfId="0" applyFont="1" applyBorder="1" applyAlignment="1" applyProtection="1">
      <alignment horizontal="center" vertical="center" wrapText="1"/>
      <protection locked="0"/>
    </xf>
    <xf numFmtId="0" fontId="32" fillId="0" borderId="5" xfId="0" applyFont="1" applyBorder="1" applyAlignment="1" applyProtection="1">
      <alignment horizontal="center" vertical="center" wrapText="1"/>
      <protection locked="0"/>
    </xf>
    <xf numFmtId="0" fontId="303" fillId="0" borderId="64" xfId="0" applyFont="1" applyBorder="1" applyAlignment="1" applyProtection="1">
      <alignment horizontal="center" vertical="center" wrapText="1"/>
      <protection locked="0"/>
    </xf>
    <xf numFmtId="0" fontId="32" fillId="4" borderId="89" xfId="0" applyFont="1" applyFill="1" applyBorder="1" applyAlignment="1" applyProtection="1">
      <alignment horizontal="center" vertical="center" wrapText="1"/>
      <protection locked="0"/>
    </xf>
    <xf numFmtId="0" fontId="32" fillId="4" borderId="10" xfId="0" applyFont="1" applyFill="1" applyBorder="1" applyAlignment="1" applyProtection="1">
      <alignment horizontal="center" vertical="center" wrapText="1"/>
      <protection locked="0"/>
    </xf>
    <xf numFmtId="0" fontId="303" fillId="0" borderId="1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303" fillId="0" borderId="65" xfId="0" applyFont="1" applyBorder="1" applyAlignment="1" applyProtection="1">
      <alignment horizontal="center" vertical="center" wrapText="1"/>
      <protection locked="0"/>
    </xf>
    <xf numFmtId="0" fontId="32" fillId="0" borderId="64" xfId="0" applyFont="1" applyBorder="1" applyAlignment="1" applyProtection="1">
      <alignment horizontal="center" vertical="center" wrapText="1"/>
      <protection locked="0"/>
    </xf>
    <xf numFmtId="0" fontId="32" fillId="0" borderId="65" xfId="0" applyFont="1" applyBorder="1" applyAlignment="1" applyProtection="1">
      <alignment horizontal="center" vertical="center" wrapText="1"/>
      <protection locked="0"/>
    </xf>
    <xf numFmtId="0" fontId="32" fillId="4" borderId="58" xfId="0" applyFont="1" applyFill="1" applyBorder="1" applyAlignment="1" applyProtection="1">
      <alignment horizontal="center" vertical="center" wrapText="1"/>
      <protection locked="0"/>
    </xf>
    <xf numFmtId="0" fontId="32" fillId="4" borderId="54" xfId="0" applyFont="1" applyFill="1" applyBorder="1" applyAlignment="1" applyProtection="1">
      <alignment horizontal="center" vertical="center" wrapText="1"/>
      <protection locked="0"/>
    </xf>
    <xf numFmtId="0" fontId="32" fillId="0" borderId="54" xfId="0" applyFont="1" applyBorder="1" applyAlignment="1" applyProtection="1">
      <alignment horizontal="center" vertical="center" wrapText="1"/>
      <protection locked="0"/>
    </xf>
    <xf numFmtId="0" fontId="32" fillId="0" borderId="59" xfId="0" applyFont="1" applyBorder="1" applyAlignment="1" applyProtection="1">
      <alignment horizontal="center" vertical="center" wrapText="1"/>
      <protection locked="0"/>
    </xf>
    <xf numFmtId="43" fontId="32" fillId="0" borderId="3" xfId="0" applyNumberFormat="1" applyFont="1" applyBorder="1" applyAlignment="1">
      <alignment horizontal="center" vertical="center"/>
    </xf>
    <xf numFmtId="0" fontId="32" fillId="4" borderId="46" xfId="0" applyFont="1" applyFill="1" applyBorder="1" applyAlignment="1" applyProtection="1">
      <alignment horizontal="center" vertical="center" wrapText="1"/>
      <protection locked="0"/>
    </xf>
    <xf numFmtId="0" fontId="32" fillId="4" borderId="66" xfId="0" applyFont="1" applyFill="1" applyBorder="1" applyAlignment="1" applyProtection="1">
      <alignment horizontal="center" vertical="center" wrapText="1"/>
      <protection locked="0"/>
    </xf>
    <xf numFmtId="0" fontId="32" fillId="0" borderId="66" xfId="0" applyFont="1" applyBorder="1" applyAlignment="1" applyProtection="1">
      <alignment horizontal="center" vertical="center" wrapText="1"/>
      <protection locked="0"/>
    </xf>
    <xf numFmtId="0" fontId="32" fillId="0" borderId="51" xfId="0" applyFont="1" applyBorder="1" applyAlignment="1" applyProtection="1">
      <alignment horizontal="center" vertical="center" wrapText="1"/>
      <protection locked="0"/>
    </xf>
    <xf numFmtId="43" fontId="32" fillId="0" borderId="52" xfId="0" applyNumberFormat="1" applyFont="1" applyBorder="1" applyAlignment="1">
      <alignment horizontal="center" vertical="center"/>
    </xf>
    <xf numFmtId="0" fontId="32" fillId="22" borderId="6" xfId="0" applyFont="1" applyFill="1" applyBorder="1" applyAlignment="1" applyProtection="1">
      <alignment horizontal="center" vertical="center"/>
      <protection locked="0"/>
    </xf>
    <xf numFmtId="0" fontId="32" fillId="22" borderId="11" xfId="0" applyFont="1" applyFill="1" applyBorder="1" applyAlignment="1" applyProtection="1">
      <alignment horizontal="center" vertical="center"/>
      <protection locked="0"/>
    </xf>
    <xf numFmtId="0" fontId="32" fillId="22" borderId="55" xfId="0" applyFont="1" applyFill="1" applyBorder="1" applyAlignment="1" applyProtection="1">
      <alignment horizontal="center" vertical="center"/>
      <protection locked="0"/>
    </xf>
    <xf numFmtId="0" fontId="32" fillId="22" borderId="57" xfId="0" applyFont="1" applyFill="1" applyBorder="1" applyAlignment="1" applyProtection="1">
      <alignment horizontal="center" vertical="center"/>
      <protection locked="0"/>
    </xf>
    <xf numFmtId="0" fontId="32" fillId="22" borderId="64" xfId="0" applyFont="1" applyFill="1" applyBorder="1" applyAlignment="1" applyProtection="1">
      <alignment horizontal="center" vertical="center"/>
      <protection locked="0"/>
    </xf>
    <xf numFmtId="0" fontId="32" fillId="4" borderId="42" xfId="0" applyFont="1" applyFill="1" applyBorder="1" applyAlignment="1" applyProtection="1">
      <alignment horizontal="center" vertical="center"/>
      <protection locked="0"/>
    </xf>
    <xf numFmtId="0" fontId="32" fillId="22" borderId="37" xfId="0" applyFont="1" applyFill="1" applyBorder="1" applyAlignment="1" applyProtection="1">
      <alignment horizontal="center" vertical="center"/>
      <protection locked="0"/>
    </xf>
    <xf numFmtId="0" fontId="32" fillId="4" borderId="55" xfId="0" applyFont="1" applyFill="1" applyBorder="1" applyAlignment="1" applyProtection="1">
      <alignment horizontal="center" vertical="center"/>
      <protection locked="0"/>
    </xf>
    <xf numFmtId="0" fontId="31" fillId="4" borderId="25" xfId="0" applyFont="1" applyFill="1" applyBorder="1" applyAlignment="1">
      <alignment horizontal="center" vertical="center" wrapText="1"/>
    </xf>
    <xf numFmtId="2" fontId="32" fillId="4" borderId="58" xfId="0" applyNumberFormat="1" applyFont="1" applyFill="1" applyBorder="1" applyAlignment="1">
      <alignment horizontal="center" vertical="center" wrapText="1"/>
    </xf>
    <xf numFmtId="0" fontId="32" fillId="33" borderId="4" xfId="0" applyFont="1" applyFill="1" applyBorder="1" applyAlignment="1" applyProtection="1">
      <alignment horizontal="center" vertical="center"/>
      <protection locked="0"/>
    </xf>
    <xf numFmtId="0" fontId="32" fillId="33" borderId="9" xfId="0" applyFont="1" applyFill="1" applyBorder="1" applyAlignment="1" applyProtection="1">
      <alignment horizontal="center" vertical="center"/>
      <protection locked="0"/>
    </xf>
    <xf numFmtId="0" fontId="32" fillId="33" borderId="10" xfId="0" applyFont="1" applyFill="1" applyBorder="1" applyAlignment="1" applyProtection="1">
      <alignment horizontal="center" vertical="center"/>
      <protection locked="0"/>
    </xf>
    <xf numFmtId="0" fontId="29" fillId="0" borderId="10" xfId="0" applyFont="1" applyBorder="1"/>
    <xf numFmtId="0" fontId="29" fillId="0" borderId="5" xfId="0" applyFont="1" applyBorder="1"/>
    <xf numFmtId="0" fontId="32" fillId="33" borderId="30" xfId="0" applyFont="1" applyFill="1" applyBorder="1" applyAlignment="1" applyProtection="1">
      <alignment horizontal="center" vertical="center"/>
      <protection locked="0"/>
    </xf>
    <xf numFmtId="0" fontId="29" fillId="0" borderId="30" xfId="0" applyFont="1" applyBorder="1"/>
    <xf numFmtId="0" fontId="32" fillId="33" borderId="39" xfId="0" applyFont="1" applyFill="1" applyBorder="1" applyAlignment="1" applyProtection="1">
      <alignment horizontal="center" vertical="center"/>
      <protection locked="0"/>
    </xf>
    <xf numFmtId="0" fontId="32" fillId="33" borderId="27" xfId="0" applyFont="1" applyFill="1" applyBorder="1" applyAlignment="1" applyProtection="1">
      <alignment horizontal="center" vertical="center"/>
      <protection locked="0"/>
    </xf>
    <xf numFmtId="0" fontId="32" fillId="33" borderId="29" xfId="0" applyFont="1" applyFill="1" applyBorder="1" applyAlignment="1" applyProtection="1">
      <alignment horizontal="center" vertical="center"/>
      <protection locked="0"/>
    </xf>
    <xf numFmtId="0" fontId="32" fillId="33" borderId="62" xfId="0" applyFont="1" applyFill="1" applyBorder="1" applyAlignment="1" applyProtection="1">
      <alignment horizontal="center" vertical="center"/>
      <protection locked="0"/>
    </xf>
    <xf numFmtId="0" fontId="32" fillId="4" borderId="57" xfId="0" applyFont="1" applyFill="1" applyBorder="1" applyAlignment="1" applyProtection="1">
      <alignment horizontal="center" vertical="center"/>
      <protection locked="0"/>
    </xf>
    <xf numFmtId="0" fontId="34" fillId="4" borderId="59" xfId="0" applyFont="1" applyFill="1" applyBorder="1" applyAlignment="1">
      <alignment horizontal="center" vertical="center" wrapText="1"/>
    </xf>
    <xf numFmtId="0" fontId="34" fillId="16" borderId="25" xfId="0" applyFont="1" applyFill="1" applyBorder="1" applyAlignment="1">
      <alignment horizontal="center" vertical="center" wrapText="1"/>
    </xf>
    <xf numFmtId="0" fontId="34" fillId="9" borderId="3" xfId="0" applyFont="1" applyFill="1" applyBorder="1" applyAlignment="1">
      <alignment horizontal="center" vertical="center" wrapText="1"/>
    </xf>
    <xf numFmtId="178" fontId="251" fillId="0" borderId="0" xfId="0" applyNumberFormat="1" applyFont="1" applyBorder="1" applyAlignment="1"/>
    <xf numFmtId="43" fontId="32" fillId="0" borderId="18" xfId="1" applyFont="1" applyFill="1" applyBorder="1" applyAlignment="1" applyProtection="1">
      <alignment horizontal="center" vertical="center"/>
    </xf>
    <xf numFmtId="0" fontId="34" fillId="31" borderId="54" xfId="0" applyFont="1" applyFill="1" applyBorder="1" applyAlignment="1">
      <alignment horizontal="center" vertical="center" wrapText="1"/>
    </xf>
    <xf numFmtId="0" fontId="34" fillId="89" borderId="59" xfId="0" applyFont="1" applyFill="1" applyBorder="1" applyAlignment="1">
      <alignment horizontal="center" vertical="center" wrapText="1"/>
    </xf>
    <xf numFmtId="0" fontId="34" fillId="5" borderId="59" xfId="0" applyFont="1" applyFill="1" applyBorder="1" applyAlignment="1">
      <alignment horizontal="center" vertical="center" wrapText="1"/>
    </xf>
    <xf numFmtId="0" fontId="34" fillId="5" borderId="55" xfId="0" applyFont="1" applyFill="1" applyBorder="1" applyAlignment="1">
      <alignment horizontal="center" vertical="center" wrapText="1"/>
    </xf>
  </cellXfs>
  <cellStyles count="38">
    <cellStyle name="Hipervínculo" xfId="4" builtinId="8"/>
    <cellStyle name="Hipervínculo 2" xfId="7" xr:uid="{36685743-14B1-4D7B-BC48-B926F1DE2755}"/>
    <cellStyle name="Hipervínculo 2 2" xfId="11" xr:uid="{C203F8EC-F0C7-47B9-9D8C-7B9F7DBBCEA3}"/>
    <cellStyle name="Hipervínculo 2 3" xfId="16" xr:uid="{AB46D0C7-D353-4F21-8BB4-DDA58B5209E7}"/>
    <cellStyle name="Hipervínculo 2 4" xfId="19" xr:uid="{00587F01-70F9-4A1A-B09B-6615135518E2}"/>
    <cellStyle name="Hipervínculo 2 5" xfId="23" xr:uid="{2BBD7BBF-BABB-49D4-9C74-EA0FCE9E98B1}"/>
    <cellStyle name="Hipervínculo 2 6" xfId="29" xr:uid="{22B9E9D8-1ECF-4C36-824B-7D046119B6D8}"/>
    <cellStyle name="Millares" xfId="1" builtinId="3"/>
    <cellStyle name="Millares 10" xfId="32" xr:uid="{60A5A5E4-3A09-47F6-9E61-80FC332BF3CD}"/>
    <cellStyle name="Millares 11" xfId="33" xr:uid="{4E47C679-8094-47F9-AB63-74E47C7B000B}"/>
    <cellStyle name="Millares 12" xfId="34" xr:uid="{C11D2059-CDC0-4D66-830B-84BB73A7B51A}"/>
    <cellStyle name="Millares 2" xfId="8" xr:uid="{62F29AD8-08BB-49B7-8A9F-4C545F60D00A}"/>
    <cellStyle name="Millares 3" xfId="12" xr:uid="{B79FABCA-CF26-4D8E-A19E-120574DE3AC7}"/>
    <cellStyle name="Millares 4" xfId="13" xr:uid="{598DAF1D-50BE-44FF-91E2-E02030113C1A}"/>
    <cellStyle name="Millares 5" xfId="17" xr:uid="{4E423672-8B6F-4156-B241-52FFEB3AC6BF}"/>
    <cellStyle name="Millares 6" xfId="20" xr:uid="{C0801601-178F-4C3B-9940-7FB0CB2BED1F}"/>
    <cellStyle name="Millares 7" xfId="21" xr:uid="{1CCA0D74-8987-4CFD-887D-A1B968E28191}"/>
    <cellStyle name="Millares 8" xfId="24" xr:uid="{ECFD5386-D22D-4E70-80F5-3FB1107F66EE}"/>
    <cellStyle name="Millares 9" xfId="25" xr:uid="{DB308AC3-4984-4E7E-8E2D-2C61F5BC5C6E}"/>
    <cellStyle name="Moneda" xfId="30" builtinId="4"/>
    <cellStyle name="Normal" xfId="0" builtinId="0"/>
    <cellStyle name="Normal 10" xfId="37" xr:uid="{2929FF5C-7972-4514-9412-093CDF6CD7A6}"/>
    <cellStyle name="Normal 2" xfId="3" xr:uid="{2F9D1871-A487-481E-9B0B-7602964576C9}"/>
    <cellStyle name="Normal 2 2" xfId="6" xr:uid="{63250479-A5B6-4DDD-B40D-BF3BA3E271ED}"/>
    <cellStyle name="Normal 2 3" xfId="10" xr:uid="{E78A7665-3859-4ED4-A7BC-3AFA0F6B0349}"/>
    <cellStyle name="Normal 2 4" xfId="15" xr:uid="{58A802AE-091B-4D44-A198-C1C2BA2A0535}"/>
    <cellStyle name="Normal 2 5" xfId="18" xr:uid="{6830658B-FA79-4604-9EED-C69C2D68D59E}"/>
    <cellStyle name="Normal 2 6" xfId="22" xr:uid="{BDD2F307-2AB7-4E5C-8080-BDE03766F0DC}"/>
    <cellStyle name="Normal 2 7" xfId="28" xr:uid="{B5DDECE8-30B1-4001-87DA-DD56341997AF}"/>
    <cellStyle name="Normal 3" xfId="5" xr:uid="{2299A307-A53D-41D3-8614-E98F899CF5AD}"/>
    <cellStyle name="Normal 4" xfId="9" xr:uid="{EA63C543-0A67-4946-8D12-E437D921F3EA}"/>
    <cellStyle name="Normal 5" xfId="14" xr:uid="{6C267DAE-7420-40D6-B6F7-99F1FBB92769}"/>
    <cellStyle name="Normal 6" xfId="26" xr:uid="{02779DE3-6575-4895-8F6E-6C38CC2A50AA}"/>
    <cellStyle name="Normal 7" xfId="27" xr:uid="{D1B93BDD-FB05-4969-BA99-893AB0894E76}"/>
    <cellStyle name="Normal 8" xfId="31" xr:uid="{95C1E81D-3BF6-466C-AA77-9F87CA912750}"/>
    <cellStyle name="Normal 8 2" xfId="36" xr:uid="{B06F4E81-8A58-4966-8194-1FF93E2C5BFA}"/>
    <cellStyle name="Normal 9" xfId="35" xr:uid="{96E0EA99-53FC-49A5-AC3E-8D78519CA077}"/>
    <cellStyle name="Porcentaje" xfId="2" builtinId="5"/>
  </cellStyles>
  <dxfs count="39"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ill>
        <patternFill patternType="solid">
          <fgColor indexed="64"/>
          <bgColor rgb="FFD9EAD3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4CCCC"/>
        </patternFill>
      </fill>
    </dxf>
    <dxf>
      <font>
        <color rgb="FF000000"/>
      </font>
      <fill>
        <patternFill patternType="solid">
          <fgColor indexed="64"/>
          <bgColor rgb="FFF4CCCC"/>
        </patternFill>
      </fill>
    </dxf>
    <dxf>
      <font>
        <color rgb="FF0000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CE4D6"/>
        </patternFill>
      </fill>
    </dxf>
    <dxf>
      <font>
        <color rgb="FFFFFFFF"/>
      </font>
      <fill>
        <patternFill patternType="solid">
          <fgColor indexed="64"/>
          <bgColor rgb="FF0070C0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FFFFFF"/>
      </font>
      <fill>
        <patternFill patternType="solid">
          <fgColor indexed="64"/>
          <bgColor rgb="FF00B050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FFFFFF"/>
      </font>
      <fill>
        <patternFill patternType="solid">
          <fgColor indexed="64"/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009900"/>
      <color rgb="FFFF3300"/>
      <color rgb="FFF2F5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10/relationships/person" Target="persons/person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38" Type="http://schemas.microsoft.com/office/2017/10/relationships/person" Target="persons/person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17/10/relationships/person" Target="persons/pers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10/relationships/person" Target="persons/person0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10/relationships/person" Target="persons/person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142881</xdr:colOff>
      <xdr:row>0</xdr:row>
      <xdr:rowOff>171460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7C1F656D-2BFB-4D0D-BE4E-35588DB5FA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104906" y="171460"/>
          <a:ext cx="2524120" cy="942965"/>
        </a:xfrm>
        <a:prstGeom prst="rect">
          <a:avLst/>
        </a:prstGeom>
      </xdr:spPr>
    </xdr:pic>
    <xdr:clientData/>
  </xdr:oneCellAnchor>
  <xdr:oneCellAnchor>
    <xdr:from>
      <xdr:col>2</xdr:col>
      <xdr:colOff>142881</xdr:colOff>
      <xdr:row>0</xdr:row>
      <xdr:rowOff>171460</xdr:rowOff>
    </xdr:from>
    <xdr:ext cx="2524120" cy="942965"/>
    <xdr:pic>
      <xdr:nvPicPr>
        <xdr:cNvPr id="3" name="Imagen 2">
          <a:extLst>
            <a:ext uri="{FF2B5EF4-FFF2-40B4-BE49-F238E27FC236}">
              <a16:creationId xmlns:a16="http://schemas.microsoft.com/office/drawing/2014/main" id="{D721E4AD-69C0-4922-9DBB-347FA541E6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104906" y="171460"/>
          <a:ext cx="2524120" cy="942965"/>
        </a:xfrm>
        <a:prstGeom prst="rect">
          <a:avLst/>
        </a:prstGeom>
      </xdr:spPr>
    </xdr:pic>
    <xdr:clientData/>
  </xdr:oneCellAnchor>
  <xdr:oneCellAnchor>
    <xdr:from>
      <xdr:col>2</xdr:col>
      <xdr:colOff>142881</xdr:colOff>
      <xdr:row>0</xdr:row>
      <xdr:rowOff>171460</xdr:rowOff>
    </xdr:from>
    <xdr:ext cx="2524120" cy="942965"/>
    <xdr:pic>
      <xdr:nvPicPr>
        <xdr:cNvPr id="4" name="Imagen 3">
          <a:extLst>
            <a:ext uri="{FF2B5EF4-FFF2-40B4-BE49-F238E27FC236}">
              <a16:creationId xmlns:a16="http://schemas.microsoft.com/office/drawing/2014/main" id="{3A3C486C-54FE-49E7-9B09-8748BCF0D2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104906" y="171460"/>
          <a:ext cx="2524120" cy="94296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644531</xdr:colOff>
      <xdr:row>0</xdr:row>
      <xdr:rowOff>194479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1B252CAB-548D-43AC-970F-49BDEBEBA2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644531" y="194479"/>
          <a:ext cx="2524120" cy="94296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130181</xdr:colOff>
      <xdr:row>0</xdr:row>
      <xdr:rowOff>108754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544E37DA-6F8A-42F3-8F8B-42AE0AFA02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30181" y="108754"/>
          <a:ext cx="2524120" cy="94296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130181</xdr:colOff>
      <xdr:row>0</xdr:row>
      <xdr:rowOff>108754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5D9A6271-E423-4613-BACB-8268DB9E82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30181" y="108754"/>
          <a:ext cx="2524120" cy="94296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344637</xdr:colOff>
      <xdr:row>1</xdr:row>
      <xdr:rowOff>136746</xdr:rowOff>
    </xdr:from>
    <xdr:to>
      <xdr:col>3</xdr:col>
      <xdr:colOff>505441</xdr:colOff>
      <xdr:row>3</xdr:row>
      <xdr:rowOff>748188</xdr:rowOff>
    </xdr:to>
    <xdr:pic>
      <xdr:nvPicPr>
        <xdr:cNvPr id="2" name="image1.png">
          <a:extLst>
            <a:ext uri="{FF2B5EF4-FFF2-40B4-BE49-F238E27FC236}">
              <a16:creationId xmlns:a16="http://schemas.microsoft.com/office/drawing/2014/main" id="{C036A4C6-8830-4A38-B964-BBB65500C028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137" y="343121"/>
          <a:ext cx="2845947" cy="1214692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177799</xdr:rowOff>
    </xdr:from>
    <xdr:to>
      <xdr:col>2</xdr:col>
      <xdr:colOff>907143</xdr:colOff>
      <xdr:row>4</xdr:row>
      <xdr:rowOff>231775</xdr:rowOff>
    </xdr:to>
    <xdr:pic>
      <xdr:nvPicPr>
        <xdr:cNvPr id="2" name="image1.png">
          <a:extLst>
            <a:ext uri="{FF2B5EF4-FFF2-40B4-BE49-F238E27FC236}">
              <a16:creationId xmlns:a16="http://schemas.microsoft.com/office/drawing/2014/main" id="{D24A9B35-4FA4-45BA-9C88-B8EBADE2FADD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0550" y="368299"/>
          <a:ext cx="1663700" cy="968376"/>
        </a:xfrm>
        <a:prstGeom prst="rect">
          <a:avLst/>
        </a:prstGeom>
        <a:noFill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644531</xdr:colOff>
      <xdr:row>0</xdr:row>
      <xdr:rowOff>194479</xdr:rowOff>
    </xdr:from>
    <xdr:ext cx="2524120" cy="942965"/>
    <xdr:pic>
      <xdr:nvPicPr>
        <xdr:cNvPr id="2" name="Imagen 1" descr="SADASD">
          <a:extLst>
            <a:ext uri="{FF2B5EF4-FFF2-40B4-BE49-F238E27FC236}">
              <a16:creationId xmlns:a16="http://schemas.microsoft.com/office/drawing/2014/main" id="{87B14BF5-29DA-4015-9BA2-FFCB6206BE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30181" y="194479"/>
          <a:ext cx="2524120" cy="942965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232833</xdr:colOff>
      <xdr:row>1</xdr:row>
      <xdr:rowOff>95250</xdr:rowOff>
    </xdr:from>
    <xdr:to>
      <xdr:col>4</xdr:col>
      <xdr:colOff>1137200</xdr:colOff>
      <xdr:row>4</xdr:row>
      <xdr:rowOff>203558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D5638931-2832-453F-8699-504E4D8200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667" t="25186" r="19084" b="3703"/>
        <a:stretch/>
      </xdr:blipFill>
      <xdr:spPr>
        <a:xfrm>
          <a:off x="232833" y="161925"/>
          <a:ext cx="2314067" cy="82268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280200</xdr:colOff>
      <xdr:row>0</xdr:row>
      <xdr:rowOff>182572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7E30E236-82AC-43F3-8EF7-B950FACB2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280200" y="182572"/>
          <a:ext cx="2524120" cy="942965"/>
        </a:xfrm>
        <a:prstGeom prst="rect">
          <a:avLst/>
        </a:prstGeom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9F5DEA-884B-403E-85DB-D65AE75EA869}" name="Tabla3" displayName="Tabla3" ref="B3:G51" totalsRowShown="0" headerRowDxfId="38" headerRowBorderDxfId="37" tableBorderDxfId="36" totalsRowBorderDxfId="35">
  <autoFilter ref="B3:G51" xr:uid="{929F5DEA-884B-403E-85DB-D65AE75EA869}"/>
  <tableColumns count="6">
    <tableColumn id="1" xr3:uid="{5687E48B-FC88-4604-A893-34E86DECBA0F}" name="N°" dataDxfId="34">
      <calculatedColumnFormula>+'EM-TUN'!B6</calculatedColumnFormula>
    </tableColumn>
    <tableColumn id="2" xr3:uid="{62622A29-2661-427E-B43F-6E68B56601E4}" name="DESCRIPCIÓN" dataDxfId="33">
      <calculatedColumnFormula>+'EM-TUN'!C6</calculatedColumnFormula>
    </tableColumn>
    <tableColumn id="3" xr3:uid="{9E986AAE-CD14-4B89-BB9B-507CD92F49F4}" name="TOTAL DE BULTOS ENVASADO TUNEL" dataDxfId="32" dataCellStyle="Millares">
      <calculatedColumnFormula>+'RES-EN'!R6</calculatedColumnFormula>
    </tableColumn>
    <tableColumn id="6" xr3:uid="{2F442D1A-74D1-4BFE-B208-3A02A006F82E}" name="TOTAL DE BULTOS ENVASADO PLACAS" dataDxfId="31" dataCellStyle="Millares">
      <calculatedColumnFormula>+'ENV. PLACAS'!AD6</calculatedColumnFormula>
    </tableColumn>
    <tableColumn id="4" xr3:uid="{8E2CD6A5-7760-4060-9B8E-51AD97F023D2}" name="TOTAL DE BULTOS EMPAQUE TUNEL" dataDxfId="30" dataCellStyle="Millares">
      <calculatedColumnFormula>+'EM-TUN'!CC6</calculatedColumnFormula>
    </tableColumn>
    <tableColumn id="5" xr3:uid="{DCA04FA7-B5C3-41FB-AA8C-D16A57BC3340}" name="TOTAL DE BULTOS EMPAQUE PLACAS" dataDxfId="29" dataCellStyle="Millares">
      <calculatedColumnFormula>+'EM-PLA'!BC6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  <wetp:taskpane dockstate="right" visibility="0" width="350" row="3">
    <wetp:webextensionref xmlns:r="http://schemas.openxmlformats.org/officeDocument/2006/relationships" r:id="rId2"/>
  </wetp:taskpane>
  <wetp:taskpane dockstate="right" visibility="0" width="350" row="6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DFB0676B-2197-4F46-B640-6D66041BC71D}">
  <we:reference id="wa200010215" version="1.0.0.0" store="es-ES" storeType="OMEX"/>
  <we:alternateReferences>
    <we:reference id="wa200010215" version="1.0.0.0" store="wa200010215" storeType="OMEX"/>
  </we:alternateReferences>
  <we:properties>
    <we:property name="bps.codex_control.document_id" value="&quot;5b93ca0b-e17f-40b5-9878-f53c4a9df36a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F16A99DB-8EB0-4207-9784-6ED13E73B207}">
  <we:reference id="wa200005502" version="1.0.0.13" store="es-ES" storeType="OMEX"/>
  <we:alternateReferences>
    <we:reference id="wa200005502" version="1.0.0.13" store="wa200005502" storeType="OMEX"/>
  </we:alternateReferences>
  <we:properties>
    <we:property name="docId" value="&quot;05e_uU35R7p0iavtB4qb-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3.xml><?xml version="1.0" encoding="utf-8"?>
<we:webextension xmlns:we="http://schemas.microsoft.com/office/webextensions/webextension/2010/11" id="{524AEB81-3A7A-4B20-A6ED-AC1D22812C72}">
  <we:reference id="wa200010725" version="1.0.0.1" store="es-ES" storeType="OMEX"/>
  <we:alternateReferences>
    <we:reference id="wa200010725" version="1.0.0.1" store="wa200010725" storeType="OMEX"/>
  </we:alternateReferences>
  <we:properties>
    <we:property name="claude.fileId" value="&quot;60485218-9c05-4de4-b0ea-b859232a7b9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1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produccion.ppfish@friopumarume.com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560FA-1D6B-408B-9F66-BA797DFF6286}">
  <sheetPr codeName="Hoja2">
    <tabColor rgb="FF0070C0"/>
  </sheetPr>
  <dimension ref="B1:Q154"/>
  <sheetViews>
    <sheetView showGridLines="0" view="pageBreakPreview" topLeftCell="A33" zoomScale="55" zoomScaleNormal="55" zoomScaleSheetLayoutView="55" zoomScalePageLayoutView="42" workbookViewId="0">
      <selection activeCell="G76" sqref="G76"/>
    </sheetView>
  </sheetViews>
  <sheetFormatPr baseColWidth="10" defaultColWidth="14.42578125" defaultRowHeight="23.25"/>
  <cols>
    <col min="1" max="1" width="7.28515625" style="2" customWidth="1"/>
    <col min="2" max="2" width="10.85546875" style="2" customWidth="1"/>
    <col min="3" max="3" width="44.85546875" style="2" customWidth="1"/>
    <col min="4" max="4" width="21.28515625" style="2" customWidth="1"/>
    <col min="5" max="5" width="31.85546875" style="2" bestFit="1" customWidth="1"/>
    <col min="6" max="6" width="30" style="2" customWidth="1"/>
    <col min="7" max="7" width="32.5703125" style="2" customWidth="1"/>
    <col min="8" max="8" width="20.85546875" style="2" bestFit="1" customWidth="1"/>
    <col min="9" max="9" width="17.5703125" style="2" bestFit="1" customWidth="1"/>
    <col min="10" max="10" width="22.7109375" style="2" customWidth="1"/>
    <col min="11" max="11" width="29.85546875" style="5" customWidth="1"/>
    <col min="12" max="12" width="23" style="2" customWidth="1"/>
    <col min="13" max="13" width="24" style="5" customWidth="1"/>
    <col min="14" max="14" width="32.140625" style="2" customWidth="1"/>
    <col min="15" max="15" width="17.28515625" style="2" customWidth="1"/>
    <col min="16" max="16" width="10.7109375" style="2" customWidth="1"/>
    <col min="17" max="17" width="16.42578125" style="2" customWidth="1"/>
    <col min="18" max="16384" width="14.42578125" style="2"/>
  </cols>
  <sheetData>
    <row r="1" spans="3:16">
      <c r="C1" s="1"/>
      <c r="D1" s="1"/>
      <c r="E1" s="1"/>
      <c r="F1" s="1"/>
      <c r="G1" s="1"/>
      <c r="H1" s="1"/>
      <c r="I1" s="1"/>
      <c r="J1" s="1"/>
      <c r="K1" s="3"/>
      <c r="L1" s="1"/>
      <c r="M1" s="3"/>
      <c r="N1" s="1"/>
      <c r="O1" s="1"/>
      <c r="P1" s="1"/>
    </row>
    <row r="2" spans="3:16">
      <c r="C2" s="1"/>
      <c r="D2" s="1"/>
      <c r="E2" s="1"/>
      <c r="F2" s="1"/>
      <c r="G2" s="1"/>
      <c r="H2" s="1"/>
      <c r="I2" s="1"/>
      <c r="J2" s="1"/>
      <c r="K2" s="3"/>
      <c r="L2" s="1"/>
      <c r="M2" s="3"/>
      <c r="N2" s="1"/>
      <c r="O2" s="1"/>
      <c r="P2" s="1"/>
    </row>
    <row r="3" spans="3:16" ht="15.75" customHeight="1">
      <c r="C3" s="2281" t="s">
        <v>0</v>
      </c>
      <c r="D3" s="2281"/>
      <c r="E3" s="2281"/>
      <c r="F3" s="2281"/>
      <c r="G3" s="2281"/>
      <c r="H3" s="2281"/>
      <c r="I3" s="2281"/>
      <c r="J3" s="2281"/>
      <c r="K3" s="6"/>
      <c r="L3" s="1"/>
      <c r="M3" s="3"/>
      <c r="N3" s="1"/>
      <c r="O3" s="1"/>
      <c r="P3" s="1"/>
    </row>
    <row r="4" spans="3:16" ht="15.75" customHeight="1">
      <c r="C4" s="2281"/>
      <c r="D4" s="2281"/>
      <c r="E4" s="2281"/>
      <c r="F4" s="2281"/>
      <c r="G4" s="2281"/>
      <c r="H4" s="2281"/>
      <c r="I4" s="2281"/>
      <c r="J4" s="2281"/>
      <c r="K4" s="6"/>
      <c r="L4" s="1"/>
      <c r="M4" s="3"/>
      <c r="N4" s="1"/>
      <c r="O4" s="1"/>
      <c r="P4" s="1"/>
    </row>
    <row r="5" spans="3:16" ht="15.75" customHeight="1">
      <c r="C5" s="1"/>
      <c r="D5" s="1"/>
      <c r="E5" s="680"/>
      <c r="F5" s="680"/>
      <c r="G5" s="680"/>
      <c r="H5" s="680"/>
      <c r="I5" s="680"/>
      <c r="J5" s="680"/>
      <c r="K5" s="6"/>
      <c r="L5" s="1"/>
      <c r="M5" s="3"/>
      <c r="N5" s="1"/>
      <c r="O5" s="1"/>
      <c r="P5" s="1"/>
    </row>
    <row r="6" spans="3:16" ht="15.75" customHeight="1">
      <c r="C6" s="1"/>
      <c r="D6" s="1"/>
      <c r="E6" s="680"/>
      <c r="F6" s="680"/>
      <c r="G6" s="680"/>
      <c r="H6" s="680"/>
      <c r="I6" s="680"/>
      <c r="J6" s="680"/>
      <c r="K6" s="6"/>
      <c r="L6" s="1"/>
      <c r="M6" s="3"/>
      <c r="N6" s="1"/>
      <c r="O6" s="1"/>
      <c r="P6" s="1"/>
    </row>
    <row r="7" spans="3:16" ht="60" customHeight="1" thickBot="1">
      <c r="C7" s="1"/>
      <c r="D7" s="1"/>
      <c r="E7" s="1"/>
      <c r="F7" s="1"/>
      <c r="G7" s="1"/>
      <c r="H7" s="1"/>
      <c r="I7" s="1"/>
      <c r="J7" s="1"/>
      <c r="K7" s="681" t="s">
        <v>731</v>
      </c>
      <c r="M7" s="3"/>
      <c r="N7" s="1"/>
      <c r="O7" s="1"/>
      <c r="P7" s="1"/>
    </row>
    <row r="8" spans="3:16" ht="47.25" thickBot="1">
      <c r="C8" s="682" t="s">
        <v>1</v>
      </c>
      <c r="D8" s="683"/>
      <c r="E8" s="684" t="str">
        <f>'R.M'!E10:P10</f>
        <v>GLOBAL TOP FOOD PERÚ S.A.C.</v>
      </c>
      <c r="F8" s="1"/>
      <c r="G8" s="1"/>
      <c r="H8" s="1"/>
      <c r="I8" s="1"/>
      <c r="J8" s="1"/>
      <c r="K8" s="681"/>
      <c r="M8" s="3"/>
      <c r="N8" s="1"/>
      <c r="O8" s="1"/>
      <c r="P8" s="1"/>
    </row>
    <row r="9" spans="3:16">
      <c r="C9" s="685" t="s">
        <v>2</v>
      </c>
      <c r="D9" s="686"/>
      <c r="E9" s="687" t="str">
        <f>'R.M'!E11:P11</f>
        <v>POTA A GRANEL</v>
      </c>
      <c r="F9" s="1"/>
      <c r="G9" s="1"/>
      <c r="H9" s="1"/>
      <c r="I9" s="1"/>
      <c r="K9" s="3"/>
      <c r="L9" s="1"/>
      <c r="M9" s="3"/>
      <c r="N9" s="1"/>
      <c r="O9" s="1"/>
      <c r="P9" s="1"/>
    </row>
    <row r="10" spans="3:16">
      <c r="C10" s="688" t="s">
        <v>157</v>
      </c>
      <c r="D10" s="689"/>
      <c r="E10" s="690">
        <v>46199</v>
      </c>
      <c r="F10" s="1"/>
      <c r="G10" s="1"/>
      <c r="H10" s="1"/>
      <c r="I10" s="1"/>
      <c r="J10" s="3"/>
      <c r="K10" s="3"/>
      <c r="L10" s="1"/>
      <c r="M10" s="3"/>
      <c r="N10" s="1"/>
      <c r="O10" s="1"/>
      <c r="P10" s="1"/>
    </row>
    <row r="11" spans="3:16">
      <c r="C11" s="688" t="s">
        <v>158</v>
      </c>
      <c r="D11" s="689"/>
      <c r="E11" s="691">
        <f>E10+1</f>
        <v>46200</v>
      </c>
      <c r="I11" s="692"/>
      <c r="J11" s="3"/>
      <c r="K11" s="3"/>
      <c r="L11" s="1"/>
      <c r="M11" s="3"/>
      <c r="N11" s="1"/>
      <c r="O11" s="1"/>
      <c r="P11" s="1"/>
    </row>
    <row r="12" spans="3:16">
      <c r="C12" s="2289" t="s">
        <v>159</v>
      </c>
      <c r="D12" s="2290"/>
      <c r="E12" s="695">
        <f>J72</f>
        <v>0</v>
      </c>
      <c r="I12" s="1"/>
      <c r="J12" s="696"/>
      <c r="K12" s="3"/>
      <c r="L12" s="1"/>
      <c r="M12" s="3"/>
      <c r="N12" s="1"/>
      <c r="O12" s="1"/>
      <c r="P12" s="1"/>
    </row>
    <row r="13" spans="3:16">
      <c r="C13" s="2289" t="s">
        <v>160</v>
      </c>
      <c r="D13" s="2290"/>
      <c r="E13" s="697" t="str">
        <f>+'EM-TUN'!D2</f>
        <v>1055PPF26062026</v>
      </c>
      <c r="F13" s="633" t="e">
        <f>J72/K20</f>
        <v>#DIV/0!</v>
      </c>
      <c r="G13" s="720"/>
      <c r="H13" s="633"/>
      <c r="I13" s="1"/>
      <c r="J13" s="3"/>
      <c r="K13" s="3"/>
      <c r="L13" s="1"/>
      <c r="M13" s="3"/>
      <c r="N13" s="1"/>
      <c r="O13" s="1"/>
      <c r="P13" s="1"/>
    </row>
    <row r="14" spans="3:16" ht="24" thickBot="1">
      <c r="C14" s="2287" t="s">
        <v>161</v>
      </c>
      <c r="D14" s="2288"/>
      <c r="E14" s="700" t="s">
        <v>39</v>
      </c>
      <c r="F14" s="701" t="s">
        <v>4</v>
      </c>
      <c r="G14" s="701"/>
      <c r="H14" s="701"/>
      <c r="I14" s="1"/>
      <c r="J14" s="3"/>
      <c r="K14" s="3"/>
      <c r="L14" s="1"/>
      <c r="M14" s="3"/>
      <c r="N14" s="1"/>
      <c r="O14" s="1"/>
      <c r="P14" s="1"/>
    </row>
    <row r="15" spans="3:16" ht="24" thickBot="1">
      <c r="C15" s="2291" t="s">
        <v>34</v>
      </c>
      <c r="D15" s="2292"/>
      <c r="E15" s="702" t="str">
        <f>(RIGHT(E13,11))</f>
        <v>PPF26062026</v>
      </c>
      <c r="F15" s="701"/>
      <c r="G15" s="701"/>
      <c r="H15" s="701"/>
      <c r="I15" s="1"/>
      <c r="J15" s="3"/>
      <c r="K15" s="3"/>
      <c r="L15" s="1"/>
      <c r="M15" s="3"/>
      <c r="N15" s="1"/>
      <c r="O15" s="1"/>
      <c r="P15" s="1"/>
    </row>
    <row r="16" spans="3:16" ht="24" thickBot="1">
      <c r="E16" s="3"/>
      <c r="F16" s="1"/>
      <c r="G16" s="1"/>
      <c r="H16" s="1"/>
      <c r="I16" s="1"/>
      <c r="J16" s="3"/>
      <c r="K16" s="3"/>
      <c r="L16" s="1"/>
      <c r="M16" s="3"/>
      <c r="N16" s="1"/>
      <c r="O16" s="1"/>
      <c r="P16" s="1"/>
    </row>
    <row r="17" spans="2:17" ht="26.25" thickBot="1">
      <c r="C17" s="703" t="s">
        <v>373</v>
      </c>
      <c r="D17" s="2276" t="s">
        <v>35</v>
      </c>
      <c r="E17" s="2277"/>
      <c r="F17" s="2277"/>
      <c r="G17" s="2277"/>
      <c r="H17" s="2277"/>
      <c r="I17" s="2277"/>
      <c r="J17" s="2278"/>
      <c r="K17" s="2284" t="s">
        <v>24</v>
      </c>
      <c r="L17" s="1"/>
      <c r="M17" s="3"/>
      <c r="N17" s="1"/>
      <c r="O17" s="1"/>
      <c r="P17" s="1"/>
    </row>
    <row r="18" spans="2:17" ht="24" thickBot="1">
      <c r="C18" s="2282" t="str">
        <f>E9</f>
        <v>POTA A GRANEL</v>
      </c>
      <c r="D18" s="747" t="str">
        <f>+'R.M'!C14</f>
        <v>BVM-831</v>
      </c>
      <c r="E18" s="747" t="str">
        <f>+'R.M'!E14</f>
        <v>BLT-949</v>
      </c>
      <c r="F18" s="747" t="str">
        <f>+'R.M'!G14</f>
        <v>BLZ-782</v>
      </c>
      <c r="G18" s="747"/>
      <c r="H18" s="747"/>
      <c r="I18" s="747"/>
      <c r="J18" s="2175"/>
      <c r="K18" s="2285"/>
      <c r="L18" s="1"/>
      <c r="M18" s="3"/>
      <c r="N18" s="1"/>
      <c r="O18" s="1"/>
      <c r="P18" s="1"/>
    </row>
    <row r="19" spans="2:17" ht="24" thickBot="1">
      <c r="C19" s="2283"/>
      <c r="D19" s="748">
        <f>+'R.M'!C85</f>
        <v>0</v>
      </c>
      <c r="E19" s="748">
        <f>+'R.M'!E85</f>
        <v>0</v>
      </c>
      <c r="F19" s="748">
        <f>+'R.M'!G85</f>
        <v>0</v>
      </c>
      <c r="G19" s="748"/>
      <c r="H19" s="748"/>
      <c r="I19" s="749"/>
      <c r="J19" s="1185"/>
      <c r="K19" s="704">
        <f>IF(COUNT(D19:J19)=0,"",SUM(D19:J19))</f>
        <v>0</v>
      </c>
      <c r="L19" s="1"/>
      <c r="M19" s="3"/>
      <c r="N19" s="1"/>
      <c r="O19" s="1"/>
      <c r="P19" s="1"/>
    </row>
    <row r="20" spans="2:17" ht="24" thickBot="1">
      <c r="C20" s="2279" t="s">
        <v>262</v>
      </c>
      <c r="D20" s="2286"/>
      <c r="E20" s="2286"/>
      <c r="F20" s="2286"/>
      <c r="G20" s="2286"/>
      <c r="H20" s="2286"/>
      <c r="I20" s="2286"/>
      <c r="J20" s="2280"/>
      <c r="K20" s="705">
        <f>IF(K19="","",SUM(K19))</f>
        <v>0</v>
      </c>
      <c r="L20" s="1"/>
      <c r="M20" s="3"/>
      <c r="N20" s="1"/>
      <c r="O20" s="1"/>
      <c r="P20" s="1"/>
    </row>
    <row r="21" spans="2:17" ht="24" thickBot="1">
      <c r="C21" s="1"/>
      <c r="D21" s="1"/>
      <c r="E21" s="4"/>
      <c r="F21" s="4"/>
      <c r="G21" s="4"/>
      <c r="H21" s="4"/>
      <c r="I21" s="1"/>
      <c r="K21" s="634"/>
      <c r="L21" s="1"/>
      <c r="M21" s="3"/>
      <c r="N21" s="1"/>
      <c r="O21" s="1"/>
      <c r="P21" s="1"/>
    </row>
    <row r="22" spans="2:17" ht="24" thickBot="1">
      <c r="B22" s="2279" t="s">
        <v>5</v>
      </c>
      <c r="C22" s="2280"/>
      <c r="D22" s="3"/>
      <c r="E22" s="706" t="s">
        <v>203</v>
      </c>
      <c r="F22" s="707" t="s">
        <v>203</v>
      </c>
      <c r="G22" s="708" t="s">
        <v>144</v>
      </c>
      <c r="H22" s="708" t="s">
        <v>144</v>
      </c>
      <c r="I22" s="709"/>
      <c r="J22" s="709"/>
      <c r="K22" s="710"/>
      <c r="L22" s="1"/>
      <c r="M22" s="3"/>
      <c r="N22" s="1"/>
      <c r="O22" s="1"/>
      <c r="P22" s="1"/>
      <c r="Q22" s="1"/>
    </row>
    <row r="23" spans="2:17" ht="24" thickBot="1">
      <c r="B23" s="711" t="s">
        <v>134</v>
      </c>
      <c r="C23" s="712" t="s">
        <v>6</v>
      </c>
      <c r="D23" s="712"/>
      <c r="E23" s="713" t="s">
        <v>25</v>
      </c>
      <c r="F23" s="714" t="s">
        <v>26</v>
      </c>
      <c r="G23" s="713" t="s">
        <v>25</v>
      </c>
      <c r="H23" s="713" t="s">
        <v>26</v>
      </c>
      <c r="I23" s="713" t="s">
        <v>7</v>
      </c>
      <c r="J23" s="715" t="s">
        <v>8</v>
      </c>
      <c r="K23" s="11"/>
      <c r="L23" s="11"/>
      <c r="M23" s="3" t="s">
        <v>60</v>
      </c>
      <c r="N23" s="1"/>
      <c r="O23" s="1"/>
      <c r="P23" s="1"/>
      <c r="Q23" s="1"/>
    </row>
    <row r="24" spans="2:17">
      <c r="B24" s="716">
        <v>1</v>
      </c>
      <c r="C24" s="717" t="s">
        <v>42</v>
      </c>
      <c r="D24" s="717"/>
      <c r="E24" s="635">
        <f>+'EM-TUN'!CC6</f>
        <v>0</v>
      </c>
      <c r="F24" s="636">
        <f t="shared" ref="F24:F47" si="0">+E24</f>
        <v>0</v>
      </c>
      <c r="G24" s="637">
        <f>+'EM-PLA'!BC6</f>
        <v>0</v>
      </c>
      <c r="H24" s="636">
        <f>+G24</f>
        <v>0</v>
      </c>
      <c r="I24" s="636">
        <f t="shared" ref="I24:I47" si="1">+E24+G24</f>
        <v>0</v>
      </c>
      <c r="J24" s="636">
        <f t="shared" ref="J24:J47" si="2">(E24+G24)*20</f>
        <v>0</v>
      </c>
      <c r="K24" s="12"/>
      <c r="L24" s="15"/>
      <c r="M24" s="1616" t="str">
        <f>IF($C24="","",IFERROR(IF(INDEX(COLORES!$D:$D,MATCH($C24,COLORES!$C:$C,0))=0,"",INDEX(COLORES!$D:$D,MATCH($C24,COLORES!$C:$C,0))),IFERROR(IF(INDEX(COLORES!$D:$D,MATCH($C24&amp;"S",COLORES!$C:$C,0))=0,"",INDEX(COLORES!$D:$D,MATCH($C24&amp;"S",COLORES!$C:$C,0))),"")))</f>
        <v>AZUL</v>
      </c>
      <c r="N24" s="1"/>
      <c r="O24" s="1"/>
      <c r="P24" s="1"/>
      <c r="Q24" s="1"/>
    </row>
    <row r="25" spans="2:17">
      <c r="B25" s="719">
        <v>2</v>
      </c>
      <c r="C25" s="720" t="s">
        <v>43</v>
      </c>
      <c r="D25" s="720"/>
      <c r="E25" s="638">
        <f>+'EM-TUN'!CC7</f>
        <v>0</v>
      </c>
      <c r="F25" s="639">
        <f t="shared" si="0"/>
        <v>0</v>
      </c>
      <c r="G25" s="640">
        <f>+'EM-PLA'!BC7</f>
        <v>0</v>
      </c>
      <c r="H25" s="639">
        <f>+G25</f>
        <v>0</v>
      </c>
      <c r="I25" s="639">
        <f t="shared" si="1"/>
        <v>0</v>
      </c>
      <c r="J25" s="639">
        <f t="shared" si="2"/>
        <v>0</v>
      </c>
      <c r="K25" s="12"/>
      <c r="L25" s="15"/>
      <c r="M25" s="1616" t="str">
        <f>IF($C25="","",IFERROR(IF(INDEX(COLORES!$D:$D,MATCH($C25,COLORES!$C:$C,0))=0,"",INDEX(COLORES!$D:$D,MATCH($C25,COLORES!$C:$C,0))),IFERROR(IF(INDEX(COLORES!$D:$D,MATCH($C25&amp;"S",COLORES!$C:$C,0))=0,"",INDEX(COLORES!$D:$D,MATCH($C25&amp;"S",COLORES!$C:$C,0))),"")))</f>
        <v>AMARILLO</v>
      </c>
      <c r="N25" s="1"/>
      <c r="O25" s="1"/>
      <c r="P25" s="1"/>
      <c r="Q25" s="1"/>
    </row>
    <row r="26" spans="2:17" ht="24" thickBot="1">
      <c r="B26" s="721">
        <v>3</v>
      </c>
      <c r="C26" s="720" t="s">
        <v>420</v>
      </c>
      <c r="D26" s="722"/>
      <c r="E26" s="641">
        <f>+'EM-TUN'!CC8</f>
        <v>0</v>
      </c>
      <c r="F26" s="642">
        <f t="shared" si="0"/>
        <v>0</v>
      </c>
      <c r="G26" s="643">
        <f>+'EM-PLA'!BC8</f>
        <v>0</v>
      </c>
      <c r="H26" s="642">
        <f t="shared" ref="H26:H47" si="3">+G26</f>
        <v>0</v>
      </c>
      <c r="I26" s="642">
        <f t="shared" si="1"/>
        <v>0</v>
      </c>
      <c r="J26" s="642">
        <f t="shared" si="2"/>
        <v>0</v>
      </c>
      <c r="K26" s="10"/>
      <c r="L26" s="15"/>
      <c r="M26" s="1616" t="str">
        <f>IF($C26="","",IFERROR(IF(INDEX(COLORES!$D:$D,MATCH($C26,COLORES!$C:$C,0))=0,"",INDEX(COLORES!$D:$D,MATCH($C26,COLORES!$C:$C,0))),IFERROR(IF(INDEX(COLORES!$D:$D,MATCH($C26&amp;"S",COLORES!$C:$C,0))=0,"",INDEX(COLORES!$D:$D,MATCH($C26&amp;"S",COLORES!$C:$C,0))),"")))</f>
        <v>NARANJA</v>
      </c>
      <c r="N26" s="1"/>
      <c r="O26" s="1"/>
      <c r="P26" s="1"/>
      <c r="Q26" s="1"/>
    </row>
    <row r="27" spans="2:17">
      <c r="B27" s="716">
        <v>4</v>
      </c>
      <c r="C27" s="723" t="s">
        <v>207</v>
      </c>
      <c r="D27" s="724"/>
      <c r="E27" s="635">
        <f>+'EM-TUN'!CC9</f>
        <v>0</v>
      </c>
      <c r="F27" s="644">
        <f t="shared" si="0"/>
        <v>0</v>
      </c>
      <c r="G27" s="637">
        <f>+'EM-PLA'!BC9</f>
        <v>0</v>
      </c>
      <c r="H27" s="636">
        <f t="shared" si="3"/>
        <v>0</v>
      </c>
      <c r="I27" s="636">
        <f t="shared" si="1"/>
        <v>0</v>
      </c>
      <c r="J27" s="645">
        <f t="shared" si="2"/>
        <v>0</v>
      </c>
      <c r="K27" s="13"/>
      <c r="L27" s="15"/>
      <c r="M27" s="1616" t="str">
        <f>IF($C27="","",IFERROR(IF(INDEX(COLORES!$D:$D,MATCH($C27,COLORES!$C:$C,0))=0,"",INDEX(COLORES!$D:$D,MATCH($C27,COLORES!$C:$C,0))),IFERROR(IF(INDEX(COLORES!$D:$D,MATCH($C27&amp;"S",COLORES!$C:$C,0))=0,"",INDEX(COLORES!$D:$D,MATCH($C27&amp;"S",COLORES!$C:$C,0))),"")))</f>
        <v>BLANCO</v>
      </c>
      <c r="N27" s="1"/>
      <c r="O27" s="1"/>
      <c r="P27" s="1"/>
    </row>
    <row r="28" spans="2:17">
      <c r="B28" s="719">
        <v>5</v>
      </c>
      <c r="C28" s="725" t="s">
        <v>44</v>
      </c>
      <c r="D28" s="726"/>
      <c r="E28" s="638">
        <f>+'EM-TUN'!CC10</f>
        <v>0</v>
      </c>
      <c r="F28" s="646">
        <f t="shared" si="0"/>
        <v>0</v>
      </c>
      <c r="G28" s="640">
        <f>+'EM-PLA'!BC10</f>
        <v>0</v>
      </c>
      <c r="H28" s="639">
        <f t="shared" si="3"/>
        <v>0</v>
      </c>
      <c r="I28" s="639">
        <f t="shared" si="1"/>
        <v>0</v>
      </c>
      <c r="J28" s="647">
        <f t="shared" si="2"/>
        <v>0</v>
      </c>
      <c r="K28" s="12"/>
      <c r="L28" s="15"/>
      <c r="M28" s="1616" t="str">
        <f>IF($C28="","",IFERROR(IF(INDEX(COLORES!$D:$D,MATCH($C28,COLORES!$C:$C,0))=0,"",INDEX(COLORES!$D:$D,MATCH($C28,COLORES!$C:$C,0))),IFERROR(IF(INDEX(COLORES!$D:$D,MATCH($C28&amp;"S",COLORES!$C:$C,0))=0,"",INDEX(COLORES!$D:$D,MATCH($C28&amp;"S",COLORES!$C:$C,0))),"")))</f>
        <v>CRISTAL</v>
      </c>
      <c r="N28" s="1"/>
      <c r="O28" s="1"/>
      <c r="P28" s="2274"/>
      <c r="Q28" s="2274"/>
    </row>
    <row r="29" spans="2:17">
      <c r="B29" s="719">
        <v>6</v>
      </c>
      <c r="C29" s="725" t="s">
        <v>45</v>
      </c>
      <c r="D29" s="726"/>
      <c r="E29" s="638">
        <f>+'EM-TUN'!CC11</f>
        <v>0</v>
      </c>
      <c r="F29" s="646">
        <f t="shared" si="0"/>
        <v>0</v>
      </c>
      <c r="G29" s="640">
        <f>+'EM-PLA'!BC11</f>
        <v>0</v>
      </c>
      <c r="H29" s="639">
        <f t="shared" si="3"/>
        <v>0</v>
      </c>
      <c r="I29" s="639">
        <f t="shared" si="1"/>
        <v>0</v>
      </c>
      <c r="J29" s="647">
        <f t="shared" si="2"/>
        <v>0</v>
      </c>
      <c r="K29" s="11"/>
      <c r="L29" s="15"/>
      <c r="M29" s="1616" t="str">
        <f>IF($C29="","",IFERROR(IF(INDEX(COLORES!$D:$D,MATCH($C29,COLORES!$C:$C,0))=0,"",INDEX(COLORES!$D:$D,MATCH($C29,COLORES!$C:$C,0))),IFERROR(IF(INDEX(COLORES!$D:$D,MATCH($C29&amp;"S",COLORES!$C:$C,0))=0,"",INDEX(COLORES!$D:$D,MATCH($C29&amp;"S",COLORES!$C:$C,0))),"")))</f>
        <v>NARANJA</v>
      </c>
      <c r="N29" s="1"/>
      <c r="O29" s="1"/>
      <c r="P29" s="648"/>
      <c r="Q29" s="648"/>
    </row>
    <row r="30" spans="2:17">
      <c r="B30" s="719">
        <v>7</v>
      </c>
      <c r="C30" s="725" t="s">
        <v>46</v>
      </c>
      <c r="D30" s="726"/>
      <c r="E30" s="638">
        <f>+'EM-TUN'!CC12</f>
        <v>0</v>
      </c>
      <c r="F30" s="646">
        <f t="shared" si="0"/>
        <v>0</v>
      </c>
      <c r="G30" s="640">
        <f>+'EM-PLA'!BC12</f>
        <v>0</v>
      </c>
      <c r="H30" s="639">
        <f t="shared" si="3"/>
        <v>0</v>
      </c>
      <c r="I30" s="639">
        <f t="shared" si="1"/>
        <v>0</v>
      </c>
      <c r="J30" s="647">
        <f t="shared" si="2"/>
        <v>0</v>
      </c>
      <c r="K30" s="11"/>
      <c r="L30" s="15"/>
      <c r="M30" s="1616" t="str">
        <f>IF($C30="","",IFERROR(IF(INDEX(COLORES!$D:$D,MATCH($C30,COLORES!$C:$C,0))=0,"",INDEX(COLORES!$D:$D,MATCH($C30,COLORES!$C:$C,0))),IFERROR(IF(INDEX(COLORES!$D:$D,MATCH($C30&amp;"S",COLORES!$C:$C,0))=0,"",INDEX(COLORES!$D:$D,MATCH($C30&amp;"S",COLORES!$C:$C,0))),"")))</f>
        <v>AZUL</v>
      </c>
      <c r="N30" s="1"/>
      <c r="O30" s="1"/>
      <c r="P30" s="648"/>
      <c r="Q30" s="648"/>
    </row>
    <row r="31" spans="2:17">
      <c r="B31" s="719">
        <v>8</v>
      </c>
      <c r="C31" s="725" t="s">
        <v>210</v>
      </c>
      <c r="D31" s="726"/>
      <c r="E31" s="638">
        <f>+'EM-TUN'!CC13</f>
        <v>0</v>
      </c>
      <c r="F31" s="646">
        <f t="shared" si="0"/>
        <v>0</v>
      </c>
      <c r="G31" s="640">
        <f>+'EM-PLA'!BC13</f>
        <v>0</v>
      </c>
      <c r="H31" s="639">
        <f t="shared" si="3"/>
        <v>0</v>
      </c>
      <c r="I31" s="639">
        <f t="shared" si="1"/>
        <v>0</v>
      </c>
      <c r="J31" s="647">
        <f t="shared" si="2"/>
        <v>0</v>
      </c>
      <c r="K31" s="11"/>
      <c r="L31" s="15"/>
      <c r="M31" s="1616" t="str">
        <f>IF($C31="","",IFERROR(IF(INDEX(COLORES!$D:$D,MATCH($C31,COLORES!$C:$C,0))=0,"",INDEX(COLORES!$D:$D,MATCH($C31,COLORES!$C:$C,0))),IFERROR(IF(INDEX(COLORES!$D:$D,MATCH($C31&amp;"S",COLORES!$C:$C,0))=0,"",INDEX(COLORES!$D:$D,MATCH($C31&amp;"S",COLORES!$C:$C,0))),"")))</f>
        <v>VERDE</v>
      </c>
      <c r="N31" s="1"/>
      <c r="O31" s="1"/>
      <c r="P31" s="2275"/>
      <c r="Q31" s="2275"/>
    </row>
    <row r="32" spans="2:17">
      <c r="B32" s="719">
        <v>9</v>
      </c>
      <c r="C32" s="725" t="s">
        <v>205</v>
      </c>
      <c r="D32" s="726"/>
      <c r="E32" s="638">
        <f>+'EM-TUN'!CC14</f>
        <v>0</v>
      </c>
      <c r="F32" s="646">
        <f t="shared" si="0"/>
        <v>0</v>
      </c>
      <c r="G32" s="640">
        <f>+'EM-PLA'!BC14</f>
        <v>0</v>
      </c>
      <c r="H32" s="639">
        <f t="shared" si="3"/>
        <v>0</v>
      </c>
      <c r="I32" s="639">
        <f t="shared" si="1"/>
        <v>0</v>
      </c>
      <c r="J32" s="647">
        <f t="shared" si="2"/>
        <v>0</v>
      </c>
      <c r="K32" s="11"/>
      <c r="L32" s="15"/>
      <c r="M32" s="1616" t="str">
        <f>IF($C32="","",IFERROR(IF(INDEX(COLORES!$D:$D,MATCH($C32,COLORES!$C:$C,0))=0,"",INDEX(COLORES!$D:$D,MATCH($C32,COLORES!$C:$C,0))),IFERROR(IF(INDEX(COLORES!$D:$D,MATCH($C32&amp;"S",COLORES!$C:$C,0))=0,"",INDEX(COLORES!$D:$D,MATCH($C32&amp;"S",COLORES!$C:$C,0))),"")))</f>
        <v>NARANJA</v>
      </c>
      <c r="N32" s="1"/>
      <c r="O32" s="1"/>
      <c r="P32" s="648"/>
      <c r="Q32" s="648"/>
    </row>
    <row r="33" spans="2:17" ht="24" thickBot="1">
      <c r="B33" s="721">
        <v>10</v>
      </c>
      <c r="C33" s="727" t="s">
        <v>208</v>
      </c>
      <c r="D33" s="728"/>
      <c r="E33" s="641">
        <f>+'EM-TUN'!CC15</f>
        <v>0</v>
      </c>
      <c r="F33" s="649">
        <f t="shared" si="0"/>
        <v>0</v>
      </c>
      <c r="G33" s="640">
        <f>+'EM-PLA'!BC15</f>
        <v>0</v>
      </c>
      <c r="H33" s="642">
        <f t="shared" si="3"/>
        <v>0</v>
      </c>
      <c r="I33" s="642">
        <f t="shared" si="1"/>
        <v>0</v>
      </c>
      <c r="J33" s="650">
        <f t="shared" si="2"/>
        <v>0</v>
      </c>
      <c r="K33" s="11"/>
      <c r="L33" s="15"/>
      <c r="M33" s="1616" t="str">
        <f>IF($C33="","",IFERROR(IF(INDEX(COLORES!$D:$D,MATCH($C33,COLORES!$C:$C,0))=0,"",INDEX(COLORES!$D:$D,MATCH($C33,COLORES!$C:$C,0))),IFERROR(IF(INDEX(COLORES!$D:$D,MATCH($C33&amp;"S",COLORES!$C:$C,0))=0,"",INDEX(COLORES!$D:$D,MATCH($C33&amp;"S",COLORES!$C:$C,0))),"")))</f>
        <v>CRISTAL</v>
      </c>
      <c r="N33" s="1"/>
      <c r="O33" s="1"/>
      <c r="P33" s="648"/>
      <c r="Q33" s="648"/>
    </row>
    <row r="34" spans="2:17">
      <c r="B34" s="719">
        <v>11</v>
      </c>
      <c r="C34" s="717" t="s">
        <v>47</v>
      </c>
      <c r="D34" s="717"/>
      <c r="E34" s="635">
        <f>+'EM-TUN'!CC16</f>
        <v>0</v>
      </c>
      <c r="F34" s="646">
        <f t="shared" si="0"/>
        <v>0</v>
      </c>
      <c r="G34" s="637">
        <f>+'EM-PLA'!BC16</f>
        <v>0</v>
      </c>
      <c r="H34" s="639">
        <f t="shared" si="3"/>
        <v>0</v>
      </c>
      <c r="I34" s="639">
        <f t="shared" si="1"/>
        <v>0</v>
      </c>
      <c r="J34" s="647">
        <f t="shared" si="2"/>
        <v>0</v>
      </c>
      <c r="K34" s="12"/>
      <c r="L34" s="15"/>
      <c r="M34" s="1616" t="str">
        <f>IF($C34="","",IFERROR(IF(INDEX(COLORES!$D:$D,MATCH($C34,COLORES!$C:$C,0))=0,"",INDEX(COLORES!$D:$D,MATCH($C34,COLORES!$C:$C,0))),IFERROR(IF(INDEX(COLORES!$D:$D,MATCH($C34&amp;"S",COLORES!$C:$C,0))=0,"",INDEX(COLORES!$D:$D,MATCH($C34&amp;"S",COLORES!$C:$C,0))),"")))</f>
        <v>VERDE</v>
      </c>
      <c r="N34" s="1"/>
      <c r="O34" s="1"/>
      <c r="P34" s="2275"/>
      <c r="Q34" s="2275"/>
    </row>
    <row r="35" spans="2:17" ht="24" thickBot="1">
      <c r="B35" s="719">
        <v>12</v>
      </c>
      <c r="C35" s="722" t="s">
        <v>48</v>
      </c>
      <c r="D35" s="722"/>
      <c r="E35" s="641">
        <f>+'EM-TUN'!CC17</f>
        <v>0</v>
      </c>
      <c r="F35" s="646">
        <f t="shared" si="0"/>
        <v>0</v>
      </c>
      <c r="G35" s="640">
        <f>+'EM-PLA'!BC17</f>
        <v>0</v>
      </c>
      <c r="H35" s="639">
        <f t="shared" si="3"/>
        <v>0</v>
      </c>
      <c r="I35" s="639">
        <f t="shared" si="1"/>
        <v>0</v>
      </c>
      <c r="J35" s="647">
        <f t="shared" si="2"/>
        <v>0</v>
      </c>
      <c r="K35" s="12"/>
      <c r="L35" s="15"/>
      <c r="M35" s="1616" t="str">
        <f>IF($C35="","",IFERROR(IF(INDEX(COLORES!$D:$D,MATCH($C35,COLORES!$C:$C,0))=0,"",INDEX(COLORES!$D:$D,MATCH($C35,COLORES!$C:$C,0))),IFERROR(IF(INDEX(COLORES!$D:$D,MATCH($C35&amp;"S",COLORES!$C:$C,0))=0,"",INDEX(COLORES!$D:$D,MATCH($C35&amp;"S",COLORES!$C:$C,0))),"")))</f>
        <v>ROSADO</v>
      </c>
      <c r="N35" s="1"/>
      <c r="O35" s="1"/>
      <c r="P35" s="648"/>
      <c r="Q35" s="648"/>
    </row>
    <row r="36" spans="2:17" ht="24" thickBot="1">
      <c r="B36" s="729">
        <v>13</v>
      </c>
      <c r="C36" s="720" t="s">
        <v>206</v>
      </c>
      <c r="D36" s="720"/>
      <c r="E36" s="651">
        <f>+'EM-TUN'!CC18</f>
        <v>0</v>
      </c>
      <c r="F36" s="652">
        <f t="shared" si="0"/>
        <v>0</v>
      </c>
      <c r="G36" s="637">
        <f>+'EM-PLA'!BC18</f>
        <v>0</v>
      </c>
      <c r="H36" s="653">
        <f t="shared" si="3"/>
        <v>0</v>
      </c>
      <c r="I36" s="653">
        <f t="shared" si="1"/>
        <v>0</v>
      </c>
      <c r="J36" s="654">
        <f t="shared" si="2"/>
        <v>0</v>
      </c>
      <c r="K36" s="12"/>
      <c r="L36" s="15"/>
      <c r="M36" s="1616" t="str">
        <f>IF($C36="","",IFERROR(IF(INDEX(COLORES!$D:$D,MATCH($C36,COLORES!$C:$C,0))=0,"",INDEX(COLORES!$D:$D,MATCH($C36,COLORES!$C:$C,0))),IFERROR(IF(INDEX(COLORES!$D:$D,MATCH($C36&amp;"S",COLORES!$C:$C,0))=0,"",INDEX(COLORES!$D:$D,MATCH($C36&amp;"S",COLORES!$C:$C,0))),"")))</f>
        <v>CRISTAL</v>
      </c>
      <c r="N36" s="1"/>
      <c r="O36" s="1"/>
      <c r="P36" s="648"/>
      <c r="Q36" s="648"/>
    </row>
    <row r="37" spans="2:17">
      <c r="B37" s="719">
        <v>14</v>
      </c>
      <c r="C37" s="717" t="s">
        <v>202</v>
      </c>
      <c r="D37" s="717"/>
      <c r="E37" s="635">
        <f>+'EM-TUN'!CC19</f>
        <v>0</v>
      </c>
      <c r="F37" s="644">
        <f t="shared" si="0"/>
        <v>0</v>
      </c>
      <c r="G37" s="637">
        <f>+'EM-PLA'!BC19</f>
        <v>0</v>
      </c>
      <c r="H37" s="636">
        <f t="shared" si="3"/>
        <v>0</v>
      </c>
      <c r="I37" s="636">
        <f t="shared" si="1"/>
        <v>0</v>
      </c>
      <c r="J37" s="645">
        <f t="shared" si="2"/>
        <v>0</v>
      </c>
      <c r="K37" s="12"/>
      <c r="L37" s="15"/>
      <c r="M37" s="1616" t="str">
        <f>IF($C37="","",IFERROR(IF(INDEX(COLORES!$D:$D,MATCH($C37,COLORES!$C:$C,0))=0,"",INDEX(COLORES!$D:$D,MATCH($C37,COLORES!$C:$C,0))),IFERROR(IF(INDEX(COLORES!$D:$D,MATCH($C37&amp;"S",COLORES!$C:$C,0))=0,"",INDEX(COLORES!$D:$D,MATCH($C37&amp;"S",COLORES!$C:$C,0))),"")))</f>
        <v>AMARILLO</v>
      </c>
      <c r="N37" s="1"/>
      <c r="O37" s="1"/>
      <c r="P37" s="2275"/>
      <c r="Q37" s="2275"/>
    </row>
    <row r="38" spans="2:17">
      <c r="B38" s="719">
        <v>15</v>
      </c>
      <c r="C38" s="720" t="s">
        <v>339</v>
      </c>
      <c r="D38" s="720"/>
      <c r="E38" s="638">
        <f>+'EM-TUN'!CC20</f>
        <v>0</v>
      </c>
      <c r="F38" s="646">
        <f t="shared" si="0"/>
        <v>0</v>
      </c>
      <c r="G38" s="640">
        <f>+'EM-PLA'!BC20</f>
        <v>0</v>
      </c>
      <c r="H38" s="639">
        <f t="shared" si="3"/>
        <v>0</v>
      </c>
      <c r="I38" s="639">
        <f t="shared" si="1"/>
        <v>0</v>
      </c>
      <c r="J38" s="647">
        <f t="shared" si="2"/>
        <v>0</v>
      </c>
      <c r="K38" s="12"/>
      <c r="L38" s="15"/>
      <c r="M38" s="1616" t="str">
        <f>IF($C38="","",IFERROR(IF(INDEX(COLORES!$D:$D,MATCH($C38,COLORES!$C:$C,0))=0,"",INDEX(COLORES!$D:$D,MATCH($C38,COLORES!$C:$C,0))),IFERROR(IF(INDEX(COLORES!$D:$D,MATCH($C38&amp;"S",COLORES!$C:$C,0))=0,"",INDEX(COLORES!$D:$D,MATCH($C38&amp;"S",COLORES!$C:$C,0))),"")))</f>
        <v>ROJO</v>
      </c>
      <c r="N38" s="1"/>
      <c r="O38" s="1"/>
      <c r="P38" s="648"/>
      <c r="Q38" s="648"/>
    </row>
    <row r="39" spans="2:17">
      <c r="B39" s="719">
        <v>16</v>
      </c>
      <c r="C39" s="720" t="s">
        <v>340</v>
      </c>
      <c r="D39" s="720"/>
      <c r="E39" s="638">
        <f>+'EM-TUN'!CC21</f>
        <v>0</v>
      </c>
      <c r="F39" s="646">
        <f t="shared" si="0"/>
        <v>0</v>
      </c>
      <c r="G39" s="640">
        <f>+'EM-PLA'!BC21</f>
        <v>0</v>
      </c>
      <c r="H39" s="639">
        <f t="shared" si="3"/>
        <v>0</v>
      </c>
      <c r="I39" s="639">
        <f t="shared" si="1"/>
        <v>0</v>
      </c>
      <c r="J39" s="647">
        <f t="shared" si="2"/>
        <v>0</v>
      </c>
      <c r="K39" s="12"/>
      <c r="L39" s="15"/>
      <c r="M39" s="1616" t="str">
        <f>IF($C39="","",IFERROR(IF(INDEX(COLORES!$D:$D,MATCH($C39,COLORES!$C:$C,0))=0,"",INDEX(COLORES!$D:$D,MATCH($C39,COLORES!$C:$C,0))),IFERROR(IF(INDEX(COLORES!$D:$D,MATCH($C39&amp;"S",COLORES!$C:$C,0))=0,"",INDEX(COLORES!$D:$D,MATCH($C39&amp;"S",COLORES!$C:$C,0))),"")))</f>
        <v>BLANCO</v>
      </c>
      <c r="N39" s="1"/>
      <c r="O39" s="1"/>
      <c r="P39" s="648"/>
      <c r="Q39" s="648"/>
    </row>
    <row r="40" spans="2:17">
      <c r="B40" s="719">
        <v>17</v>
      </c>
      <c r="C40" s="720" t="s">
        <v>61</v>
      </c>
      <c r="D40" s="720"/>
      <c r="E40" s="638">
        <f>+'EM-TUN'!CC22</f>
        <v>0</v>
      </c>
      <c r="F40" s="646">
        <f t="shared" si="0"/>
        <v>0</v>
      </c>
      <c r="G40" s="640">
        <f>+'EM-PLA'!BC22</f>
        <v>0</v>
      </c>
      <c r="H40" s="639">
        <f t="shared" si="3"/>
        <v>0</v>
      </c>
      <c r="I40" s="639">
        <f t="shared" si="1"/>
        <v>0</v>
      </c>
      <c r="J40" s="647">
        <f t="shared" si="2"/>
        <v>0</v>
      </c>
      <c r="K40" s="12"/>
      <c r="L40" s="15"/>
      <c r="M40" s="1616" t="str">
        <f>IF($C40="","",IFERROR(IF(INDEX(COLORES!$D:$D,MATCH($C40,COLORES!$C:$C,0))=0,"",INDEX(COLORES!$D:$D,MATCH($C40,COLORES!$C:$C,0))),IFERROR(IF(INDEX(COLORES!$D:$D,MATCH($C40&amp;"S",COLORES!$C:$C,0))=0,"",INDEX(COLORES!$D:$D,MATCH($C40&amp;"S",COLORES!$C:$C,0))),"")))</f>
        <v>ROJO</v>
      </c>
      <c r="N40" s="1"/>
      <c r="O40" s="1"/>
      <c r="P40" s="648"/>
      <c r="Q40" s="648"/>
    </row>
    <row r="41" spans="2:17">
      <c r="B41" s="719">
        <v>18</v>
      </c>
      <c r="C41" s="720" t="s">
        <v>62</v>
      </c>
      <c r="D41" s="720"/>
      <c r="E41" s="638">
        <f>+'EM-TUN'!CC23</f>
        <v>0</v>
      </c>
      <c r="F41" s="646">
        <f t="shared" si="0"/>
        <v>0</v>
      </c>
      <c r="G41" s="640">
        <f>+'EM-PLA'!BC23</f>
        <v>0</v>
      </c>
      <c r="H41" s="639">
        <f t="shared" si="3"/>
        <v>0</v>
      </c>
      <c r="I41" s="639">
        <f t="shared" si="1"/>
        <v>0</v>
      </c>
      <c r="J41" s="647">
        <f t="shared" si="2"/>
        <v>0</v>
      </c>
      <c r="K41" s="8"/>
      <c r="L41" s="15"/>
      <c r="M41" s="1616" t="str">
        <f>IF($C41="","",IFERROR(IF(INDEX(COLORES!$D:$D,MATCH($C41,COLORES!$C:$C,0))=0,"",INDEX(COLORES!$D:$D,MATCH($C41,COLORES!$C:$C,0))),IFERROR(IF(INDEX(COLORES!$D:$D,MATCH($C41&amp;"S",COLORES!$C:$C,0))=0,"",INDEX(COLORES!$D:$D,MATCH($C41&amp;"S",COLORES!$C:$C,0))),"")))</f>
        <v>BLANCO</v>
      </c>
      <c r="N41" s="1"/>
      <c r="O41" s="1"/>
      <c r="P41" s="648"/>
      <c r="Q41" s="648"/>
    </row>
    <row r="42" spans="2:17" ht="24" thickBot="1">
      <c r="B42" s="719">
        <v>19</v>
      </c>
      <c r="C42" s="722" t="s">
        <v>49</v>
      </c>
      <c r="D42" s="722"/>
      <c r="E42" s="641">
        <f>+'EM-TUN'!CC24</f>
        <v>0</v>
      </c>
      <c r="F42" s="649">
        <f t="shared" si="0"/>
        <v>0</v>
      </c>
      <c r="G42" s="643">
        <f>+'EM-PLA'!BC24</f>
        <v>0</v>
      </c>
      <c r="H42" s="642">
        <f t="shared" si="3"/>
        <v>0</v>
      </c>
      <c r="I42" s="642">
        <f t="shared" si="1"/>
        <v>0</v>
      </c>
      <c r="J42" s="650">
        <f t="shared" si="2"/>
        <v>0</v>
      </c>
      <c r="K42" s="8"/>
      <c r="L42" s="15"/>
      <c r="M42" s="1616" t="str">
        <f>IF($C42="","",IFERROR(IF(INDEX(COLORES!$D:$D,MATCH($C42,COLORES!$C:$C,0))=0,"",INDEX(COLORES!$D:$D,MATCH($C42,COLORES!$C:$C,0))),IFERROR(IF(INDEX(COLORES!$D:$D,MATCH($C42&amp;"S",COLORES!$C:$C,0))=0,"",INDEX(COLORES!$D:$D,MATCH($C42&amp;"S",COLORES!$C:$C,0))),"")))</f>
        <v>BLANCO</v>
      </c>
      <c r="N42" s="1"/>
      <c r="O42" s="1"/>
      <c r="P42" s="648"/>
      <c r="Q42" s="648"/>
    </row>
    <row r="43" spans="2:17">
      <c r="B43" s="716">
        <v>20</v>
      </c>
      <c r="C43" s="717" t="s">
        <v>209</v>
      </c>
      <c r="D43" s="724"/>
      <c r="E43" s="635">
        <f>+'EM-TUN'!CC25</f>
        <v>0</v>
      </c>
      <c r="F43" s="644">
        <f t="shared" si="0"/>
        <v>0</v>
      </c>
      <c r="G43" s="637">
        <f>+'EM-PLA'!BC25</f>
        <v>0</v>
      </c>
      <c r="H43" s="636">
        <f t="shared" si="3"/>
        <v>0</v>
      </c>
      <c r="I43" s="636">
        <f t="shared" si="1"/>
        <v>0</v>
      </c>
      <c r="J43" s="645">
        <f t="shared" si="2"/>
        <v>0</v>
      </c>
      <c r="K43" s="11"/>
      <c r="L43" s="15"/>
      <c r="M43" s="1616" t="str">
        <f>IF($C43="","",IFERROR(IF(INDEX(COLORES!$D:$D,MATCH($C43,COLORES!$C:$C,0))=0,"",INDEX(COLORES!$D:$D,MATCH($C43,COLORES!$C:$C,0))),IFERROR(IF(INDEX(COLORES!$D:$D,MATCH($C43&amp;"S",COLORES!$C:$C,0))=0,"",INDEX(COLORES!$D:$D,MATCH($C43&amp;"S",COLORES!$C:$C,0))),"")))</f>
        <v>NARANJA</v>
      </c>
      <c r="N43" s="1"/>
      <c r="O43" s="1"/>
      <c r="P43" s="648"/>
      <c r="Q43" s="648"/>
    </row>
    <row r="44" spans="2:17">
      <c r="B44" s="719">
        <v>21</v>
      </c>
      <c r="C44" s="720" t="s">
        <v>213</v>
      </c>
      <c r="D44" s="726"/>
      <c r="E44" s="638">
        <f>+'EM-TUN'!CC26</f>
        <v>0</v>
      </c>
      <c r="F44" s="646">
        <f t="shared" si="0"/>
        <v>0</v>
      </c>
      <c r="G44" s="640">
        <f>+'EM-PLA'!BC26</f>
        <v>0</v>
      </c>
      <c r="H44" s="639">
        <f t="shared" si="3"/>
        <v>0</v>
      </c>
      <c r="I44" s="639">
        <f t="shared" si="1"/>
        <v>0</v>
      </c>
      <c r="J44" s="647">
        <f t="shared" si="2"/>
        <v>0</v>
      </c>
      <c r="K44" s="8"/>
      <c r="L44" s="15"/>
      <c r="M44" s="1617" t="str">
        <f>IF($C44="","",IFERROR(IF(INDEX(COLORES!$D:$D,MATCH($C44,COLORES!$C:$C,0))=0,"",INDEX(COLORES!$D:$D,MATCH($C44,COLORES!$C:$C,0))),IFERROR(IF(INDEX(COLORES!$D:$D,MATCH($C44&amp;"S",COLORES!$C:$C,0))=0,"",INDEX(COLORES!$D:$D,MATCH($C44&amp;"S",COLORES!$C:$C,0))),"")))</f>
        <v>LILA</v>
      </c>
      <c r="N44" s="1"/>
      <c r="O44" s="1"/>
      <c r="P44" s="648"/>
      <c r="Q44" s="648"/>
    </row>
    <row r="45" spans="2:17">
      <c r="B45" s="719">
        <v>22</v>
      </c>
      <c r="C45" s="720" t="s">
        <v>214</v>
      </c>
      <c r="D45" s="726"/>
      <c r="E45" s="638">
        <f>+'EM-TUN'!CC27</f>
        <v>0</v>
      </c>
      <c r="F45" s="646">
        <f t="shared" si="0"/>
        <v>0</v>
      </c>
      <c r="G45" s="640">
        <f>+'EM-PLA'!BC27</f>
        <v>0</v>
      </c>
      <c r="H45" s="639">
        <f t="shared" si="3"/>
        <v>0</v>
      </c>
      <c r="I45" s="639">
        <f t="shared" si="1"/>
        <v>0</v>
      </c>
      <c r="J45" s="647">
        <f t="shared" si="2"/>
        <v>0</v>
      </c>
      <c r="K45" s="8"/>
      <c r="L45" s="15"/>
      <c r="M45" s="1617" t="str">
        <f>IF($C45="","",IFERROR(IF(INDEX(COLORES!$D:$D,MATCH($C45,COLORES!$C:$C,0))=0,"",INDEX(COLORES!$D:$D,MATCH($C45,COLORES!$C:$C,0))),IFERROR(IF(INDEX(COLORES!$D:$D,MATCH($C45&amp;"S",COLORES!$C:$C,0))=0,"",INDEX(COLORES!$D:$D,MATCH($C45&amp;"S",COLORES!$C:$C,0))),"")))</f>
        <v>AZUL</v>
      </c>
      <c r="N45" s="1"/>
      <c r="O45" s="1"/>
      <c r="P45" s="648"/>
      <c r="Q45" s="648"/>
    </row>
    <row r="46" spans="2:17">
      <c r="B46" s="719">
        <v>23</v>
      </c>
      <c r="C46" s="720" t="s">
        <v>211</v>
      </c>
      <c r="D46" s="726"/>
      <c r="E46" s="638">
        <f>+'EM-TUN'!CC28</f>
        <v>0</v>
      </c>
      <c r="F46" s="646">
        <f t="shared" si="0"/>
        <v>0</v>
      </c>
      <c r="G46" s="640">
        <f>+'EM-PLA'!BC28</f>
        <v>0</v>
      </c>
      <c r="H46" s="639">
        <f t="shared" si="3"/>
        <v>0</v>
      </c>
      <c r="I46" s="639">
        <f t="shared" si="1"/>
        <v>0</v>
      </c>
      <c r="J46" s="647">
        <f t="shared" si="2"/>
        <v>0</v>
      </c>
      <c r="K46" s="8"/>
      <c r="L46" s="15"/>
      <c r="M46" s="1616" t="str">
        <f>IF($C46="","",IFERROR(IF(INDEX(COLORES!$D:$D,MATCH($C46,COLORES!$C:$C,0))=0,"",INDEX(COLORES!$D:$D,MATCH($C46,COLORES!$C:$C,0))),IFERROR(IF(INDEX(COLORES!$D:$D,MATCH($C46&amp;"S",COLORES!$C:$C,0))=0,"",INDEX(COLORES!$D:$D,MATCH($C46&amp;"S",COLORES!$C:$C,0))),"")))</f>
        <v>NARANJA</v>
      </c>
      <c r="N46" s="1"/>
      <c r="O46" s="1"/>
      <c r="P46" s="2275"/>
      <c r="Q46" s="2275"/>
    </row>
    <row r="47" spans="2:17">
      <c r="B47" s="719">
        <v>24</v>
      </c>
      <c r="C47" s="720" t="s">
        <v>212</v>
      </c>
      <c r="D47" s="726"/>
      <c r="E47" s="638">
        <f>+'EM-TUN'!CC29</f>
        <v>0</v>
      </c>
      <c r="F47" s="646">
        <f t="shared" si="0"/>
        <v>0</v>
      </c>
      <c r="G47" s="640">
        <f>+'EM-PLA'!BC29</f>
        <v>0</v>
      </c>
      <c r="H47" s="639">
        <f t="shared" si="3"/>
        <v>0</v>
      </c>
      <c r="I47" s="639">
        <f t="shared" si="1"/>
        <v>0</v>
      </c>
      <c r="J47" s="647">
        <f t="shared" si="2"/>
        <v>0</v>
      </c>
      <c r="K47" s="8"/>
      <c r="L47" s="15"/>
      <c r="M47" s="1616" t="str">
        <f>IF($C47="","",IFERROR(IF(INDEX(COLORES!$D:$D,MATCH($C47,COLORES!$C:$C,0))=0,"",INDEX(COLORES!$D:$D,MATCH($C47,COLORES!$C:$C,0))),IFERROR(IF(INDEX(COLORES!$D:$D,MATCH($C47&amp;"S",COLORES!$C:$C,0))=0,"",INDEX(COLORES!$D:$D,MATCH($C47&amp;"S",COLORES!$C:$C,0))),"")))</f>
        <v>LILA</v>
      </c>
      <c r="N47" s="1"/>
      <c r="O47" s="1"/>
      <c r="P47" s="2275"/>
      <c r="Q47" s="2275"/>
    </row>
    <row r="48" spans="2:17" ht="24" thickBot="1">
      <c r="B48" s="719">
        <v>25</v>
      </c>
      <c r="C48" s="720" t="s">
        <v>215</v>
      </c>
      <c r="D48" s="726"/>
      <c r="E48" s="641">
        <f>+'EM-TUN'!CC30</f>
        <v>0</v>
      </c>
      <c r="F48" s="649">
        <f t="shared" ref="F48:F71" si="4">+E48</f>
        <v>0</v>
      </c>
      <c r="G48" s="643">
        <f>+'EM-PLA'!BC30</f>
        <v>0</v>
      </c>
      <c r="H48" s="642">
        <f t="shared" ref="H48:H71" si="5">+G48</f>
        <v>0</v>
      </c>
      <c r="I48" s="642">
        <f t="shared" ref="I48:I71" si="6">+E48+G48</f>
        <v>0</v>
      </c>
      <c r="J48" s="650">
        <f t="shared" ref="J48:J71" si="7">(E48+G48)*20</f>
        <v>0</v>
      </c>
      <c r="K48" s="8"/>
      <c r="L48" s="15"/>
      <c r="M48" s="1616" t="str">
        <f>IF($C48="","",IFERROR(IF(INDEX(COLORES!$D:$D,MATCH($C48,COLORES!$C:$C,0))=0,"",INDEX(COLORES!$D:$D,MATCH($C48,COLORES!$C:$C,0))),IFERROR(IF(INDEX(COLORES!$D:$D,MATCH($C48&amp;"S",COLORES!$C:$C,0))=0,"",INDEX(COLORES!$D:$D,MATCH($C48&amp;"S",COLORES!$C:$C,0))),"")))</f>
        <v>AZUL</v>
      </c>
      <c r="N48" s="1"/>
      <c r="O48" s="1"/>
      <c r="P48" s="948"/>
      <c r="Q48" s="948"/>
    </row>
    <row r="49" spans="2:17">
      <c r="B49" s="1672">
        <v>26</v>
      </c>
      <c r="C49" s="723" t="s">
        <v>54</v>
      </c>
      <c r="D49" s="724"/>
      <c r="E49" s="949">
        <f>+'EM-TUN'!CC31</f>
        <v>0</v>
      </c>
      <c r="F49" s="646">
        <f t="shared" si="4"/>
        <v>0</v>
      </c>
      <c r="G49" s="640">
        <f>+'EM-PLA'!BC31</f>
        <v>0</v>
      </c>
      <c r="H49" s="639">
        <f t="shared" si="5"/>
        <v>0</v>
      </c>
      <c r="I49" s="639">
        <f t="shared" si="6"/>
        <v>0</v>
      </c>
      <c r="J49" s="647">
        <f t="shared" si="7"/>
        <v>0</v>
      </c>
      <c r="K49" s="8"/>
      <c r="L49" s="15"/>
      <c r="M49" s="1616" t="str">
        <f>IF($C49="","",IFERROR(IF(INDEX(COLORES!$D:$D,MATCH($C49,COLORES!$C:$C,0))=0,"",INDEX(COLORES!$D:$D,MATCH($C49,COLORES!$C:$C,0))),IFERROR(IF(INDEX(COLORES!$D:$D,MATCH($C49&amp;"S",COLORES!$C:$C,0))=0,"",INDEX(COLORES!$D:$D,MATCH($C49&amp;"S",COLORES!$C:$C,0))),"")))</f>
        <v>ROJO</v>
      </c>
      <c r="N49" s="1"/>
      <c r="O49" s="1"/>
      <c r="P49" s="1"/>
      <c r="Q49" s="1"/>
    </row>
    <row r="50" spans="2:17">
      <c r="B50" s="1673">
        <v>27</v>
      </c>
      <c r="C50" s="725" t="s">
        <v>63</v>
      </c>
      <c r="D50" s="726"/>
      <c r="E50" s="949">
        <f>+'EM-TUN'!CC32</f>
        <v>0</v>
      </c>
      <c r="F50" s="646">
        <f t="shared" si="4"/>
        <v>0</v>
      </c>
      <c r="G50" s="640">
        <f>+'EM-PLA'!BC32</f>
        <v>0</v>
      </c>
      <c r="H50" s="639">
        <f t="shared" si="5"/>
        <v>0</v>
      </c>
      <c r="I50" s="639">
        <f t="shared" si="6"/>
        <v>0</v>
      </c>
      <c r="J50" s="647">
        <f t="shared" si="7"/>
        <v>0</v>
      </c>
      <c r="K50" s="8"/>
      <c r="L50" s="15"/>
      <c r="M50" s="1616" t="str">
        <f>IF($C50="","",IFERROR(IF(INDEX(COLORES!$D:$D,MATCH($C50,COLORES!$C:$C,0))=0,"",INDEX(COLORES!$D:$D,MATCH($C50,COLORES!$C:$C,0))),IFERROR(IF(INDEX(COLORES!$D:$D,MATCH($C50&amp;"S",COLORES!$C:$C,0))=0,"",INDEX(COLORES!$D:$D,MATCH($C50&amp;"S",COLORES!$C:$C,0))),"")))</f>
        <v>LILA</v>
      </c>
      <c r="N50" s="1"/>
      <c r="O50" s="1"/>
      <c r="P50" s="1"/>
      <c r="Q50" s="1"/>
    </row>
    <row r="51" spans="2:17">
      <c r="B51" s="1673">
        <v>28</v>
      </c>
      <c r="C51" s="725" t="s">
        <v>55</v>
      </c>
      <c r="D51" s="726"/>
      <c r="E51" s="949">
        <f>+'EM-TUN'!CC33</f>
        <v>0</v>
      </c>
      <c r="F51" s="646">
        <f t="shared" si="4"/>
        <v>0</v>
      </c>
      <c r="G51" s="640">
        <f>+'EM-PLA'!BC33</f>
        <v>0</v>
      </c>
      <c r="H51" s="639">
        <f t="shared" si="5"/>
        <v>0</v>
      </c>
      <c r="I51" s="639">
        <f t="shared" si="6"/>
        <v>0</v>
      </c>
      <c r="J51" s="647">
        <f t="shared" si="7"/>
        <v>0</v>
      </c>
      <c r="K51" s="8"/>
      <c r="L51" s="15"/>
      <c r="M51" s="1616" t="str">
        <f>IF($C51="","",IFERROR(IF(INDEX(COLORES!$D:$D,MATCH($C51,COLORES!$C:$C,0))=0,"",INDEX(COLORES!$D:$D,MATCH($C51,COLORES!$C:$C,0))),IFERROR(IF(INDEX(COLORES!$D:$D,MATCH($C51&amp;"S",COLORES!$C:$C,0))=0,"",INDEX(COLORES!$D:$D,MATCH($C51&amp;"S",COLORES!$C:$C,0))),"")))</f>
        <v>VERDE</v>
      </c>
      <c r="N51" s="1"/>
      <c r="O51" s="1"/>
      <c r="P51" s="1"/>
      <c r="Q51" s="1"/>
    </row>
    <row r="52" spans="2:17">
      <c r="B52" s="1673">
        <v>29</v>
      </c>
      <c r="C52" s="725" t="s">
        <v>56</v>
      </c>
      <c r="D52" s="726"/>
      <c r="E52" s="949">
        <f>+'EM-TUN'!CC34</f>
        <v>0</v>
      </c>
      <c r="F52" s="646">
        <f t="shared" si="4"/>
        <v>0</v>
      </c>
      <c r="G52" s="640">
        <f>+'EM-PLA'!BC34</f>
        <v>0</v>
      </c>
      <c r="H52" s="639">
        <f t="shared" si="5"/>
        <v>0</v>
      </c>
      <c r="I52" s="639">
        <f t="shared" si="6"/>
        <v>0</v>
      </c>
      <c r="J52" s="647">
        <f t="shared" si="7"/>
        <v>0</v>
      </c>
      <c r="K52" s="12"/>
      <c r="L52" s="15"/>
      <c r="M52" s="1616" t="str">
        <f>IF($C52="","",IFERROR(IF(INDEX(COLORES!$D:$D,MATCH($C52,COLORES!$C:$C,0))=0,"",INDEX(COLORES!$D:$D,MATCH($C52,COLORES!$C:$C,0))),IFERROR(IF(INDEX(COLORES!$D:$D,MATCH($C52&amp;"S",COLORES!$C:$C,0))=0,"",INDEX(COLORES!$D:$D,MATCH($C52&amp;"S",COLORES!$C:$C,0))),"")))</f>
        <v>NARANJA</v>
      </c>
      <c r="N52" s="1"/>
      <c r="O52" s="1"/>
      <c r="P52" s="1"/>
      <c r="Q52" s="1"/>
    </row>
    <row r="53" spans="2:17" ht="24" thickBot="1">
      <c r="B53" s="1674">
        <v>30</v>
      </c>
      <c r="C53" s="727" t="s">
        <v>57</v>
      </c>
      <c r="D53" s="728"/>
      <c r="E53" s="1675">
        <f>+'EM-TUN'!CC35</f>
        <v>0</v>
      </c>
      <c r="F53" s="649">
        <f t="shared" si="4"/>
        <v>0</v>
      </c>
      <c r="G53" s="643">
        <f>+'EM-PLA'!BC35</f>
        <v>0</v>
      </c>
      <c r="H53" s="642">
        <f t="shared" si="5"/>
        <v>0</v>
      </c>
      <c r="I53" s="642">
        <f t="shared" si="6"/>
        <v>0</v>
      </c>
      <c r="J53" s="650">
        <f t="shared" si="7"/>
        <v>0</v>
      </c>
      <c r="K53" s="8"/>
      <c r="L53" s="15"/>
      <c r="M53" s="1616" t="str">
        <f>IF($C53="","",IFERROR(IF(INDEX(COLORES!$D:$D,MATCH($C53,COLORES!$C:$C,0))=0,"",INDEX(COLORES!$D:$D,MATCH($C53,COLORES!$C:$C,0))),IFERROR(IF(INDEX(COLORES!$D:$D,MATCH($C53&amp;"S",COLORES!$C:$C,0))=0,"",INDEX(COLORES!$D:$D,MATCH($C53&amp;"S",COLORES!$C:$C,0))),"")))</f>
        <v>ROSADO</v>
      </c>
      <c r="N53" s="1"/>
      <c r="O53" s="1"/>
      <c r="P53" s="1"/>
      <c r="Q53" s="1"/>
    </row>
    <row r="54" spans="2:17">
      <c r="B54" s="716">
        <v>31</v>
      </c>
      <c r="C54" s="720" t="s">
        <v>216</v>
      </c>
      <c r="D54" s="720"/>
      <c r="E54" s="635">
        <f>+'EM-TUN'!CC36</f>
        <v>0</v>
      </c>
      <c r="F54" s="644">
        <f t="shared" si="4"/>
        <v>0</v>
      </c>
      <c r="G54" s="637">
        <f>+'EM-PLA'!BC36</f>
        <v>0</v>
      </c>
      <c r="H54" s="636">
        <f t="shared" si="5"/>
        <v>0</v>
      </c>
      <c r="I54" s="636">
        <f t="shared" si="6"/>
        <v>0</v>
      </c>
      <c r="J54" s="645">
        <f t="shared" si="7"/>
        <v>0</v>
      </c>
      <c r="K54" s="8"/>
      <c r="L54" s="15"/>
      <c r="M54" s="1616" t="str">
        <f>IF($C54="","",IFERROR(IF(INDEX(COLORES!$D:$D,MATCH($C54,COLORES!$C:$C,0))=0,"",INDEX(COLORES!$D:$D,MATCH($C54,COLORES!$C:$C,0))),IFERROR(IF(INDEX(COLORES!$D:$D,MATCH($C54&amp;"S",COLORES!$C:$C,0))=0,"",INDEX(COLORES!$D:$D,MATCH($C54&amp;"S",COLORES!$C:$C,0))),"")))</f>
        <v>CRISTAL</v>
      </c>
      <c r="N54" s="1"/>
      <c r="O54" s="1"/>
      <c r="P54" s="1"/>
      <c r="Q54" s="1"/>
    </row>
    <row r="55" spans="2:17">
      <c r="B55" s="719">
        <v>32</v>
      </c>
      <c r="C55" s="720" t="s">
        <v>59</v>
      </c>
      <c r="D55" s="720"/>
      <c r="E55" s="638">
        <f>+'EM-TUN'!CC37</f>
        <v>0</v>
      </c>
      <c r="F55" s="646">
        <f t="shared" si="4"/>
        <v>0</v>
      </c>
      <c r="G55" s="640">
        <f>+'EM-PLA'!BC37</f>
        <v>0</v>
      </c>
      <c r="H55" s="639">
        <f t="shared" si="5"/>
        <v>0</v>
      </c>
      <c r="I55" s="639">
        <f t="shared" si="6"/>
        <v>0</v>
      </c>
      <c r="J55" s="647">
        <f t="shared" si="7"/>
        <v>0</v>
      </c>
      <c r="K55" s="8"/>
      <c r="L55" s="15"/>
      <c r="M55" s="1616" t="str">
        <f>IF($C55="","",IFERROR(IF(INDEX(COLORES!$D:$D,MATCH($C55,COLORES!$C:$C,0))=0,"",INDEX(COLORES!$D:$D,MATCH($C55,COLORES!$C:$C,0))),IFERROR(IF(INDEX(COLORES!$D:$D,MATCH($C55&amp;"S",COLORES!$C:$C,0))=0,"",INDEX(COLORES!$D:$D,MATCH($C55&amp;"S",COLORES!$C:$C,0))),"")))</f>
        <v>ROJO</v>
      </c>
      <c r="N55" s="1"/>
      <c r="O55" s="1"/>
      <c r="P55" s="1"/>
      <c r="Q55" s="1"/>
    </row>
    <row r="56" spans="2:17" ht="24" thickBot="1">
      <c r="B56" s="719">
        <v>33</v>
      </c>
      <c r="C56" s="720" t="s">
        <v>204</v>
      </c>
      <c r="D56" s="720"/>
      <c r="E56" s="638">
        <f>+'EM-TUN'!CC38</f>
        <v>0</v>
      </c>
      <c r="F56" s="646">
        <f t="shared" si="4"/>
        <v>0</v>
      </c>
      <c r="G56" s="640">
        <f>+'EM-PLA'!BC38</f>
        <v>0</v>
      </c>
      <c r="H56" s="639">
        <f t="shared" si="5"/>
        <v>0</v>
      </c>
      <c r="I56" s="639">
        <f t="shared" si="6"/>
        <v>0</v>
      </c>
      <c r="J56" s="647">
        <f t="shared" si="7"/>
        <v>0</v>
      </c>
      <c r="K56" s="8"/>
      <c r="L56" s="15"/>
      <c r="M56" s="1616" t="str">
        <f>IF($C56="","",IFERROR(IF(INDEX(COLORES!$D:$D,MATCH($C56,COLORES!$C:$C,0))=0,"",INDEX(COLORES!$D:$D,MATCH($C56,COLORES!$C:$C,0))),IFERROR(IF(INDEX(COLORES!$D:$D,MATCH($C56&amp;"S",COLORES!$C:$C,0))=0,"",INDEX(COLORES!$D:$D,MATCH($C56&amp;"S",COLORES!$C:$C,0))),"")))</f>
        <v>LILA</v>
      </c>
      <c r="N56" s="1"/>
      <c r="O56" s="1"/>
      <c r="P56" s="1"/>
      <c r="Q56" s="1"/>
    </row>
    <row r="57" spans="2:17">
      <c r="B57" s="1915">
        <v>34</v>
      </c>
      <c r="C57" s="1916" t="s">
        <v>220</v>
      </c>
      <c r="D57" s="1917"/>
      <c r="E57" s="1918">
        <f>+'EM-TUN'!CC39</f>
        <v>0</v>
      </c>
      <c r="F57" s="1919">
        <f t="shared" si="4"/>
        <v>0</v>
      </c>
      <c r="G57" s="1920">
        <f>+'EM-PLA'!BC39</f>
        <v>0</v>
      </c>
      <c r="H57" s="1921">
        <f t="shared" si="5"/>
        <v>0</v>
      </c>
      <c r="I57" s="1921">
        <f t="shared" si="6"/>
        <v>0</v>
      </c>
      <c r="J57" s="1922">
        <f t="shared" si="7"/>
        <v>0</v>
      </c>
      <c r="K57" s="8"/>
      <c r="L57" s="15"/>
      <c r="M57" s="1616" t="str">
        <f>IF($C57="","",IFERROR(IF(INDEX(COLORES!$D:$D,MATCH($C57,COLORES!$C:$C,0))=0,"",INDEX(COLORES!$D:$D,MATCH($C57,COLORES!$C:$C,0))),IFERROR(IF(INDEX(COLORES!$D:$D,MATCH($C57&amp;"S",COLORES!$C:$C,0))=0,"",INDEX(COLORES!$D:$D,MATCH($C57&amp;"S",COLORES!$C:$C,0))),"")))</f>
        <v>CREMA</v>
      </c>
      <c r="N57" s="1"/>
      <c r="O57" s="1"/>
      <c r="P57" s="1"/>
      <c r="Q57" s="1"/>
    </row>
    <row r="58" spans="2:17" ht="24" thickBot="1">
      <c r="B58" s="1923">
        <v>35</v>
      </c>
      <c r="C58" s="1924" t="s">
        <v>58</v>
      </c>
      <c r="D58" s="1925"/>
      <c r="E58" s="1926">
        <f>+'EM-TUN'!CC40</f>
        <v>0</v>
      </c>
      <c r="F58" s="1927">
        <f t="shared" si="4"/>
        <v>0</v>
      </c>
      <c r="G58" s="1928">
        <f>+'EM-PLA'!BC40</f>
        <v>0</v>
      </c>
      <c r="H58" s="1929">
        <f t="shared" si="5"/>
        <v>0</v>
      </c>
      <c r="I58" s="1929">
        <f t="shared" si="6"/>
        <v>0</v>
      </c>
      <c r="J58" s="1930">
        <f t="shared" si="7"/>
        <v>0</v>
      </c>
      <c r="K58" s="8"/>
      <c r="L58" s="15"/>
      <c r="M58" s="1616" t="str">
        <f>IF($C58="","",IFERROR(IF(INDEX(COLORES!$D:$D,MATCH($C58,COLORES!$C:$C,0))=0,"",INDEX(COLORES!$D:$D,MATCH($C58,COLORES!$C:$C,0))),IFERROR(IF(INDEX(COLORES!$D:$D,MATCH($C58&amp;"S",COLORES!$C:$C,0))=0,"",INDEX(COLORES!$D:$D,MATCH($C58&amp;"S",COLORES!$C:$C,0))),"")))</f>
        <v>AZUL</v>
      </c>
      <c r="N58" s="1"/>
      <c r="O58" s="1"/>
      <c r="P58" s="1"/>
      <c r="Q58" s="1"/>
    </row>
    <row r="59" spans="2:17" ht="24" thickBot="1">
      <c r="B59" s="721">
        <v>36</v>
      </c>
      <c r="C59" s="722" t="s">
        <v>384</v>
      </c>
      <c r="D59" s="728"/>
      <c r="E59" s="641">
        <f>+'EM-TUN'!CC41</f>
        <v>0</v>
      </c>
      <c r="F59" s="649">
        <f t="shared" si="4"/>
        <v>0</v>
      </c>
      <c r="G59" s="643">
        <f>+'EM-PLA'!BC41</f>
        <v>0</v>
      </c>
      <c r="H59" s="642">
        <f t="shared" si="5"/>
        <v>0</v>
      </c>
      <c r="I59" s="642">
        <f t="shared" si="6"/>
        <v>0</v>
      </c>
      <c r="J59" s="650">
        <f t="shared" si="7"/>
        <v>0</v>
      </c>
      <c r="K59" s="12"/>
      <c r="L59" s="15"/>
      <c r="M59" s="1616" t="str">
        <f>IF($C59="","",IFERROR(IF(INDEX(COLORES!$D:$D,MATCH($C59,COLORES!$C:$C,0))=0,"",INDEX(COLORES!$D:$D,MATCH($C59,COLORES!$C:$C,0))),IFERROR(IF(INDEX(COLORES!$D:$D,MATCH($C59&amp;"S",COLORES!$C:$C,0))=0,"",INDEX(COLORES!$D:$D,MATCH($C59&amp;"S",COLORES!$C:$C,0))),"")))</f>
        <v/>
      </c>
      <c r="N59" s="656"/>
      <c r="O59" s="1"/>
      <c r="P59" s="1"/>
      <c r="Q59" s="1"/>
    </row>
    <row r="60" spans="2:17">
      <c r="B60" s="716">
        <v>37</v>
      </c>
      <c r="C60" s="720" t="s">
        <v>217</v>
      </c>
      <c r="D60" s="726"/>
      <c r="E60" s="949">
        <f>+'EM-TUN'!CC42</f>
        <v>0</v>
      </c>
      <c r="F60" s="646">
        <f t="shared" si="4"/>
        <v>0</v>
      </c>
      <c r="G60" s="640">
        <f>+'EM-PLA'!BC42</f>
        <v>0</v>
      </c>
      <c r="H60" s="639">
        <f t="shared" si="5"/>
        <v>0</v>
      </c>
      <c r="I60" s="639">
        <f t="shared" si="6"/>
        <v>0</v>
      </c>
      <c r="J60" s="647">
        <f t="shared" si="7"/>
        <v>0</v>
      </c>
      <c r="K60" s="8"/>
      <c r="L60" s="15"/>
      <c r="M60" s="1616" t="str">
        <f>IF($C60="","",IFERROR(IF(INDEX(COLORES!$D:$D,MATCH($C60,COLORES!$C:$C,0))=0,"",INDEX(COLORES!$D:$D,MATCH($C60,COLORES!$C:$C,0))),IFERROR(IF(INDEX(COLORES!$D:$D,MATCH($C60&amp;"S",COLORES!$C:$C,0))=0,"",INDEX(COLORES!$D:$D,MATCH($C60&amp;"S",COLORES!$C:$C,0))),"")))</f>
        <v>VERDE</v>
      </c>
      <c r="N60" s="1"/>
      <c r="O60" s="1"/>
      <c r="P60" s="1"/>
      <c r="Q60" s="1"/>
    </row>
    <row r="61" spans="2:17">
      <c r="B61" s="719">
        <v>38</v>
      </c>
      <c r="C61" s="720" t="s">
        <v>218</v>
      </c>
      <c r="D61" s="726"/>
      <c r="E61" s="949">
        <f>+'EM-TUN'!CC43</f>
        <v>0</v>
      </c>
      <c r="F61" s="646">
        <f t="shared" si="4"/>
        <v>0</v>
      </c>
      <c r="G61" s="640">
        <f>+'EM-PLA'!BC43</f>
        <v>0</v>
      </c>
      <c r="H61" s="639">
        <f t="shared" si="5"/>
        <v>0</v>
      </c>
      <c r="I61" s="639">
        <f t="shared" si="6"/>
        <v>0</v>
      </c>
      <c r="J61" s="647">
        <f t="shared" si="7"/>
        <v>0</v>
      </c>
      <c r="K61" s="8"/>
      <c r="L61" s="15"/>
      <c r="M61" s="1616" t="str">
        <f>IF($C61="","",IFERROR(IF(INDEX(COLORES!$D:$D,MATCH($C61,COLORES!$C:$C,0))=0,"",INDEX(COLORES!$D:$D,MATCH($C61,COLORES!$C:$C,0))),IFERROR(IF(INDEX(COLORES!$D:$D,MATCH($C61&amp;"S",COLORES!$C:$C,0))=0,"",INDEX(COLORES!$D:$D,MATCH($C61&amp;"S",COLORES!$C:$C,0))),"")))</f>
        <v>VERDE</v>
      </c>
      <c r="N61" s="1"/>
      <c r="O61" s="1"/>
      <c r="P61" s="1"/>
      <c r="Q61" s="1"/>
    </row>
    <row r="62" spans="2:17">
      <c r="B62" s="719">
        <v>39</v>
      </c>
      <c r="C62" s="720" t="s">
        <v>219</v>
      </c>
      <c r="D62" s="726"/>
      <c r="E62" s="949">
        <f>+'EM-TUN'!CC44</f>
        <v>0</v>
      </c>
      <c r="F62" s="646">
        <f t="shared" si="4"/>
        <v>0</v>
      </c>
      <c r="G62" s="640">
        <f>+'EM-PLA'!BC44</f>
        <v>0</v>
      </c>
      <c r="H62" s="639">
        <f t="shared" si="5"/>
        <v>0</v>
      </c>
      <c r="I62" s="639">
        <f t="shared" si="6"/>
        <v>0</v>
      </c>
      <c r="J62" s="647">
        <f t="shared" si="7"/>
        <v>0</v>
      </c>
      <c r="K62" s="8"/>
      <c r="L62" s="15"/>
      <c r="M62" s="1616" t="str">
        <f>IF($C62="","",IFERROR(IF(INDEX(COLORES!$D:$D,MATCH($C62,COLORES!$C:$C,0))=0,"",INDEX(COLORES!$D:$D,MATCH($C62,COLORES!$C:$C,0))),IFERROR(IF(INDEX(COLORES!$D:$D,MATCH($C62&amp;"S",COLORES!$C:$C,0))=0,"",INDEX(COLORES!$D:$D,MATCH($C62&amp;"S",COLORES!$C:$C,0))),"")))</f>
        <v>VERDE</v>
      </c>
      <c r="N62" s="1"/>
      <c r="O62" s="1"/>
      <c r="P62" s="1"/>
      <c r="Q62" s="1"/>
    </row>
    <row r="63" spans="2:17">
      <c r="B63" s="719">
        <v>40</v>
      </c>
      <c r="C63" s="720" t="s">
        <v>382</v>
      </c>
      <c r="D63" s="726"/>
      <c r="E63" s="949">
        <f>+'EM-TUN'!CC45</f>
        <v>0</v>
      </c>
      <c r="F63" s="646">
        <f t="shared" si="4"/>
        <v>0</v>
      </c>
      <c r="G63" s="640">
        <f>+'EM-PLA'!BC45</f>
        <v>0</v>
      </c>
      <c r="H63" s="639">
        <f t="shared" si="5"/>
        <v>0</v>
      </c>
      <c r="I63" s="639">
        <f t="shared" si="6"/>
        <v>0</v>
      </c>
      <c r="J63" s="647">
        <f t="shared" si="7"/>
        <v>0</v>
      </c>
      <c r="K63" s="8"/>
      <c r="L63" s="15"/>
      <c r="M63" s="1616" t="str">
        <f>COLORES!M23</f>
        <v>VERDE</v>
      </c>
      <c r="N63" s="1"/>
      <c r="O63" s="1"/>
      <c r="P63" s="1"/>
      <c r="Q63" s="1"/>
    </row>
    <row r="64" spans="2:17">
      <c r="B64" s="719">
        <v>41</v>
      </c>
      <c r="C64" s="720" t="s">
        <v>548</v>
      </c>
      <c r="D64" s="726"/>
      <c r="E64" s="949">
        <f>+'EM-TUN'!CC46</f>
        <v>0</v>
      </c>
      <c r="F64" s="646">
        <f t="shared" si="4"/>
        <v>0</v>
      </c>
      <c r="G64" s="640">
        <f>+'EM-PLA'!BC46</f>
        <v>0</v>
      </c>
      <c r="H64" s="639">
        <f t="shared" si="5"/>
        <v>0</v>
      </c>
      <c r="I64" s="639">
        <f t="shared" si="6"/>
        <v>0</v>
      </c>
      <c r="J64" s="647">
        <f t="shared" si="7"/>
        <v>0</v>
      </c>
      <c r="K64" s="8"/>
      <c r="L64" s="15"/>
      <c r="M64" s="1616" t="str">
        <f>IF($C64="","",IFERROR(IF(INDEX(COLORES!$D:$D,MATCH($C64,COLORES!$C:$C,0))=0,"",INDEX(COLORES!$D:$D,MATCH($C64,COLORES!$C:$C,0))),IFERROR(IF(INDEX(COLORES!$D:$D,MATCH($C64&amp;"S",COLORES!$C:$C,0))=0,"",INDEX(COLORES!$D:$D,MATCH($C64&amp;"S",COLORES!$C:$C,0))),"")))</f>
        <v>VERDE</v>
      </c>
      <c r="N64" s="1"/>
      <c r="O64" s="1"/>
      <c r="P64" s="1"/>
      <c r="Q64" s="1"/>
    </row>
    <row r="65" spans="2:17">
      <c r="B65" s="719">
        <v>42</v>
      </c>
      <c r="C65" s="720" t="s">
        <v>50</v>
      </c>
      <c r="D65" s="726"/>
      <c r="E65" s="949">
        <f>+'EM-TUN'!CC47</f>
        <v>0</v>
      </c>
      <c r="F65" s="646">
        <f t="shared" si="4"/>
        <v>0</v>
      </c>
      <c r="G65" s="640">
        <f>+'EM-PLA'!BC47</f>
        <v>0</v>
      </c>
      <c r="H65" s="639">
        <f t="shared" si="5"/>
        <v>0</v>
      </c>
      <c r="I65" s="639">
        <f t="shared" si="6"/>
        <v>0</v>
      </c>
      <c r="J65" s="647">
        <f t="shared" si="7"/>
        <v>0</v>
      </c>
      <c r="K65" s="8"/>
      <c r="L65" s="15"/>
      <c r="M65" s="1616" t="str">
        <f>IF($C65="","",IFERROR(IF(INDEX(COLORES!$D:$D,MATCH($C65,COLORES!$C:$C,0))=0,"",INDEX(COLORES!$D:$D,MATCH($C65,COLORES!$C:$C,0))),IFERROR(IF(INDEX(COLORES!$D:$D,MATCH($C65&amp;"S",COLORES!$C:$C,0))=0,"",INDEX(COLORES!$D:$D,MATCH($C65&amp;"S",COLORES!$C:$C,0))),"")))</f>
        <v>VERDE</v>
      </c>
      <c r="N65" s="1"/>
      <c r="O65" s="1"/>
      <c r="P65" s="1"/>
      <c r="Q65" s="1"/>
    </row>
    <row r="66" spans="2:17">
      <c r="B66" s="719">
        <v>43</v>
      </c>
      <c r="C66" s="720" t="s">
        <v>549</v>
      </c>
      <c r="D66" s="726"/>
      <c r="E66" s="949">
        <f>+'EM-TUN'!CC48</f>
        <v>0</v>
      </c>
      <c r="F66" s="646">
        <f t="shared" si="4"/>
        <v>0</v>
      </c>
      <c r="G66" s="640">
        <f>+'EM-PLA'!BC48</f>
        <v>0</v>
      </c>
      <c r="H66" s="639">
        <f t="shared" si="5"/>
        <v>0</v>
      </c>
      <c r="I66" s="639">
        <f t="shared" si="6"/>
        <v>0</v>
      </c>
      <c r="J66" s="647">
        <f t="shared" si="7"/>
        <v>0</v>
      </c>
      <c r="K66" s="8"/>
      <c r="L66" s="15"/>
      <c r="M66" s="718" t="str">
        <f>IFERROR(IF(INDEX(COLORES!$D$4:$D$51,MATCH(C66,COLORES!$C$4:$C$51,0))=0,"",INDEX(COLORES!$D$4:$D$51,MATCH(C66,COLORES!$C$4:$C$51,0))),"")</f>
        <v>BLANCO SUCIO</v>
      </c>
      <c r="N66" s="1"/>
      <c r="O66" s="1"/>
      <c r="P66" s="1"/>
      <c r="Q66" s="1"/>
    </row>
    <row r="67" spans="2:17">
      <c r="B67" s="719">
        <v>44</v>
      </c>
      <c r="C67" s="720" t="s">
        <v>51</v>
      </c>
      <c r="D67" s="726"/>
      <c r="E67" s="949">
        <f>+'EM-TUN'!CC49</f>
        <v>0</v>
      </c>
      <c r="F67" s="646">
        <f t="shared" si="4"/>
        <v>0</v>
      </c>
      <c r="G67" s="640">
        <f>+'EM-PLA'!BC49</f>
        <v>0</v>
      </c>
      <c r="H67" s="639">
        <f t="shared" si="5"/>
        <v>0</v>
      </c>
      <c r="I67" s="639">
        <f t="shared" si="6"/>
        <v>0</v>
      </c>
      <c r="J67" s="647">
        <f t="shared" si="7"/>
        <v>0</v>
      </c>
      <c r="K67" s="8"/>
      <c r="L67" s="15"/>
      <c r="M67" s="718" t="str">
        <f>IFERROR(IF(INDEX(COLORES!$D$4:$D$51,MATCH(C67,COLORES!$C$4:$C$51,0))=0,"",INDEX(COLORES!$D$4:$D$51,MATCH(C67,COLORES!$C$4:$C$51,0))),"")</f>
        <v>ROJO LIMPIO</v>
      </c>
      <c r="N67" s="1"/>
      <c r="O67" s="1"/>
      <c r="P67" s="1"/>
      <c r="Q67" s="1"/>
    </row>
    <row r="68" spans="2:17">
      <c r="B68" s="719">
        <v>45</v>
      </c>
      <c r="C68" s="720" t="s">
        <v>573</v>
      </c>
      <c r="D68" s="726"/>
      <c r="E68" s="949">
        <f>+'EM-TUN'!CC50</f>
        <v>0</v>
      </c>
      <c r="F68" s="646">
        <f t="shared" si="4"/>
        <v>0</v>
      </c>
      <c r="G68" s="640">
        <f>+'EM-PLA'!BC50</f>
        <v>0</v>
      </c>
      <c r="H68" s="639">
        <f t="shared" si="5"/>
        <v>0</v>
      </c>
      <c r="I68" s="639">
        <f t="shared" si="6"/>
        <v>0</v>
      </c>
      <c r="J68" s="647">
        <f t="shared" si="7"/>
        <v>0</v>
      </c>
      <c r="K68" s="8"/>
      <c r="L68" s="15"/>
      <c r="M68" s="718" t="str">
        <f>IFERROR(IF(INDEX(COLORES!$D$4:$D$51,MATCH(C68,COLORES!$C$4:$C$51,0))=0,"",INDEX(COLORES!$D$4:$D$51,MATCH(C68,COLORES!$C$4:$C$51,0))),"")</f>
        <v>AMARILLO</v>
      </c>
      <c r="N68" s="1"/>
      <c r="O68" s="1"/>
      <c r="P68" s="1"/>
      <c r="Q68" s="1"/>
    </row>
    <row r="69" spans="2:17">
      <c r="B69" s="719">
        <v>46</v>
      </c>
      <c r="C69" s="720" t="s">
        <v>52</v>
      </c>
      <c r="D69" s="726"/>
      <c r="E69" s="949">
        <f>+'EM-TUN'!CC51</f>
        <v>0</v>
      </c>
      <c r="F69" s="646">
        <f t="shared" si="4"/>
        <v>0</v>
      </c>
      <c r="G69" s="640">
        <f>+'EM-PLA'!BC51</f>
        <v>0</v>
      </c>
      <c r="H69" s="639">
        <f t="shared" si="5"/>
        <v>0</v>
      </c>
      <c r="I69" s="639">
        <f t="shared" si="6"/>
        <v>0</v>
      </c>
      <c r="J69" s="647">
        <f t="shared" si="7"/>
        <v>0</v>
      </c>
      <c r="K69" s="8"/>
      <c r="L69" s="15"/>
      <c r="M69" s="718" t="str">
        <f>IFERROR(IF(INDEX(COLORES!$D$4:$D$51,MATCH(C69,COLORES!$C$4:$C$51,0))=0,"",INDEX(COLORES!$D$4:$D$51,MATCH(C69,COLORES!$C$4:$C$51,0))),"")</f>
        <v>AMARILLO</v>
      </c>
      <c r="N69" s="1"/>
      <c r="O69" s="1"/>
      <c r="P69" s="1"/>
      <c r="Q69" s="1"/>
    </row>
    <row r="70" spans="2:17" ht="24" thickBot="1">
      <c r="B70" s="721">
        <v>47</v>
      </c>
      <c r="C70" s="722" t="s">
        <v>53</v>
      </c>
      <c r="D70" s="726"/>
      <c r="E70" s="949">
        <f>+'EM-TUN'!CC52</f>
        <v>0</v>
      </c>
      <c r="F70" s="646">
        <f t="shared" si="4"/>
        <v>0</v>
      </c>
      <c r="G70" s="640">
        <f>+'EM-PLA'!BC52</f>
        <v>0</v>
      </c>
      <c r="H70" s="639">
        <f t="shared" si="5"/>
        <v>0</v>
      </c>
      <c r="I70" s="639">
        <f t="shared" si="6"/>
        <v>0</v>
      </c>
      <c r="J70" s="647">
        <f t="shared" si="7"/>
        <v>0</v>
      </c>
      <c r="K70" s="8"/>
      <c r="L70" s="15"/>
      <c r="M70" s="718" t="str">
        <f>IFERROR(IF(INDEX(COLORES!$D$4:$D$51,MATCH(C70,COLORES!$C$4:$C$51,0))=0,"",INDEX(COLORES!$D$4:$D$51,MATCH(C70,COLORES!$C$4:$C$51,0))),"")</f>
        <v>LILA</v>
      </c>
      <c r="N70" s="1"/>
      <c r="O70" s="1"/>
      <c r="P70" s="1"/>
      <c r="Q70" s="1"/>
    </row>
    <row r="71" spans="2:17" ht="24" thickBot="1">
      <c r="B71" s="721">
        <v>48</v>
      </c>
      <c r="C71" s="1520" t="s">
        <v>383</v>
      </c>
      <c r="D71" s="730"/>
      <c r="E71" s="651">
        <f>+'EM-TUN'!CC53</f>
        <v>0</v>
      </c>
      <c r="F71" s="653">
        <f t="shared" si="4"/>
        <v>0</v>
      </c>
      <c r="G71" s="655">
        <f>+'EM-PLA'!BC53</f>
        <v>0</v>
      </c>
      <c r="H71" s="653">
        <f t="shared" si="5"/>
        <v>0</v>
      </c>
      <c r="I71" s="653">
        <f t="shared" si="6"/>
        <v>0</v>
      </c>
      <c r="J71" s="654">
        <f t="shared" si="7"/>
        <v>0</v>
      </c>
      <c r="K71" s="12"/>
      <c r="L71" s="15"/>
      <c r="M71" s="718" t="str">
        <f>IFERROR(IF(INDEX(COLORES!$D$4:$D$51,MATCH(C71,COLORES!$C$4:$C$51,0))=0,"",INDEX(COLORES!$D$4:$D$51,MATCH(C71,COLORES!$C$4:$C$51,0))),"")</f>
        <v>AMARILLO</v>
      </c>
      <c r="N71" s="657"/>
      <c r="O71" s="1"/>
      <c r="P71" s="1"/>
      <c r="Q71" s="1"/>
    </row>
    <row r="72" spans="2:17" ht="31.5" customHeight="1" thickBot="1">
      <c r="B72" s="2293" t="s">
        <v>3</v>
      </c>
      <c r="C72" s="2286"/>
      <c r="D72" s="2280"/>
      <c r="E72" s="731">
        <f t="shared" ref="E72:I72" si="8">SUM(E24:E71)</f>
        <v>0</v>
      </c>
      <c r="F72" s="732">
        <f t="shared" si="8"/>
        <v>0</v>
      </c>
      <c r="G72" s="655">
        <f t="shared" si="8"/>
        <v>0</v>
      </c>
      <c r="H72" s="733">
        <f t="shared" si="8"/>
        <v>0</v>
      </c>
      <c r="I72" s="734">
        <f t="shared" si="8"/>
        <v>0</v>
      </c>
      <c r="J72" s="735">
        <f>SUM(J24:J71)</f>
        <v>0</v>
      </c>
      <c r="K72" s="15"/>
      <c r="L72" s="736"/>
      <c r="M72" s="718"/>
      <c r="N72" s="1"/>
      <c r="O72" s="1"/>
      <c r="P72" s="1"/>
      <c r="Q72" s="1"/>
    </row>
    <row r="73" spans="2:17" ht="31.5" customHeight="1">
      <c r="C73" s="1"/>
      <c r="D73" s="1"/>
      <c r="E73" s="1"/>
      <c r="F73" s="1"/>
      <c r="G73" s="1"/>
      <c r="H73" s="1"/>
      <c r="I73" s="1"/>
      <c r="J73" s="1"/>
      <c r="K73" s="16"/>
      <c r="L73" s="737"/>
      <c r="M73" s="3"/>
      <c r="N73" s="1"/>
      <c r="O73" s="1"/>
      <c r="P73" s="1"/>
      <c r="Q73" s="1"/>
    </row>
    <row r="74" spans="2:17">
      <c r="C74" s="1"/>
      <c r="D74" s="1"/>
      <c r="E74" s="1"/>
      <c r="F74" s="1"/>
      <c r="G74" s="1"/>
      <c r="H74" s="1"/>
      <c r="K74" s="15"/>
      <c r="L74" s="11"/>
    </row>
    <row r="75" spans="2:17" ht="15.75" customHeight="1" thickBot="1">
      <c r="C75" s="1"/>
      <c r="D75" s="1"/>
      <c r="E75" s="1"/>
      <c r="F75" s="1"/>
      <c r="G75" s="1"/>
      <c r="H75" s="1"/>
      <c r="K75" s="15"/>
      <c r="L75" s="11"/>
    </row>
    <row r="76" spans="2:17" ht="27.75" customHeight="1" thickBot="1">
      <c r="C76" s="2294" t="s">
        <v>10</v>
      </c>
      <c r="D76" s="2295"/>
      <c r="E76" s="740" t="s">
        <v>11</v>
      </c>
      <c r="K76" s="15"/>
      <c r="L76" s="11"/>
    </row>
    <row r="77" spans="2:17" ht="27.75" customHeight="1">
      <c r="C77" s="685" t="s">
        <v>28</v>
      </c>
      <c r="D77" s="686"/>
      <c r="E77" s="741">
        <f>4+7+2+2</f>
        <v>15</v>
      </c>
      <c r="K77" s="15"/>
      <c r="L77" s="11"/>
    </row>
    <row r="78" spans="2:17" ht="27.75" customHeight="1">
      <c r="C78" s="688" t="s">
        <v>27</v>
      </c>
      <c r="D78" s="689"/>
      <c r="E78" s="742">
        <f>I72</f>
        <v>0</v>
      </c>
    </row>
    <row r="79" spans="2:17" ht="27.75" customHeight="1">
      <c r="C79" s="2289" t="s">
        <v>40</v>
      </c>
      <c r="D79" s="2290"/>
      <c r="E79" s="742"/>
    </row>
    <row r="80" spans="2:17" ht="27.75" customHeight="1">
      <c r="C80" s="688" t="s">
        <v>12</v>
      </c>
      <c r="D80" s="689"/>
      <c r="E80" s="743"/>
    </row>
    <row r="81" spans="3:13" ht="27.75" customHeight="1">
      <c r="C81" s="688" t="s">
        <v>32</v>
      </c>
      <c r="D81" s="689"/>
      <c r="E81" s="743">
        <v>5.7</v>
      </c>
      <c r="M81" s="5" t="s">
        <v>377</v>
      </c>
    </row>
    <row r="82" spans="3:13" ht="27.75" customHeight="1">
      <c r="C82" s="2289" t="s">
        <v>29</v>
      </c>
      <c r="D82" s="2290"/>
      <c r="E82" s="743"/>
      <c r="G82" s="1671"/>
    </row>
    <row r="83" spans="3:13" ht="27.75" customHeight="1">
      <c r="C83" s="688" t="s">
        <v>305</v>
      </c>
      <c r="D83" s="688"/>
      <c r="E83" s="743">
        <f>SUMIF($M$24:$M$71,"AZUL",$I$24:$I$71)*2</f>
        <v>0</v>
      </c>
      <c r="G83" s="1671"/>
    </row>
    <row r="84" spans="3:13" ht="27.75" customHeight="1">
      <c r="C84" s="688" t="s">
        <v>306</v>
      </c>
      <c r="D84" s="688"/>
      <c r="E84" s="743">
        <f>SUMIF($M$24:$M$71,"BLANCO*",$I$24:$I$71)*2</f>
        <v>0</v>
      </c>
      <c r="G84" s="2000"/>
    </row>
    <row r="85" spans="3:13" ht="27.75" customHeight="1">
      <c r="C85" s="2289" t="s">
        <v>304</v>
      </c>
      <c r="D85" s="2290"/>
      <c r="E85" s="743">
        <f>SUMIF($M$24:$M$71,"CELESTE",$I$24:$I$71)*2</f>
        <v>0</v>
      </c>
      <c r="G85" s="2000"/>
    </row>
    <row r="86" spans="3:13" ht="27.75" customHeight="1">
      <c r="C86" s="688" t="s">
        <v>33</v>
      </c>
      <c r="D86" s="688"/>
      <c r="E86" s="743">
        <f>SUMIF($M$24:$M$71,"LILA",$I$24:$I$71)*2</f>
        <v>0</v>
      </c>
      <c r="G86" s="2000"/>
    </row>
    <row r="87" spans="3:13" ht="27.75" customHeight="1">
      <c r="C87" s="688" t="s">
        <v>307</v>
      </c>
      <c r="D87" s="688"/>
      <c r="E87" s="743">
        <f>SUMIF($M$24:$M$71,"CRISTAL",$I$24:$I$71)*2</f>
        <v>0</v>
      </c>
      <c r="G87" s="2000"/>
    </row>
    <row r="88" spans="3:13" ht="27.75" customHeight="1">
      <c r="C88" s="688" t="s">
        <v>308</v>
      </c>
      <c r="D88" s="1063"/>
      <c r="E88" s="743">
        <f>SUMIF($M$24:$M$71,"AMARILLO",$I$24:$I$71)*2</f>
        <v>0</v>
      </c>
    </row>
    <row r="89" spans="3:13" ht="27.75" customHeight="1">
      <c r="C89" s="688" t="s">
        <v>309</v>
      </c>
      <c r="D89" s="688"/>
      <c r="E89" s="743">
        <f>SUMIF($M$24:$M$71,"NARANJA*",$I$24:$I$71)*2</f>
        <v>0</v>
      </c>
    </row>
    <row r="90" spans="3:13">
      <c r="C90" s="688" t="s">
        <v>310</v>
      </c>
      <c r="D90" s="688"/>
      <c r="E90" s="743">
        <f>SUMIF($M$24:$M$71,"ROJO*",$I$24:$I$71)*2</f>
        <v>0</v>
      </c>
    </row>
    <row r="91" spans="3:13">
      <c r="C91" s="688" t="s">
        <v>311</v>
      </c>
      <c r="D91" s="688"/>
      <c r="E91" s="743">
        <f>SUMIF($M$24:$M$71,"VERDE",$I$24:$I$71)*2</f>
        <v>0</v>
      </c>
    </row>
    <row r="92" spans="3:13">
      <c r="C92" s="688" t="s">
        <v>312</v>
      </c>
      <c r="D92" s="1063"/>
      <c r="E92" s="743">
        <f>SUMIF($M$24:$M$71,"ROSADO",$I$24:$I$71)*2</f>
        <v>0</v>
      </c>
    </row>
    <row r="93" spans="3:13">
      <c r="C93" s="688" t="s">
        <v>313</v>
      </c>
      <c r="D93" s="688"/>
      <c r="E93" s="743">
        <f>SUMIF($M$24:$M$71,"CREMA",$I$24:$I$71)*2</f>
        <v>0</v>
      </c>
    </row>
    <row r="94" spans="3:13">
      <c r="C94" s="2289" t="s">
        <v>30</v>
      </c>
      <c r="D94" s="2290"/>
      <c r="E94" s="743">
        <v>14500</v>
      </c>
      <c r="F94" s="2" t="s">
        <v>262</v>
      </c>
    </row>
    <row r="95" spans="3:13" ht="24" thickBot="1">
      <c r="C95" s="2287" t="s">
        <v>31</v>
      </c>
      <c r="D95" s="2288"/>
      <c r="E95" s="746">
        <v>5</v>
      </c>
    </row>
    <row r="96" spans="3:13">
      <c r="C96" s="1"/>
      <c r="D96" s="1"/>
      <c r="E96" s="608"/>
    </row>
    <row r="97" spans="3:16">
      <c r="C97"/>
      <c r="D97"/>
      <c r="E97"/>
    </row>
    <row r="98" spans="3:16">
      <c r="C98"/>
      <c r="D98"/>
      <c r="E98"/>
    </row>
    <row r="99" spans="3:16">
      <c r="C99"/>
      <c r="D99"/>
      <c r="E99"/>
      <c r="F99" s="1676"/>
      <c r="G99" s="1676"/>
      <c r="H99" s="1676"/>
    </row>
    <row r="100" spans="3:16">
      <c r="C100" s="1677" t="s">
        <v>13</v>
      </c>
      <c r="D100"/>
      <c r="E100"/>
      <c r="F100" s="1"/>
      <c r="G100" s="1"/>
      <c r="H100" s="1"/>
    </row>
    <row r="101" spans="3:16">
      <c r="C101" s="1"/>
      <c r="D101" s="1"/>
      <c r="E101" s="1"/>
      <c r="F101" s="1"/>
      <c r="G101" s="1"/>
      <c r="H101" s="1"/>
    </row>
    <row r="102" spans="3:16">
      <c r="C102" s="1"/>
      <c r="D102" s="1"/>
      <c r="E102" s="1"/>
      <c r="F102" s="1"/>
      <c r="G102" s="1"/>
      <c r="H102" s="1"/>
    </row>
    <row r="103" spans="3:16">
      <c r="C103" s="1"/>
      <c r="D103" s="1"/>
      <c r="E103" s="1"/>
    </row>
    <row r="104" spans="3:16">
      <c r="C104" s="1"/>
      <c r="D104" s="1"/>
      <c r="E104" s="1"/>
      <c r="J104" s="1"/>
      <c r="K104" s="3"/>
      <c r="L104" s="1"/>
      <c r="M104" s="3"/>
      <c r="N104" s="1"/>
      <c r="O104" s="1"/>
      <c r="P104" s="1"/>
    </row>
    <row r="105" spans="3:16">
      <c r="C105" s="1"/>
      <c r="D105" s="1"/>
      <c r="E105" s="1"/>
      <c r="J105" s="1"/>
      <c r="K105" s="3"/>
      <c r="L105" s="1"/>
      <c r="M105" s="3"/>
      <c r="N105" s="1"/>
      <c r="O105" s="1"/>
      <c r="P105" s="1"/>
    </row>
    <row r="106" spans="3:16">
      <c r="F106" s="1"/>
      <c r="G106" s="1"/>
      <c r="H106" s="1"/>
      <c r="I106" s="1"/>
      <c r="J106" s="1"/>
      <c r="K106" s="3"/>
      <c r="L106" s="1"/>
      <c r="M106" s="3"/>
      <c r="N106" s="1"/>
      <c r="O106" s="1"/>
      <c r="P106" s="1"/>
    </row>
    <row r="107" spans="3:16">
      <c r="C107" s="1"/>
      <c r="D107" s="1"/>
      <c r="E107" s="1"/>
      <c r="F107" s="1"/>
      <c r="G107" s="1"/>
      <c r="H107" s="1"/>
      <c r="I107" s="1"/>
      <c r="J107" s="1"/>
      <c r="K107" s="3"/>
      <c r="L107" s="1"/>
      <c r="M107" s="3"/>
      <c r="N107" s="1"/>
      <c r="O107" s="1"/>
      <c r="P107" s="1"/>
    </row>
    <row r="108" spans="3:16">
      <c r="C108" s="1"/>
      <c r="D108" s="1"/>
      <c r="E108" s="1"/>
      <c r="F108" s="1"/>
      <c r="G108" s="1"/>
      <c r="H108" s="1"/>
      <c r="I108" s="1"/>
      <c r="J108" s="1"/>
      <c r="K108" s="3"/>
      <c r="L108" s="1"/>
      <c r="M108" s="3"/>
      <c r="N108" s="1"/>
      <c r="O108" s="1"/>
      <c r="P108" s="1"/>
    </row>
    <row r="109" spans="3:16">
      <c r="C109" s="1"/>
      <c r="D109" s="1"/>
      <c r="E109" s="1"/>
      <c r="F109" s="1"/>
      <c r="G109" s="1"/>
      <c r="H109" s="1"/>
      <c r="I109" s="1"/>
      <c r="J109" s="1"/>
      <c r="K109" s="3"/>
      <c r="L109" s="1"/>
      <c r="M109" s="3"/>
      <c r="N109" s="1"/>
      <c r="O109" s="1"/>
      <c r="P109" s="1"/>
    </row>
    <row r="110" spans="3:16">
      <c r="C110" s="1"/>
      <c r="D110" s="1"/>
      <c r="E110" s="1"/>
      <c r="F110" s="1"/>
      <c r="G110" s="1"/>
      <c r="H110" s="1"/>
      <c r="I110" s="1"/>
      <c r="J110" s="1"/>
      <c r="K110" s="3"/>
      <c r="L110" s="1"/>
      <c r="M110" s="3"/>
      <c r="N110" s="1"/>
      <c r="O110" s="1"/>
      <c r="P110" s="1"/>
    </row>
    <row r="111" spans="3:16">
      <c r="C111" s="1"/>
      <c r="D111" s="1"/>
      <c r="E111" s="1"/>
      <c r="F111" s="1"/>
      <c r="G111" s="1"/>
      <c r="H111" s="1"/>
      <c r="I111" s="1"/>
      <c r="J111" s="1"/>
      <c r="K111" s="3"/>
      <c r="L111" s="1"/>
      <c r="M111" s="3"/>
      <c r="N111" s="1"/>
      <c r="O111" s="1"/>
      <c r="P111" s="1"/>
    </row>
    <row r="112" spans="3:16">
      <c r="C112" s="1"/>
      <c r="D112" s="1"/>
      <c r="E112" s="1"/>
      <c r="F112" s="1"/>
      <c r="G112" s="1"/>
      <c r="H112" s="1"/>
      <c r="I112" s="1"/>
      <c r="J112" s="1"/>
      <c r="K112" s="3"/>
      <c r="L112" s="1"/>
      <c r="M112" s="3"/>
      <c r="N112" s="1"/>
      <c r="O112" s="1"/>
      <c r="P112" s="1"/>
    </row>
    <row r="113" spans="3:16">
      <c r="C113" s="1"/>
      <c r="D113" s="1"/>
      <c r="E113" s="1"/>
      <c r="F113" s="1"/>
      <c r="G113" s="1"/>
      <c r="H113" s="1"/>
      <c r="I113" s="1"/>
      <c r="J113" s="1"/>
      <c r="K113" s="3"/>
      <c r="L113" s="1"/>
      <c r="M113" s="3"/>
      <c r="N113" s="1"/>
      <c r="O113" s="1"/>
      <c r="P113" s="1"/>
    </row>
    <row r="114" spans="3:16">
      <c r="C114" s="1"/>
      <c r="D114" s="1"/>
      <c r="E114" s="1"/>
      <c r="F114" s="1"/>
      <c r="G114" s="1"/>
      <c r="H114" s="1"/>
      <c r="I114" s="1"/>
      <c r="J114" s="1"/>
      <c r="K114" s="3"/>
      <c r="L114" s="1"/>
      <c r="M114" s="3"/>
      <c r="N114" s="1"/>
      <c r="O114" s="1"/>
      <c r="P114" s="1"/>
    </row>
    <row r="115" spans="3:16">
      <c r="C115" s="1"/>
      <c r="D115" s="1"/>
      <c r="E115" s="1"/>
      <c r="F115" s="1"/>
      <c r="G115" s="1"/>
      <c r="H115" s="1"/>
      <c r="I115" s="1"/>
      <c r="J115" s="1"/>
      <c r="K115" s="3"/>
      <c r="L115" s="1"/>
      <c r="M115" s="3"/>
      <c r="N115" s="1"/>
      <c r="O115" s="1"/>
      <c r="P115" s="1"/>
    </row>
    <row r="116" spans="3:16">
      <c r="C116" s="1"/>
      <c r="D116" s="1"/>
      <c r="E116" s="1"/>
      <c r="F116" s="1"/>
      <c r="G116" s="1"/>
      <c r="H116" s="1"/>
      <c r="I116" s="1"/>
      <c r="J116" s="1"/>
      <c r="K116" s="3"/>
      <c r="L116" s="1"/>
      <c r="M116" s="3"/>
      <c r="N116" s="1"/>
      <c r="O116" s="1"/>
      <c r="P116" s="1"/>
    </row>
    <row r="117" spans="3:16">
      <c r="C117" s="1"/>
      <c r="D117" s="1"/>
      <c r="E117" s="1"/>
      <c r="F117" s="1"/>
      <c r="G117" s="1"/>
      <c r="H117" s="1"/>
      <c r="I117" s="1"/>
      <c r="J117" s="1"/>
      <c r="K117" s="3"/>
      <c r="L117" s="1"/>
      <c r="M117" s="3"/>
      <c r="N117" s="1"/>
      <c r="O117" s="1"/>
      <c r="P117" s="1"/>
    </row>
    <row r="118" spans="3:16">
      <c r="C118" s="1"/>
      <c r="D118" s="1"/>
      <c r="E118" s="1"/>
      <c r="F118" s="1"/>
      <c r="G118" s="1"/>
      <c r="H118" s="1"/>
      <c r="I118" s="1"/>
      <c r="J118" s="1"/>
      <c r="K118" s="3"/>
      <c r="L118" s="1"/>
      <c r="M118" s="3"/>
      <c r="N118" s="1"/>
      <c r="O118" s="1"/>
      <c r="P118" s="1"/>
    </row>
    <row r="119" spans="3:16">
      <c r="C119" s="1"/>
      <c r="D119" s="1"/>
      <c r="E119" s="1"/>
      <c r="F119" s="1"/>
      <c r="G119" s="1"/>
      <c r="H119" s="1"/>
      <c r="I119" s="1"/>
      <c r="J119" s="1"/>
      <c r="K119" s="3"/>
      <c r="L119" s="1"/>
      <c r="M119" s="3"/>
      <c r="N119" s="1"/>
      <c r="O119" s="1"/>
      <c r="P119" s="1"/>
    </row>
    <row r="120" spans="3:16">
      <c r="C120" s="1"/>
      <c r="D120" s="1"/>
      <c r="E120" s="1"/>
      <c r="F120" s="1"/>
      <c r="G120" s="1"/>
      <c r="H120" s="1"/>
      <c r="I120" s="1"/>
      <c r="J120" s="1"/>
      <c r="K120" s="3"/>
      <c r="L120" s="1"/>
      <c r="M120" s="3"/>
      <c r="N120" s="1"/>
      <c r="O120" s="1"/>
      <c r="P120" s="1"/>
    </row>
    <row r="121" spans="3:16">
      <c r="C121" s="1"/>
      <c r="D121" s="1"/>
      <c r="E121" s="1"/>
      <c r="F121" s="1"/>
      <c r="G121" s="1"/>
      <c r="H121" s="1"/>
      <c r="I121" s="1"/>
      <c r="J121" s="1"/>
      <c r="K121" s="3"/>
      <c r="L121" s="1"/>
      <c r="M121" s="3"/>
      <c r="N121" s="1"/>
      <c r="O121" s="1"/>
      <c r="P121" s="1"/>
    </row>
    <row r="122" spans="3:16">
      <c r="C122" s="1"/>
      <c r="D122" s="1"/>
      <c r="E122" s="1"/>
      <c r="F122" s="1"/>
      <c r="G122" s="1"/>
      <c r="H122" s="1"/>
      <c r="I122" s="1"/>
      <c r="J122" s="1"/>
      <c r="K122" s="3"/>
      <c r="L122" s="1"/>
      <c r="M122" s="3"/>
      <c r="N122" s="1"/>
      <c r="O122" s="1"/>
      <c r="P122" s="1"/>
    </row>
    <row r="123" spans="3:16">
      <c r="C123" s="1"/>
      <c r="D123" s="1"/>
      <c r="E123" s="1"/>
      <c r="F123" s="1"/>
      <c r="G123" s="1"/>
      <c r="H123" s="1"/>
      <c r="I123" s="1"/>
      <c r="J123" s="1"/>
      <c r="K123" s="3"/>
      <c r="L123" s="1"/>
      <c r="M123" s="3"/>
      <c r="N123" s="1"/>
      <c r="O123" s="1"/>
      <c r="P123" s="1"/>
    </row>
    <row r="124" spans="3:16">
      <c r="C124" s="1"/>
      <c r="D124" s="1"/>
      <c r="E124" s="1"/>
      <c r="F124" s="1"/>
      <c r="G124" s="1"/>
      <c r="H124" s="1"/>
      <c r="I124" s="1"/>
      <c r="J124" s="1"/>
      <c r="K124" s="3"/>
      <c r="L124" s="1"/>
      <c r="M124" s="3"/>
      <c r="N124" s="1"/>
      <c r="O124" s="1"/>
      <c r="P124" s="1"/>
    </row>
    <row r="125" spans="3:16">
      <c r="C125" s="1"/>
      <c r="D125" s="1"/>
      <c r="E125" s="1"/>
      <c r="F125" s="1"/>
      <c r="G125" s="1"/>
      <c r="H125" s="1"/>
      <c r="I125" s="1"/>
      <c r="J125" s="1"/>
      <c r="K125" s="3"/>
      <c r="L125" s="1"/>
      <c r="M125" s="3"/>
      <c r="N125" s="1"/>
      <c r="O125" s="1"/>
      <c r="P125" s="1"/>
    </row>
    <row r="126" spans="3:16">
      <c r="C126" s="1"/>
      <c r="D126" s="1"/>
      <c r="E126" s="1"/>
      <c r="F126" s="1"/>
      <c r="G126" s="1"/>
      <c r="H126" s="1"/>
      <c r="I126" s="1"/>
      <c r="J126" s="1"/>
      <c r="K126" s="3"/>
      <c r="L126" s="1"/>
      <c r="M126" s="3"/>
      <c r="N126" s="1"/>
      <c r="O126" s="1"/>
      <c r="P126" s="1"/>
    </row>
    <row r="127" spans="3:16">
      <c r="C127" s="1"/>
      <c r="D127" s="1"/>
      <c r="E127" s="1"/>
      <c r="F127" s="1"/>
      <c r="G127" s="1"/>
      <c r="H127" s="1"/>
      <c r="I127" s="1"/>
      <c r="J127" s="1"/>
      <c r="K127" s="3"/>
      <c r="L127" s="1"/>
      <c r="M127" s="3"/>
      <c r="N127" s="1"/>
      <c r="O127" s="1"/>
      <c r="P127" s="1"/>
    </row>
    <row r="128" spans="3:16">
      <c r="C128" s="1"/>
      <c r="D128" s="1"/>
      <c r="E128" s="1"/>
      <c r="F128" s="1"/>
      <c r="G128" s="1"/>
      <c r="H128" s="1"/>
      <c r="I128" s="1"/>
      <c r="J128" s="1"/>
      <c r="K128" s="3"/>
      <c r="L128" s="1"/>
      <c r="M128" s="3"/>
      <c r="N128" s="1"/>
      <c r="O128" s="1"/>
      <c r="P128" s="1"/>
    </row>
    <row r="129" spans="3:16">
      <c r="C129" s="1"/>
      <c r="D129" s="1"/>
      <c r="E129" s="1"/>
      <c r="F129" s="1"/>
      <c r="G129" s="1"/>
      <c r="H129" s="1"/>
      <c r="I129" s="1"/>
      <c r="J129" s="1"/>
      <c r="K129" s="3"/>
      <c r="L129" s="1"/>
      <c r="M129" s="3"/>
      <c r="N129" s="1"/>
      <c r="O129" s="1"/>
      <c r="P129" s="1"/>
    </row>
    <row r="130" spans="3:16">
      <c r="C130" s="1"/>
      <c r="D130" s="1"/>
      <c r="E130" s="1"/>
      <c r="F130" s="1"/>
      <c r="G130" s="1"/>
      <c r="H130" s="1"/>
      <c r="I130" s="1"/>
      <c r="J130" s="1"/>
      <c r="K130" s="3"/>
      <c r="L130" s="1"/>
      <c r="M130" s="3"/>
      <c r="N130" s="1"/>
      <c r="O130" s="1"/>
      <c r="P130" s="1"/>
    </row>
    <row r="131" spans="3:16">
      <c r="C131" s="1"/>
      <c r="D131" s="1"/>
      <c r="E131" s="1"/>
      <c r="F131" s="1"/>
      <c r="G131" s="1"/>
      <c r="H131" s="1"/>
      <c r="I131" s="1"/>
      <c r="J131" s="1"/>
      <c r="K131" s="3"/>
      <c r="L131" s="1"/>
      <c r="M131" s="3"/>
      <c r="N131" s="1"/>
      <c r="O131" s="1"/>
      <c r="P131" s="1"/>
    </row>
    <row r="132" spans="3:16">
      <c r="C132" s="1"/>
      <c r="D132" s="1"/>
      <c r="E132" s="1"/>
      <c r="F132" s="1"/>
      <c r="G132" s="1"/>
      <c r="H132" s="1"/>
      <c r="I132" s="1"/>
      <c r="J132" s="1"/>
      <c r="K132" s="3"/>
      <c r="L132" s="1"/>
      <c r="M132" s="3"/>
      <c r="N132" s="1"/>
      <c r="O132" s="1"/>
      <c r="P132" s="1"/>
    </row>
    <row r="133" spans="3:16">
      <c r="C133" s="1"/>
      <c r="D133" s="1"/>
      <c r="E133" s="1"/>
      <c r="F133" s="1"/>
      <c r="G133" s="1"/>
      <c r="H133" s="1"/>
      <c r="I133" s="1"/>
      <c r="J133" s="1"/>
      <c r="K133" s="3"/>
      <c r="L133" s="1"/>
      <c r="M133" s="3"/>
      <c r="N133" s="1"/>
      <c r="O133" s="1"/>
      <c r="P133" s="1"/>
    </row>
    <row r="134" spans="3:16">
      <c r="C134" s="1"/>
      <c r="D134" s="1"/>
      <c r="E134" s="1"/>
      <c r="F134" s="1"/>
      <c r="G134" s="1"/>
      <c r="H134" s="1"/>
      <c r="I134" s="1"/>
      <c r="J134" s="1"/>
      <c r="K134" s="3"/>
      <c r="L134" s="1"/>
      <c r="M134" s="3"/>
      <c r="N134" s="1"/>
      <c r="O134" s="1"/>
      <c r="P134" s="1"/>
    </row>
    <row r="135" spans="3:16">
      <c r="C135" s="1"/>
      <c r="D135" s="1"/>
      <c r="E135" s="1"/>
      <c r="F135" s="1"/>
      <c r="G135" s="1"/>
      <c r="H135" s="1"/>
      <c r="I135" s="1"/>
      <c r="J135" s="1"/>
      <c r="K135" s="3"/>
      <c r="L135" s="1"/>
      <c r="M135" s="3"/>
      <c r="N135" s="1"/>
      <c r="O135" s="1"/>
      <c r="P135" s="1"/>
    </row>
    <row r="136" spans="3:16">
      <c r="C136" s="1"/>
      <c r="D136" s="1"/>
      <c r="E136" s="1"/>
      <c r="F136" s="1"/>
      <c r="G136" s="1"/>
      <c r="H136" s="1"/>
      <c r="I136" s="1"/>
      <c r="J136" s="1"/>
      <c r="K136" s="3"/>
      <c r="L136" s="1"/>
      <c r="M136" s="3"/>
      <c r="N136" s="1"/>
      <c r="O136" s="1"/>
      <c r="P136" s="1"/>
    </row>
    <row r="137" spans="3:16">
      <c r="C137" s="1"/>
      <c r="D137" s="1"/>
      <c r="E137" s="1"/>
      <c r="F137" s="1"/>
      <c r="G137" s="1"/>
      <c r="H137" s="1"/>
      <c r="I137" s="1"/>
      <c r="J137" s="1"/>
      <c r="K137" s="3"/>
      <c r="L137" s="1"/>
      <c r="M137" s="3"/>
      <c r="N137" s="1"/>
      <c r="O137" s="1"/>
      <c r="P137" s="1"/>
    </row>
    <row r="138" spans="3:16">
      <c r="C138" s="1"/>
      <c r="D138" s="1"/>
      <c r="E138" s="1"/>
      <c r="F138" s="1"/>
      <c r="G138" s="1"/>
      <c r="H138" s="1"/>
      <c r="I138" s="1"/>
      <c r="J138" s="1"/>
      <c r="K138" s="3"/>
      <c r="L138" s="1"/>
      <c r="M138" s="3"/>
      <c r="N138" s="1"/>
      <c r="O138" s="1"/>
      <c r="P138" s="1"/>
    </row>
    <row r="139" spans="3:16">
      <c r="C139" s="1"/>
      <c r="D139" s="1"/>
      <c r="E139" s="1"/>
      <c r="F139" s="1"/>
      <c r="G139" s="1"/>
      <c r="H139" s="1"/>
      <c r="I139" s="1"/>
      <c r="J139" s="1"/>
      <c r="K139" s="3"/>
      <c r="L139" s="1"/>
      <c r="M139" s="3"/>
      <c r="N139" s="1"/>
      <c r="O139" s="1"/>
      <c r="P139" s="1"/>
    </row>
    <row r="140" spans="3:16">
      <c r="C140" s="1"/>
      <c r="D140" s="1"/>
      <c r="E140" s="1"/>
      <c r="F140" s="1"/>
      <c r="G140" s="1"/>
      <c r="H140" s="1"/>
      <c r="I140" s="1"/>
      <c r="J140" s="1"/>
      <c r="K140" s="3"/>
      <c r="L140" s="1"/>
      <c r="M140" s="3"/>
      <c r="N140" s="1"/>
      <c r="O140" s="1"/>
      <c r="P140" s="1"/>
    </row>
    <row r="141" spans="3:16">
      <c r="C141" s="1"/>
      <c r="D141" s="1"/>
      <c r="E141" s="1"/>
      <c r="F141" s="1"/>
      <c r="G141" s="1"/>
      <c r="H141" s="1"/>
      <c r="I141" s="1"/>
      <c r="J141" s="1"/>
      <c r="K141" s="3"/>
      <c r="L141" s="1"/>
      <c r="M141" s="3"/>
      <c r="N141" s="1"/>
      <c r="O141" s="1"/>
      <c r="P141" s="1"/>
    </row>
    <row r="142" spans="3:16">
      <c r="C142" s="1"/>
      <c r="D142" s="1"/>
      <c r="E142" s="1"/>
      <c r="F142" s="1"/>
      <c r="G142" s="1"/>
      <c r="H142" s="1"/>
      <c r="I142" s="1"/>
      <c r="J142" s="1"/>
      <c r="K142" s="3"/>
      <c r="L142" s="1"/>
      <c r="M142" s="3"/>
      <c r="N142" s="1"/>
      <c r="O142" s="1"/>
      <c r="P142" s="1"/>
    </row>
    <row r="143" spans="3:16">
      <c r="C143" s="1"/>
      <c r="D143" s="1"/>
      <c r="E143" s="1"/>
      <c r="F143" s="1"/>
      <c r="G143" s="1"/>
      <c r="H143" s="1"/>
      <c r="I143" s="1"/>
      <c r="J143" s="1"/>
      <c r="K143" s="3"/>
      <c r="L143" s="1"/>
      <c r="M143" s="3"/>
      <c r="N143" s="1"/>
      <c r="O143" s="1"/>
      <c r="P143" s="1"/>
    </row>
    <row r="144" spans="3:16">
      <c r="C144" s="1"/>
      <c r="D144" s="1"/>
      <c r="E144" s="1"/>
      <c r="F144" s="1"/>
      <c r="G144" s="1"/>
      <c r="H144" s="1"/>
      <c r="I144" s="1"/>
      <c r="J144" s="1"/>
      <c r="K144" s="3"/>
      <c r="L144" s="1"/>
      <c r="M144" s="3"/>
      <c r="N144" s="1"/>
      <c r="O144" s="1"/>
      <c r="P144" s="1"/>
    </row>
    <row r="145" spans="3:16">
      <c r="C145" s="1"/>
      <c r="D145" s="1"/>
      <c r="E145" s="1"/>
      <c r="F145" s="1"/>
      <c r="G145" s="1"/>
      <c r="H145" s="1"/>
      <c r="I145" s="1"/>
      <c r="J145" s="1"/>
      <c r="K145" s="3"/>
      <c r="L145" s="1"/>
      <c r="M145" s="3"/>
      <c r="N145" s="1"/>
      <c r="O145" s="1"/>
      <c r="P145" s="1"/>
    </row>
    <row r="146" spans="3:16">
      <c r="C146" s="1"/>
      <c r="D146" s="1"/>
      <c r="E146" s="1"/>
      <c r="F146" s="1"/>
      <c r="G146" s="1"/>
      <c r="H146" s="1"/>
      <c r="I146" s="1"/>
      <c r="J146" s="1"/>
      <c r="K146" s="3"/>
      <c r="L146" s="1"/>
      <c r="M146" s="3"/>
      <c r="N146" s="1"/>
      <c r="O146" s="1"/>
      <c r="P146" s="1"/>
    </row>
    <row r="147" spans="3:16">
      <c r="C147" s="1"/>
      <c r="D147" s="1"/>
      <c r="E147" s="1"/>
      <c r="F147" s="1"/>
      <c r="G147" s="1"/>
      <c r="H147" s="1"/>
      <c r="I147" s="1"/>
      <c r="J147" s="1"/>
      <c r="K147" s="3"/>
      <c r="L147" s="1"/>
      <c r="M147" s="3"/>
      <c r="N147" s="1"/>
      <c r="O147" s="1"/>
      <c r="P147" s="1"/>
    </row>
    <row r="148" spans="3:16">
      <c r="C148" s="1"/>
      <c r="D148" s="1"/>
      <c r="E148" s="1"/>
      <c r="F148" s="1"/>
      <c r="G148" s="1"/>
      <c r="H148" s="1"/>
      <c r="I148" s="1"/>
      <c r="J148" s="1"/>
      <c r="K148" s="3"/>
      <c r="L148" s="1"/>
      <c r="M148" s="3"/>
      <c r="N148" s="1"/>
      <c r="O148" s="1"/>
      <c r="P148" s="1"/>
    </row>
    <row r="149" spans="3:16">
      <c r="C149" s="1"/>
      <c r="D149" s="1"/>
      <c r="E149" s="1"/>
      <c r="F149" s="1"/>
      <c r="G149" s="1"/>
      <c r="H149" s="1"/>
      <c r="I149" s="1"/>
      <c r="J149" s="1"/>
      <c r="K149" s="3"/>
      <c r="L149" s="1"/>
      <c r="M149" s="3"/>
      <c r="N149" s="1"/>
      <c r="O149" s="1"/>
      <c r="P149" s="1"/>
    </row>
    <row r="150" spans="3:16">
      <c r="C150" s="1"/>
      <c r="D150" s="1"/>
      <c r="E150" s="1"/>
      <c r="F150" s="1"/>
      <c r="G150" s="1"/>
      <c r="H150" s="1"/>
      <c r="I150" s="1"/>
      <c r="J150" s="1"/>
      <c r="K150" s="3"/>
      <c r="L150" s="1"/>
      <c r="M150" s="3"/>
      <c r="N150" s="1"/>
      <c r="O150" s="1"/>
      <c r="P150" s="1"/>
    </row>
    <row r="151" spans="3:16">
      <c r="C151" s="1"/>
      <c r="D151" s="1"/>
      <c r="E151" s="1"/>
      <c r="F151" s="1"/>
      <c r="G151" s="1"/>
      <c r="H151" s="1"/>
      <c r="I151" s="1"/>
      <c r="J151" s="1"/>
      <c r="K151" s="3"/>
      <c r="L151" s="1"/>
      <c r="M151" s="3"/>
      <c r="N151" s="1"/>
      <c r="O151" s="1"/>
      <c r="P151" s="1"/>
    </row>
    <row r="152" spans="3:16">
      <c r="C152" s="1"/>
      <c r="D152" s="1"/>
      <c r="E152" s="1"/>
      <c r="F152" s="1"/>
      <c r="G152" s="1"/>
      <c r="H152" s="1"/>
      <c r="I152" s="1"/>
      <c r="J152" s="1"/>
      <c r="K152" s="3"/>
      <c r="L152" s="1"/>
      <c r="M152" s="3"/>
      <c r="N152" s="1"/>
      <c r="O152" s="1"/>
      <c r="P152" s="1"/>
    </row>
    <row r="153" spans="3:16">
      <c r="C153" s="1"/>
      <c r="D153" s="1"/>
      <c r="E153" s="1"/>
      <c r="F153" s="1"/>
      <c r="G153" s="1"/>
      <c r="H153" s="1"/>
      <c r="I153" s="1"/>
      <c r="J153" s="1"/>
      <c r="K153" s="3"/>
      <c r="L153" s="1"/>
      <c r="M153" s="3"/>
      <c r="N153" s="1"/>
      <c r="O153" s="1"/>
      <c r="P153" s="1"/>
    </row>
    <row r="154" spans="3:16">
      <c r="C154" s="1"/>
      <c r="D154" s="1"/>
      <c r="E154" s="1"/>
      <c r="F154" s="1"/>
      <c r="G154" s="1"/>
      <c r="H154" s="1"/>
      <c r="I154" s="1"/>
      <c r="J154" s="1"/>
      <c r="K154" s="3"/>
      <c r="L154" s="1"/>
      <c r="M154" s="3"/>
      <c r="N154" s="1"/>
      <c r="O154" s="1"/>
      <c r="P154" s="1"/>
    </row>
  </sheetData>
  <autoFilter ref="M23:M71" xr:uid="{5B5DB3EB-D72A-4332-82BD-7E74D0522219}"/>
  <mergeCells count="23">
    <mergeCell ref="P47:Q47"/>
    <mergeCell ref="C95:D95"/>
    <mergeCell ref="C79:D79"/>
    <mergeCell ref="C82:D82"/>
    <mergeCell ref="C94:D94"/>
    <mergeCell ref="B72:D72"/>
    <mergeCell ref="C76:D76"/>
    <mergeCell ref="C85:D85"/>
    <mergeCell ref="D17:J17"/>
    <mergeCell ref="B22:C22"/>
    <mergeCell ref="C3:J4"/>
    <mergeCell ref="C18:C19"/>
    <mergeCell ref="K17:K18"/>
    <mergeCell ref="C20:J20"/>
    <mergeCell ref="C14:D14"/>
    <mergeCell ref="C12:D12"/>
    <mergeCell ref="C13:D13"/>
    <mergeCell ref="C15:D15"/>
    <mergeCell ref="P28:Q28"/>
    <mergeCell ref="P31:Q31"/>
    <mergeCell ref="P34:Q34"/>
    <mergeCell ref="P37:Q37"/>
    <mergeCell ref="P46:Q46"/>
  </mergeCells>
  <phoneticPr fontId="8" type="noConversion"/>
  <pageMargins left="0.31496062992125984" right="0.11811023622047245" top="0.31496062992125984" bottom="0.31496062992125984" header="0.31496062992125984" footer="0.31496062992125984"/>
  <pageSetup paperSize="9" scale="33" fitToHeight="0" orientation="portrait" horizontalDpi="4294967293" verticalDpi="360" r:id="rId1"/>
  <ignoredErrors>
    <ignoredError sqref="G24:G47" formula="1"/>
    <ignoredError sqref="E14" numberStoredAsText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8FA15-F741-4B06-AC8F-C531D89437AF}">
  <sheetPr codeName="Hoja3">
    <tabColor rgb="FFFFC000"/>
  </sheetPr>
  <dimension ref="A1:R149"/>
  <sheetViews>
    <sheetView showGridLines="0" view="pageBreakPreview" zoomScaleNormal="55" zoomScaleSheetLayoutView="100" zoomScalePageLayoutView="42" workbookViewId="0">
      <selection activeCell="G69" sqref="G69"/>
    </sheetView>
  </sheetViews>
  <sheetFormatPr baseColWidth="10" defaultColWidth="14.42578125" defaultRowHeight="23.25"/>
  <cols>
    <col min="1" max="1" width="2.28515625" style="2" customWidth="1"/>
    <col min="2" max="2" width="11.5703125" style="2" customWidth="1"/>
    <col min="3" max="3" width="12.28515625" style="2" customWidth="1"/>
    <col min="4" max="4" width="12.7109375" style="2" customWidth="1"/>
    <col min="5" max="5" width="10.42578125" style="2" customWidth="1"/>
    <col min="6" max="6" width="10.7109375" style="2" customWidth="1"/>
    <col min="7" max="7" width="10.85546875" style="2" customWidth="1"/>
    <col min="8" max="9" width="11.5703125" style="5" customWidth="1"/>
    <col min="10" max="10" width="11.28515625" style="5" customWidth="1"/>
    <col min="11" max="11" width="10.85546875" style="5" customWidth="1"/>
    <col min="12" max="13" width="11.28515625" style="5" customWidth="1"/>
    <col min="14" max="14" width="11.7109375" style="5" customWidth="1"/>
    <col min="15" max="15" width="11.5703125" style="2" customWidth="1"/>
    <col min="16" max="16" width="4.42578125" style="2" customWidth="1"/>
    <col min="17" max="17" width="16.5703125" style="2" customWidth="1"/>
    <col min="18" max="18" width="51.85546875" style="2" customWidth="1"/>
    <col min="19" max="19" width="6.5703125" style="2" customWidth="1"/>
    <col min="20" max="16384" width="14.42578125" style="2"/>
  </cols>
  <sheetData>
    <row r="1" spans="2:18" ht="30.75" customHeight="1">
      <c r="C1" s="1"/>
      <c r="D1" s="1"/>
      <c r="E1" s="1"/>
      <c r="F1" s="1"/>
      <c r="G1" s="1"/>
      <c r="H1" s="3"/>
      <c r="I1" s="3"/>
      <c r="J1" s="3"/>
      <c r="K1" s="3"/>
      <c r="L1" s="3"/>
      <c r="M1" s="3"/>
      <c r="N1" s="3"/>
      <c r="O1" s="1"/>
      <c r="P1" s="1"/>
    </row>
    <row r="2" spans="2:18" ht="30.75" customHeight="1">
      <c r="C2" s="2281" t="s">
        <v>147</v>
      </c>
      <c r="D2" s="2281"/>
      <c r="E2" s="2281"/>
      <c r="F2" s="2281"/>
      <c r="G2" s="2281"/>
      <c r="H2" s="2281"/>
      <c r="I2" s="2281"/>
      <c r="J2" s="2281"/>
      <c r="K2" s="2281"/>
      <c r="L2" s="2281"/>
      <c r="M2" s="2281"/>
      <c r="N2" s="2281"/>
      <c r="O2" s="2281"/>
      <c r="P2" s="1"/>
      <c r="Q2" s="90" t="s">
        <v>151</v>
      </c>
    </row>
    <row r="3" spans="2:18" ht="30.75" customHeight="1">
      <c r="C3" s="2281"/>
      <c r="D3" s="2281"/>
      <c r="E3" s="2281"/>
      <c r="F3" s="2281"/>
      <c r="G3" s="2281"/>
      <c r="H3" s="2281"/>
      <c r="I3" s="2281"/>
      <c r="J3" s="2281"/>
      <c r="K3" s="2281"/>
      <c r="L3" s="2281"/>
      <c r="M3" s="2281"/>
      <c r="N3" s="2281"/>
      <c r="O3" s="2281"/>
      <c r="P3" s="90"/>
      <c r="Q3" s="91">
        <f>+PP!E10</f>
        <v>46199</v>
      </c>
    </row>
    <row r="4" spans="2:18" ht="18.75" customHeight="1">
      <c r="B4" s="2301" t="s">
        <v>171</v>
      </c>
      <c r="C4" s="2301"/>
      <c r="D4" s="319" t="str">
        <f>+PP!K7</f>
        <v>N° 102</v>
      </c>
      <c r="H4" s="6"/>
      <c r="I4" s="6"/>
      <c r="L4" s="6"/>
      <c r="M4" s="6"/>
      <c r="N4" s="6"/>
      <c r="O4" s="1"/>
      <c r="P4" s="1"/>
    </row>
    <row r="5" spans="2:18" s="78" customFormat="1" ht="5.25" customHeight="1">
      <c r="H5" s="79"/>
      <c r="I5" s="79"/>
      <c r="L5" s="79"/>
      <c r="M5" s="79"/>
      <c r="N5" s="79"/>
      <c r="O5" s="80"/>
      <c r="P5" s="80"/>
    </row>
    <row r="6" spans="2:18" s="78" customFormat="1" ht="15.75" customHeight="1">
      <c r="B6" s="84" t="s">
        <v>143</v>
      </c>
      <c r="H6" s="79"/>
      <c r="I6" s="79"/>
      <c r="J6" s="79" t="s">
        <v>192</v>
      </c>
      <c r="K6" s="79"/>
      <c r="L6" s="79"/>
      <c r="M6" s="79"/>
      <c r="N6" s="79"/>
      <c r="O6" s="80"/>
      <c r="P6" s="80"/>
    </row>
    <row r="7" spans="2:18" s="78" customFormat="1" ht="24" customHeight="1">
      <c r="B7" s="93" t="s">
        <v>145</v>
      </c>
      <c r="C7" s="93" t="s">
        <v>144</v>
      </c>
      <c r="D7" s="134" t="s">
        <v>152</v>
      </c>
      <c r="E7" s="134" t="s">
        <v>438</v>
      </c>
      <c r="F7" s="93" t="s">
        <v>149</v>
      </c>
      <c r="G7" s="93" t="s">
        <v>146</v>
      </c>
      <c r="J7" s="93" t="s">
        <v>145</v>
      </c>
      <c r="K7" s="93" t="s">
        <v>144</v>
      </c>
      <c r="L7" s="93" t="str">
        <f>+'R.M'!C16</f>
        <v>LUIS</v>
      </c>
      <c r="M7" s="93" t="str">
        <f>+'R.M'!D16</f>
        <v>CHARLES</v>
      </c>
      <c r="N7" s="93" t="s">
        <v>133</v>
      </c>
      <c r="O7" s="93" t="s">
        <v>3</v>
      </c>
      <c r="P7" s="80"/>
      <c r="Q7" s="80"/>
    </row>
    <row r="8" spans="2:18" s="78" customFormat="1" ht="15.75">
      <c r="B8" s="76" t="s">
        <v>68</v>
      </c>
      <c r="C8" s="353" t="str">
        <f>+'R.M'!C14</f>
        <v>BVM-831</v>
      </c>
      <c r="D8" s="87">
        <f>+'R.M'!C85</f>
        <v>0</v>
      </c>
      <c r="E8" s="87"/>
      <c r="F8" s="76">
        <v>25</v>
      </c>
      <c r="G8" s="142">
        <f>+((D8+E8)*F8)/1000</f>
        <v>0</v>
      </c>
      <c r="J8" s="76" t="s">
        <v>68</v>
      </c>
      <c r="K8" s="76" t="str">
        <f t="shared" ref="K8:K13" si="0">+C8</f>
        <v>BVM-831</v>
      </c>
      <c r="L8" s="76">
        <f>+'R.M'!C84</f>
        <v>0</v>
      </c>
      <c r="M8" s="76">
        <f>+'R.M'!D84</f>
        <v>0</v>
      </c>
      <c r="N8" s="76">
        <v>0</v>
      </c>
      <c r="O8" s="123">
        <f t="shared" ref="O8:O14" si="1">SUM(L8:N8)</f>
        <v>0</v>
      </c>
      <c r="P8" s="80"/>
      <c r="Q8" s="80"/>
    </row>
    <row r="9" spans="2:18" s="78" customFormat="1" ht="15.75">
      <c r="B9" s="76" t="s">
        <v>69</v>
      </c>
      <c r="C9" s="76" t="str">
        <f>+'R.M'!E14</f>
        <v>BLT-949</v>
      </c>
      <c r="D9" s="87">
        <f>+'R.M'!E85</f>
        <v>0</v>
      </c>
      <c r="E9" s="87"/>
      <c r="F9" s="76">
        <v>25</v>
      </c>
      <c r="G9" s="142">
        <f t="shared" ref="G9:G17" si="2">+((D9+E9)*F9)/1000</f>
        <v>0</v>
      </c>
      <c r="J9" s="76" t="s">
        <v>69</v>
      </c>
      <c r="K9" s="76" t="str">
        <f t="shared" si="0"/>
        <v>BLT-949</v>
      </c>
      <c r="L9" s="76">
        <f>+'R.M'!E84</f>
        <v>0</v>
      </c>
      <c r="M9" s="76">
        <f>+'R.M'!F84</f>
        <v>0</v>
      </c>
      <c r="N9" s="76">
        <v>0</v>
      </c>
      <c r="O9" s="123">
        <f t="shared" si="1"/>
        <v>0</v>
      </c>
      <c r="P9" s="80"/>
      <c r="Q9" s="80"/>
    </row>
    <row r="10" spans="2:18" s="78" customFormat="1" ht="15.75">
      <c r="B10" s="76" t="s">
        <v>70</v>
      </c>
      <c r="C10" s="76" t="str">
        <f>+'R.M'!G14</f>
        <v>BLZ-782</v>
      </c>
      <c r="D10" s="87">
        <f>+'R.M'!G85</f>
        <v>0</v>
      </c>
      <c r="E10" s="87"/>
      <c r="F10" s="76">
        <v>25</v>
      </c>
      <c r="G10" s="142">
        <f t="shared" si="2"/>
        <v>0</v>
      </c>
      <c r="J10" s="76" t="s">
        <v>70</v>
      </c>
      <c r="K10" s="76" t="str">
        <f t="shared" si="0"/>
        <v>BLZ-782</v>
      </c>
      <c r="L10" s="76">
        <f>+'R.M'!G84</f>
        <v>0</v>
      </c>
      <c r="M10" s="76">
        <f>+'R.M'!H84</f>
        <v>0</v>
      </c>
      <c r="N10" s="76">
        <v>0</v>
      </c>
      <c r="O10" s="123">
        <f t="shared" si="1"/>
        <v>0</v>
      </c>
      <c r="P10" s="80"/>
      <c r="Q10" s="80"/>
    </row>
    <row r="11" spans="2:18" s="78" customFormat="1" ht="15.75">
      <c r="B11" s="76" t="s">
        <v>71</v>
      </c>
      <c r="C11" s="76">
        <f>+'R.M'!I14</f>
        <v>0</v>
      </c>
      <c r="D11" s="87">
        <f>+'R.M'!I85</f>
        <v>0</v>
      </c>
      <c r="E11" s="87"/>
      <c r="F11" s="76">
        <v>25</v>
      </c>
      <c r="G11" s="142">
        <f t="shared" si="2"/>
        <v>0</v>
      </c>
      <c r="J11" s="76" t="s">
        <v>71</v>
      </c>
      <c r="K11" s="76">
        <f t="shared" si="0"/>
        <v>0</v>
      </c>
      <c r="L11" s="76">
        <f>+'R.M'!I84</f>
        <v>0</v>
      </c>
      <c r="M11" s="76">
        <f>+'R.M'!J84</f>
        <v>0</v>
      </c>
      <c r="N11" s="76">
        <v>0</v>
      </c>
      <c r="O11" s="123">
        <f t="shared" si="1"/>
        <v>0</v>
      </c>
      <c r="P11" s="80"/>
      <c r="Q11" s="80"/>
    </row>
    <row r="12" spans="2:18" s="78" customFormat="1" ht="15.75">
      <c r="B12" s="76" t="s">
        <v>72</v>
      </c>
      <c r="C12" s="76">
        <f>+'R.M'!K14</f>
        <v>0</v>
      </c>
      <c r="D12" s="87">
        <f>+'R.M'!K85</f>
        <v>0</v>
      </c>
      <c r="E12" s="87"/>
      <c r="F12" s="76">
        <v>25</v>
      </c>
      <c r="G12" s="142">
        <f t="shared" si="2"/>
        <v>0</v>
      </c>
      <c r="J12" s="76" t="s">
        <v>72</v>
      </c>
      <c r="K12" s="76">
        <f t="shared" si="0"/>
        <v>0</v>
      </c>
      <c r="L12" s="76">
        <f>+'R.M'!K84</f>
        <v>0</v>
      </c>
      <c r="M12" s="76">
        <f>+'R.M'!L84</f>
        <v>0</v>
      </c>
      <c r="N12" s="76">
        <v>0</v>
      </c>
      <c r="O12" s="123">
        <f t="shared" si="1"/>
        <v>0</v>
      </c>
      <c r="P12" s="80"/>
      <c r="Q12" s="80"/>
    </row>
    <row r="13" spans="2:18" s="78" customFormat="1" ht="15.75">
      <c r="B13" s="76" t="s">
        <v>148</v>
      </c>
      <c r="C13" s="353">
        <f>+'R.M'!M14</f>
        <v>0</v>
      </c>
      <c r="D13" s="87">
        <f>+'R.M'!M85</f>
        <v>0</v>
      </c>
      <c r="E13" s="87"/>
      <c r="F13" s="76">
        <v>25</v>
      </c>
      <c r="G13" s="142">
        <f t="shared" si="2"/>
        <v>0</v>
      </c>
      <c r="J13" s="76" t="s">
        <v>148</v>
      </c>
      <c r="K13" s="76">
        <f t="shared" si="0"/>
        <v>0</v>
      </c>
      <c r="L13" s="76">
        <f>+'R.M'!M84</f>
        <v>0</v>
      </c>
      <c r="M13" s="76">
        <f>+'R.M'!N84</f>
        <v>0</v>
      </c>
      <c r="N13" s="76">
        <v>0</v>
      </c>
      <c r="O13" s="123">
        <f t="shared" si="1"/>
        <v>0</v>
      </c>
      <c r="P13" s="80"/>
      <c r="Q13" s="80"/>
    </row>
    <row r="14" spans="2:18" s="78" customFormat="1" ht="15.75">
      <c r="B14" s="76" t="s">
        <v>150</v>
      </c>
      <c r="C14" s="353">
        <f>+'R.M'!O14</f>
        <v>0</v>
      </c>
      <c r="D14" s="87">
        <f>+'R.M'!O85</f>
        <v>0</v>
      </c>
      <c r="E14" s="87"/>
      <c r="F14" s="76">
        <v>25</v>
      </c>
      <c r="G14" s="142">
        <f t="shared" si="2"/>
        <v>0</v>
      </c>
      <c r="J14" s="76" t="s">
        <v>150</v>
      </c>
      <c r="K14" s="353">
        <f>+'R.M'!O14</f>
        <v>0</v>
      </c>
      <c r="L14" s="76">
        <f>+'R.M'!O84</f>
        <v>0</v>
      </c>
      <c r="M14" s="76">
        <f>+'R.M'!P84</f>
        <v>0</v>
      </c>
      <c r="N14" s="76">
        <v>0</v>
      </c>
      <c r="O14" s="123">
        <f t="shared" si="1"/>
        <v>0</v>
      </c>
      <c r="P14" s="80"/>
      <c r="Q14" s="80"/>
    </row>
    <row r="15" spans="2:18" s="78" customFormat="1" ht="16.5" thickBot="1">
      <c r="B15" s="85"/>
      <c r="C15" s="85"/>
      <c r="D15" s="85"/>
      <c r="E15" s="85"/>
      <c r="F15" s="76">
        <v>25</v>
      </c>
      <c r="G15" s="142">
        <f t="shared" si="2"/>
        <v>0</v>
      </c>
      <c r="H15" s="1257"/>
      <c r="J15" s="85"/>
      <c r="K15" s="76"/>
      <c r="L15" s="85"/>
      <c r="M15" s="76"/>
      <c r="N15" s="76"/>
      <c r="O15" s="85"/>
      <c r="P15" s="80"/>
      <c r="Q15" s="80"/>
      <c r="R15" s="1146" t="s">
        <v>606</v>
      </c>
    </row>
    <row r="16" spans="2:18" s="78" customFormat="1" ht="16.5" thickBot="1">
      <c r="B16" s="85"/>
      <c r="C16" s="85"/>
      <c r="D16" s="85"/>
      <c r="E16" s="85"/>
      <c r="F16" s="76">
        <v>25</v>
      </c>
      <c r="G16" s="142">
        <f t="shared" si="2"/>
        <v>0</v>
      </c>
      <c r="J16" s="85"/>
      <c r="K16" s="76"/>
      <c r="L16" s="85"/>
      <c r="M16" s="76"/>
      <c r="N16" s="76"/>
      <c r="O16" s="85"/>
      <c r="P16" s="80"/>
      <c r="Q16" s="1147" t="str">
        <f>IF(SUM(F18,O18)=0,"NO REVISADO",IF(OR(ABS(F18-(D18+E18))&gt;0.01,ABS(G18-SUMPRODUCT(D8:D14+E8:E14,F8:F14)/1000)&gt;0.01,ABS(O18-SUM(L18:N18))&gt;0.01),"REVISAR","REVISADO"))</f>
        <v>NO REVISADO</v>
      </c>
      <c r="R16" s="1148" t="str">
        <f>IF(Q16="REVISADO","OK - totales cuadran",IF(SUM(F18,O18)=0,"Sin KG cargado",IF(ABS(F18-(D18+E18))&gt;0.01,"KG total no cuadra; ","")&amp;IF(ABS(G18-SUMPRODUCT(D8:D14+E8:E14,F8:F14)/1000)&gt;0.01,"Total S/. no cuadra; ","")&amp;IF(ABS(O18-SUM(L18:N18))&gt;0.01,"Resumen derecho no cuadra; ","")))</f>
        <v>Sin KG cargado</v>
      </c>
    </row>
    <row r="17" spans="2:18" s="78" customFormat="1" ht="15.75">
      <c r="B17" s="85"/>
      <c r="C17" s="85"/>
      <c r="D17" s="85"/>
      <c r="E17" s="85"/>
      <c r="F17" s="76">
        <v>25</v>
      </c>
      <c r="G17" s="142">
        <f t="shared" si="2"/>
        <v>0</v>
      </c>
      <c r="J17" s="85"/>
      <c r="K17" s="76"/>
      <c r="L17" s="85"/>
      <c r="M17" s="76"/>
      <c r="N17" s="76"/>
      <c r="O17" s="85"/>
      <c r="P17" s="80"/>
      <c r="Q17" s="80"/>
    </row>
    <row r="18" spans="2:18" s="78" customFormat="1" ht="21.75" customHeight="1">
      <c r="B18" s="2302" t="s">
        <v>3</v>
      </c>
      <c r="C18" s="2302"/>
      <c r="D18" s="248">
        <f>SUM(D8:D14)</f>
        <v>0</v>
      </c>
      <c r="E18" s="352">
        <f>SUM(E8:E14)</f>
        <v>0</v>
      </c>
      <c r="F18" s="355">
        <f>+D18+E18</f>
        <v>0</v>
      </c>
      <c r="G18" s="354">
        <f>SUM(G8:G14)</f>
        <v>0</v>
      </c>
      <c r="J18" s="2306" t="s">
        <v>3</v>
      </c>
      <c r="K18" s="2307"/>
      <c r="L18" s="86">
        <f>SUM(L8:L17)</f>
        <v>0</v>
      </c>
      <c r="M18" s="86">
        <f>SUM(M8:M17)</f>
        <v>0</v>
      </c>
      <c r="N18" s="86">
        <f>SUM(N8:N17)</f>
        <v>0</v>
      </c>
      <c r="O18" s="92">
        <f>SUM(O8:O14)</f>
        <v>0</v>
      </c>
      <c r="P18" s="80"/>
      <c r="Q18" s="80"/>
    </row>
    <row r="19" spans="2:18" s="78" customFormat="1" ht="15.75" customHeight="1">
      <c r="B19" s="138"/>
      <c r="C19" s="138"/>
      <c r="D19" s="356"/>
      <c r="E19" s="356"/>
      <c r="F19" s="357"/>
      <c r="G19" s="358"/>
      <c r="H19" s="139"/>
      <c r="I19" s="139"/>
      <c r="J19" s="138"/>
      <c r="K19" s="138"/>
      <c r="L19" s="138"/>
      <c r="M19" s="138"/>
      <c r="N19" s="138"/>
      <c r="O19" s="357"/>
      <c r="P19" s="359"/>
      <c r="Q19" s="359"/>
    </row>
    <row r="20" spans="2:18" s="311" customFormat="1" ht="3" customHeight="1">
      <c r="B20" s="313"/>
    </row>
    <row r="21" spans="2:18" s="78" customFormat="1" ht="18.75" thickBot="1">
      <c r="B21" s="84" t="s">
        <v>439</v>
      </c>
      <c r="C21" s="80"/>
      <c r="D21" s="80"/>
      <c r="E21" s="80"/>
      <c r="F21" s="80"/>
      <c r="G21" s="80"/>
      <c r="H21" s="83"/>
      <c r="I21" s="83"/>
      <c r="J21" s="83"/>
      <c r="K21" s="83"/>
      <c r="L21" s="83"/>
      <c r="M21" s="83"/>
      <c r="N21" s="83"/>
      <c r="O21" s="80"/>
      <c r="R21" s="1146" t="s">
        <v>606</v>
      </c>
    </row>
    <row r="22" spans="2:18" s="78" customFormat="1" ht="16.5" thickBot="1">
      <c r="B22" s="2297" t="s">
        <v>440</v>
      </c>
      <c r="C22" s="2297"/>
      <c r="D22" s="2297"/>
      <c r="E22" s="2297"/>
      <c r="F22" s="2297"/>
      <c r="G22" s="363"/>
      <c r="H22" s="2297" t="s">
        <v>443</v>
      </c>
      <c r="I22" s="2297"/>
      <c r="J22" s="2297"/>
      <c r="K22" s="2297"/>
      <c r="L22" s="2297"/>
      <c r="M22" s="363"/>
      <c r="N22" s="363"/>
      <c r="O22" s="363"/>
      <c r="Q22" s="1147" t="str">
        <f>IF(SUM(C25,I25)=0,"NO REVISADO",IF(OR(E24&lt;=0,K24&lt;=0,ABS(F25-((C25+D25)*E24/1000))&gt;0.01,ABS(L25-((I25+J25)*K24/1000))&gt;0.01),"REVISAR","REVISADO"))</f>
        <v>NO REVISADO</v>
      </c>
      <c r="R22" s="1148" t="str">
        <f>IF(Q22="REVISADO","OK - KG/compensación y total cuadran",IF(SUM(C25,I25)=0,"Sin KG cargado",IF(E24&lt;=0,"Falta monto LINO; ","")&amp;IF(K24&lt;=0,"Falta monto DYLAN; ","")&amp;IF(ABS(F25-((C25+D25)*E24/1000))&gt;0.01,"Total LINO no cuadra; ","")&amp;IF(ABS(L25-((I25+J25)*K24/1000))&gt;0.01,"Total DYLAN no cuadra; ","")))</f>
        <v>Sin KG cargado</v>
      </c>
    </row>
    <row r="23" spans="2:18" s="78" customFormat="1" ht="15.75">
      <c r="B23" s="93" t="s">
        <v>144</v>
      </c>
      <c r="C23" s="93" t="s">
        <v>9</v>
      </c>
      <c r="D23" s="361" t="s">
        <v>441</v>
      </c>
      <c r="E23" s="93" t="s">
        <v>149</v>
      </c>
      <c r="F23" s="93" t="s">
        <v>146</v>
      </c>
      <c r="G23" s="80"/>
      <c r="H23" s="93" t="s">
        <v>144</v>
      </c>
      <c r="I23" s="93" t="s">
        <v>9</v>
      </c>
      <c r="J23" s="361" t="s">
        <v>441</v>
      </c>
      <c r="K23" s="93" t="s">
        <v>149</v>
      </c>
      <c r="L23" s="93" t="s">
        <v>146</v>
      </c>
      <c r="M23" s="138"/>
      <c r="N23" s="138">
        <f>4069.23+3784.64</f>
        <v>7853.87</v>
      </c>
      <c r="O23" s="138"/>
      <c r="P23" s="80"/>
    </row>
    <row r="24" spans="2:18" s="78" customFormat="1" ht="15.75">
      <c r="B24" s="353" t="str">
        <f>+C8</f>
        <v>BVM-831</v>
      </c>
      <c r="C24" s="310">
        <f>+D8+D10+D9+D11+D12+D13+D14</f>
        <v>0</v>
      </c>
      <c r="D24" s="310">
        <f>8*25+7*25+8*25+7*25+5*25+7*25+5*25</f>
        <v>1175</v>
      </c>
      <c r="E24" s="135">
        <v>25</v>
      </c>
      <c r="F24" s="89">
        <f>+C24*E24/1000</f>
        <v>0</v>
      </c>
      <c r="G24" s="80"/>
      <c r="H24" s="353" t="str">
        <f>+B24</f>
        <v>BVM-831</v>
      </c>
      <c r="I24" s="310"/>
      <c r="J24" s="310">
        <f>4*25+7*25</f>
        <v>275</v>
      </c>
      <c r="K24" s="135">
        <v>25</v>
      </c>
      <c r="L24" s="135">
        <f>+I24*K24/1000</f>
        <v>0</v>
      </c>
      <c r="M24" s="364"/>
      <c r="N24" s="2121"/>
      <c r="O24" s="139"/>
      <c r="P24" s="80"/>
      <c r="Q24" s="45" t="s">
        <v>442</v>
      </c>
    </row>
    <row r="25" spans="2:18" s="78" customFormat="1" ht="15.75">
      <c r="B25" s="86" t="s">
        <v>3</v>
      </c>
      <c r="C25" s="658">
        <f>SUM(C24:C24)</f>
        <v>0</v>
      </c>
      <c r="D25" s="310">
        <f>+D24</f>
        <v>1175</v>
      </c>
      <c r="E25" s="362">
        <f>+C25+D25</f>
        <v>1175</v>
      </c>
      <c r="F25" s="380">
        <f>+E25*25/1000</f>
        <v>29.375</v>
      </c>
      <c r="G25" s="94"/>
      <c r="H25" s="86" t="s">
        <v>3</v>
      </c>
      <c r="I25" s="307">
        <f>SUM(I24:I24)</f>
        <v>0</v>
      </c>
      <c r="J25" s="658">
        <f>SUM(J24:J24)</f>
        <v>275</v>
      </c>
      <c r="K25" s="362">
        <f>+I25+J25</f>
        <v>275</v>
      </c>
      <c r="L25" s="380">
        <f>+K25*25/1000</f>
        <v>6.875</v>
      </c>
      <c r="M25" s="138"/>
      <c r="N25" s="360"/>
      <c r="O25" s="139"/>
      <c r="P25" s="80"/>
      <c r="Q25" s="133">
        <f>+F25+L25</f>
        <v>36.25</v>
      </c>
    </row>
    <row r="26" spans="2:18" s="78" customFormat="1" ht="15.75"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</row>
    <row r="27" spans="2:18" s="311" customFormat="1" ht="3" customHeight="1">
      <c r="B27" s="313"/>
    </row>
    <row r="28" spans="2:18" s="78" customFormat="1" ht="23.25" customHeight="1">
      <c r="B28" s="84" t="s">
        <v>153</v>
      </c>
      <c r="H28" s="79"/>
      <c r="I28" s="79"/>
      <c r="J28" s="79"/>
      <c r="K28" s="79"/>
      <c r="L28" s="79"/>
      <c r="M28" s="79"/>
      <c r="N28" s="79"/>
      <c r="O28" s="80"/>
      <c r="P28" s="80"/>
    </row>
    <row r="29" spans="2:18" s="45" customFormat="1" ht="21" customHeight="1">
      <c r="B29" s="2297" t="str">
        <f>+L7</f>
        <v>LUIS</v>
      </c>
      <c r="C29" s="2297"/>
      <c r="D29" s="2297"/>
      <c r="E29" s="2297"/>
      <c r="F29" s="78"/>
      <c r="G29" s="2298" t="str">
        <f>+M7</f>
        <v>CHARLES</v>
      </c>
      <c r="H29" s="2299"/>
      <c r="I29" s="2299"/>
      <c r="J29" s="2300"/>
      <c r="K29" s="79"/>
      <c r="L29" s="2297" t="str">
        <f>+N7</f>
        <v>LUIS</v>
      </c>
      <c r="M29" s="2297"/>
      <c r="N29" s="2297"/>
      <c r="O29" s="2297"/>
      <c r="P29" s="80"/>
      <c r="Q29" s="1200"/>
      <c r="R29" s="78"/>
    </row>
    <row r="30" spans="2:18" s="78" customFormat="1" ht="15.75" customHeight="1">
      <c r="B30" s="93" t="s">
        <v>145</v>
      </c>
      <c r="C30" s="93" t="s">
        <v>9</v>
      </c>
      <c r="D30" s="93" t="s">
        <v>149</v>
      </c>
      <c r="E30" s="93" t="s">
        <v>146</v>
      </c>
      <c r="F30" s="79"/>
      <c r="G30" s="93" t="s">
        <v>145</v>
      </c>
      <c r="H30" s="93" t="s">
        <v>9</v>
      </c>
      <c r="I30" s="93" t="s">
        <v>149</v>
      </c>
      <c r="J30" s="93" t="s">
        <v>146</v>
      </c>
      <c r="K30" s="79"/>
      <c r="L30" s="93" t="s">
        <v>145</v>
      </c>
      <c r="M30" s="93" t="s">
        <v>9</v>
      </c>
      <c r="N30" s="93" t="s">
        <v>149</v>
      </c>
      <c r="O30" s="93" t="s">
        <v>146</v>
      </c>
      <c r="P30" s="80"/>
    </row>
    <row r="31" spans="2:18" s="78" customFormat="1" ht="15.75" customHeight="1">
      <c r="B31" s="76" t="s">
        <v>68</v>
      </c>
      <c r="C31" s="308">
        <f t="shared" ref="C31:C37" si="3">+L8</f>
        <v>0</v>
      </c>
      <c r="D31" s="85">
        <v>160</v>
      </c>
      <c r="E31" s="89">
        <f t="shared" ref="E31:E37" si="4">+C31*D31/1000</f>
        <v>0</v>
      </c>
      <c r="F31" s="79"/>
      <c r="G31" s="76" t="s">
        <v>68</v>
      </c>
      <c r="H31" s="308">
        <f t="shared" ref="H31:H37" si="5">+M8</f>
        <v>0</v>
      </c>
      <c r="I31" s="85">
        <v>160</v>
      </c>
      <c r="J31" s="89">
        <f t="shared" ref="J31:J37" si="6">+H31*I31/1000</f>
        <v>0</v>
      </c>
      <c r="K31" s="79"/>
      <c r="L31" s="76" t="s">
        <v>68</v>
      </c>
      <c r="M31" s="86">
        <f t="shared" ref="M31:M37" si="7">+N8</f>
        <v>0</v>
      </c>
      <c r="N31" s="85">
        <v>160</v>
      </c>
      <c r="O31" s="89">
        <f t="shared" ref="O31:O37" si="8">+M31*N31/1000</f>
        <v>0</v>
      </c>
    </row>
    <row r="32" spans="2:18" s="78" customFormat="1" ht="15.75" customHeight="1">
      <c r="B32" s="76" t="s">
        <v>69</v>
      </c>
      <c r="C32" s="308">
        <f t="shared" si="3"/>
        <v>0</v>
      </c>
      <c r="D32" s="85">
        <v>160</v>
      </c>
      <c r="E32" s="89">
        <f t="shared" si="4"/>
        <v>0</v>
      </c>
      <c r="F32" s="79"/>
      <c r="G32" s="76" t="s">
        <v>69</v>
      </c>
      <c r="H32" s="308">
        <f t="shared" si="5"/>
        <v>0</v>
      </c>
      <c r="I32" s="85">
        <v>160</v>
      </c>
      <c r="J32" s="89">
        <f t="shared" si="6"/>
        <v>0</v>
      </c>
      <c r="K32" s="79"/>
      <c r="L32" s="76" t="s">
        <v>69</v>
      </c>
      <c r="M32" s="86">
        <f t="shared" si="7"/>
        <v>0</v>
      </c>
      <c r="N32" s="85">
        <v>160</v>
      </c>
      <c r="O32" s="89">
        <f t="shared" si="8"/>
        <v>0</v>
      </c>
    </row>
    <row r="33" spans="2:18" s="78" customFormat="1" ht="15.75" customHeight="1" thickBot="1">
      <c r="B33" s="76" t="s">
        <v>70</v>
      </c>
      <c r="C33" s="308">
        <f t="shared" si="3"/>
        <v>0</v>
      </c>
      <c r="D33" s="85">
        <v>160</v>
      </c>
      <c r="E33" s="89">
        <f t="shared" si="4"/>
        <v>0</v>
      </c>
      <c r="F33" s="79"/>
      <c r="G33" s="76" t="s">
        <v>70</v>
      </c>
      <c r="H33" s="308">
        <f t="shared" si="5"/>
        <v>0</v>
      </c>
      <c r="I33" s="85">
        <v>160</v>
      </c>
      <c r="J33" s="89">
        <f t="shared" si="6"/>
        <v>0</v>
      </c>
      <c r="K33" s="79"/>
      <c r="L33" s="76" t="s">
        <v>70</v>
      </c>
      <c r="M33" s="86">
        <f t="shared" si="7"/>
        <v>0</v>
      </c>
      <c r="N33" s="85">
        <v>160</v>
      </c>
      <c r="O33" s="89">
        <f t="shared" si="8"/>
        <v>0</v>
      </c>
      <c r="R33" s="1146" t="s">
        <v>606</v>
      </c>
    </row>
    <row r="34" spans="2:18" s="78" customFormat="1" ht="15.75" customHeight="1" thickBot="1">
      <c r="B34" s="76" t="s">
        <v>71</v>
      </c>
      <c r="C34" s="308">
        <f t="shared" si="3"/>
        <v>0</v>
      </c>
      <c r="D34" s="85">
        <v>160</v>
      </c>
      <c r="E34" s="89">
        <f t="shared" si="4"/>
        <v>0</v>
      </c>
      <c r="F34" s="79"/>
      <c r="G34" s="76" t="s">
        <v>71</v>
      </c>
      <c r="H34" s="308">
        <f t="shared" si="5"/>
        <v>0</v>
      </c>
      <c r="I34" s="85">
        <v>160</v>
      </c>
      <c r="J34" s="89">
        <f t="shared" si="6"/>
        <v>0</v>
      </c>
      <c r="K34" s="79"/>
      <c r="L34" s="76" t="s">
        <v>71</v>
      </c>
      <c r="M34" s="86">
        <f t="shared" si="7"/>
        <v>0</v>
      </c>
      <c r="N34" s="85">
        <v>160</v>
      </c>
      <c r="O34" s="89">
        <f t="shared" si="8"/>
        <v>0</v>
      </c>
      <c r="Q34" s="1147" t="str">
        <f>IF(SUM(C31:C37,H31:H37,M31:M37)=0,"NO REVISADO",IF(OR(SUMPRODUCT(--(C31:C37&lt;&gt;0),--(D31:D37&lt;=0))&gt;0,SUMPRODUCT(--(H31:H37&lt;&gt;0),--(I31:I37&lt;=0))&gt;0,SUMPRODUCT(--(M31:M37&lt;&gt;0),--(N31:N37&lt;=0))&gt;0,ABS(E38-SUMPRODUCT(C31:C37,D31:D37)/1000)&gt;0.01,ABS(J38-SUMPRODUCT(H31:H37,I31:I37)/1000)&gt;0.01,ABS(O38-SUMPRODUCT(M31:M37,N31:N37)/1000)&gt;0.01),"REVISAR","REVISADO"))</f>
        <v>NO REVISADO</v>
      </c>
      <c r="R34" s="1148" t="str">
        <f>IF(Q34="REVISADO","OK - datos cargados cuadran"&amp;IF(SUM(C31:C37)=0,"; bloque 1 sin KG opcional","")&amp;IF(SUM(H31:H37)=0,"; bloque 2 sin KG opcional","")&amp;IF(SUM(M31:M37)=0,"; bloque 3 sin KG opcional",""),IF(Q34="NO REVISADO","Sin KG cargado",IF(SUMPRODUCT(--(C31:C37&lt;&gt;0),--(D31:D37&lt;=0))&gt;0,"Falta monto bloque 1; ","")&amp;IF(SUMPRODUCT(--(H31:H37&lt;&gt;0),--(I31:I37&lt;=0))&gt;0,"Falta monto bloque 2; ","")&amp;IF(SUMPRODUCT(--(M31:M37&lt;&gt;0),--(N31:N37&lt;=0))&gt;0,"Falta monto bloque 3; ","")&amp;IF(ABS(E38-SUMPRODUCT(C31:C37,D31:D37)/1000)&gt;0.01,"Total bloque 1 no cuadra; ","")&amp;IF(ABS(J38-SUMPRODUCT(H31:H37,I31:I37)/1000)&gt;0.01,"Total bloque 2 no cuadra; ","")&amp;IF(ABS(O38-SUMPRODUCT(M31:M37,N31:N37)/1000)&gt;0.01,"Total bloque 3 no cuadra; ","")))</f>
        <v>Sin KG cargado</v>
      </c>
    </row>
    <row r="35" spans="2:18" s="78" customFormat="1" ht="15.75" customHeight="1">
      <c r="B35" s="76" t="s">
        <v>72</v>
      </c>
      <c r="C35" s="308">
        <f t="shared" si="3"/>
        <v>0</v>
      </c>
      <c r="D35" s="85">
        <v>160</v>
      </c>
      <c r="E35" s="89">
        <f t="shared" si="4"/>
        <v>0</v>
      </c>
      <c r="F35" s="79"/>
      <c r="G35" s="76" t="s">
        <v>72</v>
      </c>
      <c r="H35" s="308">
        <f t="shared" si="5"/>
        <v>0</v>
      </c>
      <c r="I35" s="85">
        <v>160</v>
      </c>
      <c r="J35" s="89">
        <f t="shared" si="6"/>
        <v>0</v>
      </c>
      <c r="K35" s="79"/>
      <c r="L35" s="76" t="s">
        <v>72</v>
      </c>
      <c r="M35" s="86">
        <f t="shared" si="7"/>
        <v>0</v>
      </c>
      <c r="N35" s="85">
        <v>160</v>
      </c>
      <c r="O35" s="89">
        <f t="shared" si="8"/>
        <v>0</v>
      </c>
    </row>
    <row r="36" spans="2:18" s="78" customFormat="1" ht="15.75" customHeight="1">
      <c r="B36" s="76" t="s">
        <v>148</v>
      </c>
      <c r="C36" s="308">
        <f t="shared" si="3"/>
        <v>0</v>
      </c>
      <c r="D36" s="85">
        <v>160</v>
      </c>
      <c r="E36" s="89">
        <f t="shared" si="4"/>
        <v>0</v>
      </c>
      <c r="F36" s="79"/>
      <c r="G36" s="76" t="s">
        <v>148</v>
      </c>
      <c r="H36" s="308">
        <f t="shared" si="5"/>
        <v>0</v>
      </c>
      <c r="I36" s="85">
        <v>160</v>
      </c>
      <c r="J36" s="89">
        <f t="shared" si="6"/>
        <v>0</v>
      </c>
      <c r="K36" s="79"/>
      <c r="L36" s="76" t="s">
        <v>148</v>
      </c>
      <c r="M36" s="86">
        <f t="shared" si="7"/>
        <v>0</v>
      </c>
      <c r="N36" s="85">
        <v>160</v>
      </c>
      <c r="O36" s="89">
        <f t="shared" si="8"/>
        <v>0</v>
      </c>
    </row>
    <row r="37" spans="2:18" s="78" customFormat="1" ht="15.75" customHeight="1">
      <c r="B37" s="76" t="s">
        <v>150</v>
      </c>
      <c r="C37" s="308">
        <f t="shared" si="3"/>
        <v>0</v>
      </c>
      <c r="D37" s="85">
        <v>160</v>
      </c>
      <c r="E37" s="89">
        <f t="shared" si="4"/>
        <v>0</v>
      </c>
      <c r="F37" s="79"/>
      <c r="G37" s="76" t="s">
        <v>150</v>
      </c>
      <c r="H37" s="308">
        <f t="shared" si="5"/>
        <v>0</v>
      </c>
      <c r="I37" s="85">
        <v>160</v>
      </c>
      <c r="J37" s="89">
        <f t="shared" si="6"/>
        <v>0</v>
      </c>
      <c r="K37" s="79"/>
      <c r="L37" s="76" t="s">
        <v>150</v>
      </c>
      <c r="M37" s="86">
        <f t="shared" si="7"/>
        <v>0</v>
      </c>
      <c r="N37" s="85">
        <v>160</v>
      </c>
      <c r="O37" s="89">
        <f t="shared" si="8"/>
        <v>0</v>
      </c>
      <c r="Q37" s="45" t="s">
        <v>193</v>
      </c>
    </row>
    <row r="38" spans="2:18" s="78" customFormat="1" ht="15.75" customHeight="1">
      <c r="B38" s="86" t="s">
        <v>3</v>
      </c>
      <c r="C38" s="309">
        <f>SUM(C31:C37)</f>
        <v>0</v>
      </c>
      <c r="D38" s="85"/>
      <c r="E38" s="380">
        <f>SUM(E31:E37)</f>
        <v>0</v>
      </c>
      <c r="F38" s="79"/>
      <c r="G38" s="86" t="s">
        <v>3</v>
      </c>
      <c r="H38" s="309">
        <f>SUM(H31:H37)</f>
        <v>0</v>
      </c>
      <c r="I38" s="85"/>
      <c r="J38" s="380">
        <f>SUM(J31:J37)</f>
        <v>0</v>
      </c>
      <c r="K38" s="79"/>
      <c r="L38" s="86" t="s">
        <v>3</v>
      </c>
      <c r="M38" s="307">
        <f>SUM(M31:M37)</f>
        <v>0</v>
      </c>
      <c r="N38" s="85"/>
      <c r="O38" s="380">
        <f>SUM(O31:O37)</f>
        <v>0</v>
      </c>
      <c r="Q38" s="133">
        <f>+E38+J38+O38</f>
        <v>0</v>
      </c>
    </row>
    <row r="39" spans="2:18" s="78" customFormat="1" ht="15.75" customHeight="1">
      <c r="B39" s="94"/>
      <c r="C39" s="130"/>
      <c r="E39" s="316"/>
      <c r="F39" s="79"/>
      <c r="G39" s="94"/>
      <c r="H39" s="130"/>
      <c r="J39" s="316"/>
      <c r="K39" s="79"/>
      <c r="L39" s="94"/>
      <c r="O39" s="316"/>
      <c r="Q39" s="317"/>
    </row>
    <row r="40" spans="2:18" s="311" customFormat="1" ht="3" customHeight="1">
      <c r="B40" s="313"/>
    </row>
    <row r="41" spans="2:18" s="78" customFormat="1" ht="18.75" thickBot="1">
      <c r="B41" s="84" t="s">
        <v>190</v>
      </c>
      <c r="C41" s="80"/>
      <c r="D41" s="80"/>
      <c r="E41" s="80"/>
      <c r="F41" s="80"/>
      <c r="G41" s="80"/>
      <c r="H41" s="83"/>
      <c r="I41" s="83"/>
      <c r="J41" s="83"/>
      <c r="K41" s="391"/>
      <c r="L41" s="83"/>
      <c r="M41" s="83"/>
      <c r="N41" s="83"/>
      <c r="O41" s="80"/>
      <c r="P41" s="80"/>
      <c r="R41" s="1146" t="s">
        <v>606</v>
      </c>
    </row>
    <row r="42" spans="2:18" s="78" customFormat="1" ht="16.5" thickBot="1">
      <c r="B42" s="2297" t="str">
        <f>+B29</f>
        <v>LUIS</v>
      </c>
      <c r="C42" s="2297"/>
      <c r="D42" s="2297"/>
      <c r="E42" s="2297"/>
      <c r="F42" s="80"/>
      <c r="G42" s="2297" t="str">
        <f>+G29</f>
        <v>CHARLES</v>
      </c>
      <c r="H42" s="2297"/>
      <c r="I42" s="2297"/>
      <c r="J42" s="2297"/>
      <c r="K42" s="83"/>
      <c r="L42" s="2297" t="str">
        <f>+L29</f>
        <v>LUIS</v>
      </c>
      <c r="M42" s="2297"/>
      <c r="N42" s="2297"/>
      <c r="O42" s="2297"/>
      <c r="P42" s="80"/>
      <c r="Q42" s="1147" t="str">
        <f>IF(SUM(C44,H44,M44)=0,"NO REVISADO",IF(OR(AND(C44&gt;0,D44&lt;=0),ABS(E44-(C44*D44/1000))&gt;0.01,AND(H44&gt;0,I44&lt;=0),ABS(J44-(H44*I44/1000))&gt;0.01,AND(M44&gt;0,N44&lt;=0),ABS(O44-(M44*N44/1000))&gt;0.01),"REVISAR","REVISADO"))</f>
        <v>NO REVISADO</v>
      </c>
      <c r="R42" s="1148" t="str">
        <f>IF(Q42="REVISADO","OK - datos cargados cuadran"&amp;IF(C44=0,"; FELIX sin KG opcional","")&amp;IF(H44=0,"; CHARLES sin KG opcional","")&amp;IF(M44=0,"; LUIS sin KG opcional",""),IF(Q42="NO REVISADO","Sin KG cargado",IF(AND(C44&gt;0,D44&lt;=0),"Falta monto FELIX; ","")&amp;IF(ABS(E44-(C44*D44/1000))&gt;0.01,"Total FELIX no cuadra; ","")&amp;IF(AND(H44&gt;0,I44&lt;=0),"Falta monto CHARLES; ","")&amp;IF(ABS(J44-(H44*I44/1000))&gt;0.01,"Total CHARLES no cuadra; ","")&amp;IF(AND(M44&gt;0,N44&lt;=0),"Falta monto LUIS; ","")&amp;IF(ABS(O44-(M44*N44/1000))&gt;0.01,"Total LUIS no cuadra; ","")))</f>
        <v>Sin KG cargado</v>
      </c>
    </row>
    <row r="43" spans="2:18" s="78" customFormat="1" ht="15.75">
      <c r="B43" s="93" t="s">
        <v>144</v>
      </c>
      <c r="C43" s="93" t="s">
        <v>9</v>
      </c>
      <c r="D43" s="93" t="s">
        <v>149</v>
      </c>
      <c r="E43" s="93" t="s">
        <v>146</v>
      </c>
      <c r="F43" s="80"/>
      <c r="G43" s="93" t="s">
        <v>144</v>
      </c>
      <c r="H43" s="93" t="s">
        <v>9</v>
      </c>
      <c r="I43" s="93" t="s">
        <v>149</v>
      </c>
      <c r="J43" s="93" t="s">
        <v>146</v>
      </c>
      <c r="K43" s="83"/>
      <c r="L43" s="93" t="s">
        <v>144</v>
      </c>
      <c r="M43" s="93" t="s">
        <v>9</v>
      </c>
      <c r="N43" s="93" t="s">
        <v>149</v>
      </c>
      <c r="O43" s="93" t="s">
        <v>146</v>
      </c>
      <c r="P43" s="80"/>
    </row>
    <row r="44" spans="2:18" s="78" customFormat="1" ht="15.75">
      <c r="B44" s="76" t="str">
        <f>+C8</f>
        <v>BVM-831</v>
      </c>
      <c r="C44" s="310">
        <f>+C38*0.4</f>
        <v>0</v>
      </c>
      <c r="D44" s="135">
        <v>150</v>
      </c>
      <c r="E44" s="89">
        <f>+C44*D44/1000</f>
        <v>0</v>
      </c>
      <c r="F44" s="391"/>
      <c r="G44" s="76" t="str">
        <f>+B44</f>
        <v>BVM-831</v>
      </c>
      <c r="H44" s="88">
        <f>+H38*0.4</f>
        <v>0</v>
      </c>
      <c r="I44" s="135">
        <f>+D44</f>
        <v>150</v>
      </c>
      <c r="J44" s="89">
        <f>+H44*I44/1000</f>
        <v>0</v>
      </c>
      <c r="K44" s="391"/>
      <c r="L44" s="76" t="str">
        <f>+B44</f>
        <v>BVM-831</v>
      </c>
      <c r="M44" s="88">
        <f>+M38*0.4</f>
        <v>0</v>
      </c>
      <c r="N44" s="135">
        <f>+D44</f>
        <v>150</v>
      </c>
      <c r="O44" s="89">
        <f>+M44*N44/1000</f>
        <v>0</v>
      </c>
      <c r="P44" s="80"/>
      <c r="Q44" s="45" t="s">
        <v>194</v>
      </c>
    </row>
    <row r="45" spans="2:18" s="78" customFormat="1" ht="15.75">
      <c r="B45" s="86" t="s">
        <v>3</v>
      </c>
      <c r="C45" s="307">
        <f>SUM(C44:C44)</f>
        <v>0</v>
      </c>
      <c r="D45" s="85"/>
      <c r="E45" s="380">
        <f>SUM(E44:E44)</f>
        <v>0</v>
      </c>
      <c r="F45" s="83"/>
      <c r="G45" s="86" t="s">
        <v>3</v>
      </c>
      <c r="H45" s="307">
        <f>SUM(H44:H44)</f>
        <v>0</v>
      </c>
      <c r="I45" s="85"/>
      <c r="J45" s="380">
        <f>SUM(J44:J44)</f>
        <v>0</v>
      </c>
      <c r="K45" s="83"/>
      <c r="L45" s="86" t="s">
        <v>3</v>
      </c>
      <c r="M45" s="307">
        <f>SUM(M44:M44)</f>
        <v>0</v>
      </c>
      <c r="N45" s="85"/>
      <c r="O45" s="380">
        <f>SUM(O44:O44)</f>
        <v>0</v>
      </c>
      <c r="P45" s="80"/>
      <c r="Q45" s="133">
        <f>+E45+J45+O45</f>
        <v>0</v>
      </c>
    </row>
    <row r="46" spans="2:18" s="78" customFormat="1" ht="15.75">
      <c r="B46" s="94"/>
      <c r="C46" s="94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</row>
    <row r="47" spans="2:18" s="311" customFormat="1" ht="3" customHeight="1">
      <c r="B47" s="313"/>
    </row>
    <row r="48" spans="2:18" s="78" customFormat="1" ht="18.75" thickBot="1">
      <c r="B48" s="84" t="s">
        <v>427</v>
      </c>
      <c r="C48" s="80"/>
      <c r="D48" s="80"/>
      <c r="E48" s="80"/>
      <c r="F48" s="80"/>
      <c r="G48" s="80"/>
      <c r="H48" s="83"/>
      <c r="I48" s="83"/>
      <c r="J48" s="83"/>
      <c r="K48" s="83"/>
      <c r="L48" s="83"/>
      <c r="M48" s="83"/>
      <c r="N48" s="83"/>
      <c r="O48" s="80"/>
      <c r="P48" s="80"/>
      <c r="R48" s="1146" t="s">
        <v>606</v>
      </c>
    </row>
    <row r="49" spans="1:18" s="78" customFormat="1" ht="16.5" thickBot="1">
      <c r="B49" s="2297" t="str">
        <f>+B42</f>
        <v>LUIS</v>
      </c>
      <c r="C49" s="2297"/>
      <c r="D49" s="2297"/>
      <c r="E49" s="2297"/>
      <c r="F49" s="80"/>
      <c r="G49" s="2297" t="str">
        <f>+G42</f>
        <v>CHARLES</v>
      </c>
      <c r="H49" s="2297"/>
      <c r="I49" s="2297"/>
      <c r="J49" s="2297"/>
      <c r="K49" s="83"/>
      <c r="L49" s="2297" t="str">
        <f>+L42</f>
        <v>LUIS</v>
      </c>
      <c r="M49" s="2297"/>
      <c r="N49" s="2297"/>
      <c r="O49" s="2297"/>
      <c r="P49" s="80"/>
      <c r="Q49" s="1147" t="str">
        <f>IF(SUM(C51,H51,M51)=0,"NO REVISADO",IF(OR(AND(C51&gt;0,D51&lt;=0),ABS(E51-(C51*D51/1000))&gt;0.01,AND(H51&gt;0,I51&lt;=0),ABS(J51-(H51*I51/1000))&gt;0.01,AND(M51&gt;0,N51&lt;=0),ABS(O51-(M51*N51/1000))&gt;0.01),"REVISAR","REVISADO"))</f>
        <v>NO REVISADO</v>
      </c>
      <c r="R49" s="1148" t="str">
        <f>IF(Q49="REVISADO","OK - datos cargados cuadran"&amp;IF(C51=0,"; FELIX sin KG opcional","")&amp;IF(H51=0,"; CHARLES sin KG opcional","")&amp;IF(M51=0,"; LUIS sin KG opcional",""),IF(Q49="NO REVISADO","Sin KG cargado",IF(AND(C51&gt;0,D51&lt;=0),"Falta monto FELIX; ","")&amp;IF(ABS(E51-(C51*D51/1000))&gt;0.01,"Total FELIX no cuadra; ","")&amp;IF(AND(H51&gt;0,I51&lt;=0),"Falta monto CHARLES; ","")&amp;IF(ABS(J51-(H51*I51/1000))&gt;0.01,"Total CHARLES no cuadra; ","")&amp;IF(AND(M51&gt;0,N51&lt;=0),"Falta monto LUIS; ","")&amp;IF(ABS(O51-(M51*N51/1000))&gt;0.01,"Total LUIS no cuadra; ","")))</f>
        <v>Sin KG cargado</v>
      </c>
    </row>
    <row r="50" spans="1:18" s="78" customFormat="1" ht="15.75">
      <c r="B50" s="93" t="s">
        <v>144</v>
      </c>
      <c r="C50" s="93" t="s">
        <v>9</v>
      </c>
      <c r="D50" s="93" t="s">
        <v>149</v>
      </c>
      <c r="E50" s="93" t="s">
        <v>146</v>
      </c>
      <c r="F50" s="80"/>
      <c r="G50" s="93" t="s">
        <v>144</v>
      </c>
      <c r="H50" s="93" t="s">
        <v>9</v>
      </c>
      <c r="I50" s="93" t="s">
        <v>149</v>
      </c>
      <c r="J50" s="93" t="s">
        <v>146</v>
      </c>
      <c r="K50" s="83"/>
      <c r="L50" s="93" t="s">
        <v>144</v>
      </c>
      <c r="M50" s="93" t="s">
        <v>9</v>
      </c>
      <c r="N50" s="93" t="s">
        <v>149</v>
      </c>
      <c r="O50" s="93" t="s">
        <v>146</v>
      </c>
      <c r="P50" s="80"/>
    </row>
    <row r="51" spans="1:18" s="78" customFormat="1" ht="15.75">
      <c r="B51" s="76" t="str">
        <f>+B44</f>
        <v>BVM-831</v>
      </c>
      <c r="C51" s="310">
        <f>+'RES-EN'!U18</f>
        <v>0</v>
      </c>
      <c r="D51" s="135">
        <v>100</v>
      </c>
      <c r="E51" s="89">
        <f>+C51*D51/1000</f>
        <v>0</v>
      </c>
      <c r="F51" s="83"/>
      <c r="G51" s="76" t="str">
        <f>+B51</f>
        <v>BVM-831</v>
      </c>
      <c r="H51" s="88">
        <f>+C51</f>
        <v>0</v>
      </c>
      <c r="I51" s="135">
        <f>+D51</f>
        <v>100</v>
      </c>
      <c r="J51" s="89">
        <f>+H51*I51/1000</f>
        <v>0</v>
      </c>
      <c r="K51" s="83"/>
      <c r="L51" s="76" t="str">
        <f>+B51</f>
        <v>BVM-831</v>
      </c>
      <c r="M51" s="88">
        <v>0</v>
      </c>
      <c r="N51" s="135">
        <f>+D51</f>
        <v>100</v>
      </c>
      <c r="O51" s="89">
        <f>+M51*N51/1000</f>
        <v>0</v>
      </c>
      <c r="P51" s="80"/>
      <c r="Q51" s="45" t="s">
        <v>428</v>
      </c>
    </row>
    <row r="52" spans="1:18" s="78" customFormat="1" ht="15.75">
      <c r="B52" s="86" t="s">
        <v>3</v>
      </c>
      <c r="C52" s="310">
        <f>SUM(C51:C51)</f>
        <v>0</v>
      </c>
      <c r="D52" s="85"/>
      <c r="E52" s="380">
        <f>SUM(E51:E51)</f>
        <v>0</v>
      </c>
      <c r="F52" s="80"/>
      <c r="G52" s="86" t="s">
        <v>3</v>
      </c>
      <c r="H52" s="88">
        <f>SUM(H51:H51)</f>
        <v>0</v>
      </c>
      <c r="I52" s="85"/>
      <c r="J52" s="95">
        <f>SUM(J51:J51)</f>
        <v>0</v>
      </c>
      <c r="K52" s="83"/>
      <c r="L52" s="86" t="s">
        <v>3</v>
      </c>
      <c r="M52" s="307">
        <f>SUM(M51:M51)</f>
        <v>0</v>
      </c>
      <c r="N52" s="85"/>
      <c r="O52" s="380">
        <f>SUM(O51:O51)</f>
        <v>0</v>
      </c>
      <c r="P52" s="80"/>
      <c r="Q52" s="133">
        <f>+E52+J52+O52</f>
        <v>0</v>
      </c>
    </row>
    <row r="53" spans="1:18" s="78" customFormat="1" ht="15.75">
      <c r="B53" s="94"/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</row>
    <row r="54" spans="1:18" s="311" customFormat="1" ht="3" customHeight="1">
      <c r="B54" s="313"/>
      <c r="E54" s="312"/>
      <c r="F54" s="312"/>
      <c r="G54" s="313"/>
      <c r="J54" s="314"/>
      <c r="K54" s="314"/>
      <c r="L54" s="314"/>
      <c r="M54" s="314"/>
      <c r="N54" s="314"/>
      <c r="O54" s="312"/>
      <c r="P54" s="312"/>
    </row>
    <row r="55" spans="1:18" s="45" customFormat="1" ht="20.25" customHeight="1">
      <c r="A55" s="1228"/>
      <c r="B55" s="1657" t="s">
        <v>154</v>
      </c>
      <c r="C55" s="1228"/>
      <c r="D55" s="1228"/>
      <c r="E55" s="1228"/>
      <c r="F55" s="1228"/>
      <c r="G55" s="1228"/>
      <c r="H55" s="1658"/>
      <c r="I55" s="1658"/>
      <c r="J55" s="1658"/>
      <c r="K55" s="1658"/>
      <c r="L55" s="1658"/>
      <c r="M55" s="1658"/>
      <c r="N55" s="1658"/>
      <c r="O55" s="1659"/>
      <c r="P55" s="94"/>
    </row>
    <row r="56" spans="1:18" s="78" customFormat="1" ht="15.75" customHeight="1">
      <c r="A56" s="1220"/>
      <c r="B56" s="2296" t="str">
        <f>+T.EMV!B6</f>
        <v xml:space="preserve">ANDRES </v>
      </c>
      <c r="C56" s="2296"/>
      <c r="D56" s="2296"/>
      <c r="E56" s="2296"/>
      <c r="F56" s="1228"/>
      <c r="G56" s="2296" t="str">
        <f>+T.EMV!G6</f>
        <v xml:space="preserve">FLOR </v>
      </c>
      <c r="H56" s="2296"/>
      <c r="I56" s="2296"/>
      <c r="J56" s="2296"/>
      <c r="K56" s="1658"/>
      <c r="L56" s="2296" t="str">
        <f>+T.EMV!L6</f>
        <v>HANNOY</v>
      </c>
      <c r="M56" s="2296"/>
      <c r="N56" s="2296"/>
      <c r="O56" s="2296"/>
      <c r="P56" s="80"/>
    </row>
    <row r="57" spans="1:18" s="78" customFormat="1" ht="15.75" customHeight="1">
      <c r="A57" s="1220"/>
      <c r="B57" s="1557" t="s">
        <v>144</v>
      </c>
      <c r="C57" s="1557" t="s">
        <v>9</v>
      </c>
      <c r="D57" s="1557" t="s">
        <v>149</v>
      </c>
      <c r="E57" s="1557" t="s">
        <v>146</v>
      </c>
      <c r="F57" s="1228"/>
      <c r="G57" s="1557" t="s">
        <v>144</v>
      </c>
      <c r="H57" s="1557" t="s">
        <v>9</v>
      </c>
      <c r="I57" s="1557" t="s">
        <v>149</v>
      </c>
      <c r="J57" s="1557" t="s">
        <v>146</v>
      </c>
      <c r="K57" s="1658"/>
      <c r="L57" s="1557" t="s">
        <v>144</v>
      </c>
      <c r="M57" s="1557" t="s">
        <v>9</v>
      </c>
      <c r="N57" s="1557" t="s">
        <v>149</v>
      </c>
      <c r="O57" s="1557" t="s">
        <v>146</v>
      </c>
    </row>
    <row r="58" spans="1:18" s="78" customFormat="1" ht="15.75" customHeight="1">
      <c r="A58" s="1220"/>
      <c r="B58" s="1253" t="str">
        <f>+C8</f>
        <v>BVM-831</v>
      </c>
      <c r="C58" s="1253">
        <f>+T.EMV!C28+T.EMV!C128</f>
        <v>0</v>
      </c>
      <c r="D58" s="1660">
        <v>85</v>
      </c>
      <c r="E58" s="1661">
        <f>+C58*D58/1000</f>
        <v>0</v>
      </c>
      <c r="F58" s="1228"/>
      <c r="G58" s="1253" t="str">
        <f>+C8</f>
        <v>BVM-831</v>
      </c>
      <c r="H58" s="1253">
        <f>+T.EMV!H28+T.EMV!H128</f>
        <v>0</v>
      </c>
      <c r="I58" s="1660">
        <v>85</v>
      </c>
      <c r="J58" s="1661">
        <f>+H58*I58/1000</f>
        <v>0</v>
      </c>
      <c r="K58" s="1658"/>
      <c r="L58" s="1253" t="str">
        <f>+C8</f>
        <v>BVM-831</v>
      </c>
      <c r="M58" s="1253">
        <f>+T.EMV!M28+T.EMV!M128</f>
        <v>0</v>
      </c>
      <c r="N58" s="1660">
        <v>85</v>
      </c>
      <c r="O58" s="1661">
        <f>+M58*N58/1000</f>
        <v>0</v>
      </c>
    </row>
    <row r="59" spans="1:18" s="78" customFormat="1" ht="15.75">
      <c r="A59" s="1220"/>
      <c r="B59" s="1557" t="s">
        <v>3</v>
      </c>
      <c r="C59" s="1662">
        <f>SUM(C58:C58)</f>
        <v>0</v>
      </c>
      <c r="D59" s="1660"/>
      <c r="E59" s="1663">
        <f>SUM(E58:E58)</f>
        <v>0</v>
      </c>
      <c r="F59" s="1658"/>
      <c r="G59" s="1557" t="s">
        <v>3</v>
      </c>
      <c r="H59" s="1662">
        <f>SUM(H58:H58)</f>
        <v>0</v>
      </c>
      <c r="I59" s="1660"/>
      <c r="J59" s="1663">
        <f>SUM(J58:J58)</f>
        <v>0</v>
      </c>
      <c r="K59" s="1658"/>
      <c r="L59" s="1557" t="s">
        <v>3</v>
      </c>
      <c r="M59" s="1662">
        <f>SUM(M58:M58)</f>
        <v>0</v>
      </c>
      <c r="N59" s="1660"/>
      <c r="O59" s="1663">
        <f>SUM(O58:O58)</f>
        <v>0</v>
      </c>
      <c r="P59" s="131"/>
    </row>
    <row r="60" spans="1:18" s="78" customFormat="1" ht="16.5" thickBot="1">
      <c r="A60" s="1220"/>
      <c r="B60" s="1220"/>
      <c r="C60" s="1220"/>
      <c r="D60" s="1220"/>
      <c r="E60" s="1220"/>
      <c r="F60" s="1220"/>
      <c r="G60" s="1220"/>
      <c r="H60" s="1658"/>
      <c r="I60" s="1658"/>
      <c r="J60" s="1658"/>
      <c r="K60" s="1658"/>
      <c r="L60" s="1658"/>
      <c r="M60" s="1658"/>
      <c r="N60" s="1658"/>
      <c r="O60" s="1221"/>
      <c r="P60" s="80"/>
      <c r="R60" s="1146" t="s">
        <v>606</v>
      </c>
    </row>
    <row r="61" spans="1:18" s="78" customFormat="1" ht="16.5" thickBot="1">
      <c r="A61" s="1220"/>
      <c r="B61" s="2296" t="str">
        <f>+T.EMV!B30</f>
        <v>CHERLITA</v>
      </c>
      <c r="C61" s="2296"/>
      <c r="D61" s="2296"/>
      <c r="E61" s="2296"/>
      <c r="F61" s="1220"/>
      <c r="G61" s="2296" t="str">
        <f>+T.EMV!G30</f>
        <v>CHARLY</v>
      </c>
      <c r="H61" s="2296"/>
      <c r="I61" s="2296"/>
      <c r="J61" s="2296"/>
      <c r="K61" s="1658"/>
      <c r="L61" s="2296" t="str">
        <f>+T.EMV!L30</f>
        <v>POLANCO</v>
      </c>
      <c r="M61" s="2296"/>
      <c r="N61" s="2296"/>
      <c r="O61" s="2296"/>
      <c r="P61" s="80"/>
      <c r="Q61" s="1147" t="str">
        <f>IF(AND(C58=0,H58=0,M58=0,C63=0,H63=0),"NO REVISADO",IF(OR(C58&lt;=0,D58&lt;=0,ABS(E58-(C58*D58/1000))&gt;0.01,H58&lt;=0,I58&lt;=0,ABS(J58-(H58*I58/1000))&gt;0.01,M58&lt;=0,N58&lt;=0,ABS(O58-(M58*N58/1000))&gt;0.01,C63&lt;=0,D63&lt;=0,ABS(E63-(C63*D63/1000))&gt;0.01,H63&lt;=0,I63&lt;=0,ABS(J63-(H63*I63/1000))&gt;0.01,ABS(Q64-(E59+J59+O59+E64+J64+O64))&gt;0.01),"REVISAR","REVISADO"))</f>
        <v>NO REVISADO</v>
      </c>
      <c r="R61" s="1148" t="str">
        <f>IF(Q61="REVISADO","OK - KG, monto y total cuadran",IF(AND(C58=0,H58=0,M58=0,C63=0,H63=0),"Sin KG cargado",IF(C58&lt;=0,"Falta KG CHERLITA; ","")&amp;IF(D58&lt;=0,"Falta monto CHERLITA; ","")&amp;IF(ABS(E58-(C58*D58/1000))&gt;0.01,"Total CHERLITA no cuadra; ","")&amp;IF(H58&lt;=0,"Falta KG CHARLY; ","")&amp;IF(I58&lt;=0,"Falta monto CHARLY; ","")&amp;IF(ABS(J58-(H58*I58/1000))&gt;0.01,"Total CHARLY no cuadra; ","")&amp;IF(M58&lt;=0,"Falta KG HANNOY; ","")&amp;IF(N58&lt;=0,"Falta monto HANNOY; ","")&amp;IF(ABS(O58-(M58*N58/1000))&gt;0.01,"Total HANNOY no cuadra; ","")&amp;IF(C63&lt;=0,"Falta KG ERIKA; ","")&amp;IF(D63&lt;=0,"Falta monto ERIKA; ","")&amp;IF(ABS(E63-(C63*D63/1000))&gt;0.01,"Total ERIKA no cuadra; ","")&amp;IF(H63&lt;=0,"Falta KG FLOR; ","")&amp;IF(I63&lt;=0,"Falta monto FLOR; ","")&amp;IF(ABS(J63-(H63*I63/1000))&gt;0.01,"Total FLOR no cuadra; ","")&amp;IF(ABS(Q64-(E59+J59+O59+E64+J64+O64))&gt;0.01,"Total bloque no cuadra; ","")))</f>
        <v>Sin KG cargado</v>
      </c>
    </row>
    <row r="62" spans="1:18" s="78" customFormat="1" ht="15.75">
      <c r="A62" s="1220"/>
      <c r="B62" s="1557" t="s">
        <v>144</v>
      </c>
      <c r="C62" s="1557" t="s">
        <v>9</v>
      </c>
      <c r="D62" s="1557" t="s">
        <v>149</v>
      </c>
      <c r="E62" s="1557" t="s">
        <v>146</v>
      </c>
      <c r="F62" s="1220"/>
      <c r="G62" s="1557" t="s">
        <v>144</v>
      </c>
      <c r="H62" s="1557" t="s">
        <v>9</v>
      </c>
      <c r="I62" s="1557" t="s">
        <v>149</v>
      </c>
      <c r="J62" s="1557" t="s">
        <v>146</v>
      </c>
      <c r="K62" s="1664"/>
      <c r="L62" s="1557" t="s">
        <v>144</v>
      </c>
      <c r="M62" s="1557" t="s">
        <v>9</v>
      </c>
      <c r="N62" s="1557" t="s">
        <v>149</v>
      </c>
      <c r="O62" s="1557" t="s">
        <v>146</v>
      </c>
      <c r="R62" s="129"/>
    </row>
    <row r="63" spans="1:18" s="78" customFormat="1" ht="15.75">
      <c r="A63" s="1220"/>
      <c r="B63" s="1253" t="str">
        <f>+C8</f>
        <v>BVM-831</v>
      </c>
      <c r="C63" s="1253">
        <f>+T.EMV!C52+T.EMV!C152</f>
        <v>0</v>
      </c>
      <c r="D63" s="1660">
        <v>85</v>
      </c>
      <c r="E63" s="1661">
        <f>+C63*D63/1000</f>
        <v>0</v>
      </c>
      <c r="F63" s="1220"/>
      <c r="G63" s="1253" t="str">
        <f>+C8</f>
        <v>BVM-831</v>
      </c>
      <c r="H63" s="1253">
        <f>+T.EMV!V44</f>
        <v>0</v>
      </c>
      <c r="I63" s="1660">
        <v>85</v>
      </c>
      <c r="J63" s="1661">
        <f>+H63*I63/1000</f>
        <v>0</v>
      </c>
      <c r="K63" s="1664"/>
      <c r="L63" s="1253">
        <f>+M8</f>
        <v>0</v>
      </c>
      <c r="M63" s="1253">
        <f>+T.EMV!M52+T.EMV!M152</f>
        <v>0</v>
      </c>
      <c r="N63" s="1660">
        <v>85</v>
      </c>
      <c r="O63" s="1661">
        <f>+M63*N63/1000</f>
        <v>0</v>
      </c>
      <c r="Q63" s="45" t="s">
        <v>195</v>
      </c>
    </row>
    <row r="64" spans="1:18" s="78" customFormat="1" ht="15.75">
      <c r="A64" s="1220"/>
      <c r="B64" s="1557" t="s">
        <v>3</v>
      </c>
      <c r="C64" s="1662">
        <f>SUM(C63:C63)</f>
        <v>0</v>
      </c>
      <c r="D64" s="1660"/>
      <c r="E64" s="1663">
        <f>SUM(E63:E63)</f>
        <v>0</v>
      </c>
      <c r="F64" s="1221"/>
      <c r="G64" s="1557" t="s">
        <v>3</v>
      </c>
      <c r="H64" s="1662">
        <f>SUM(H63:H63)</f>
        <v>0</v>
      </c>
      <c r="I64" s="1660"/>
      <c r="J64" s="1663">
        <f>SUM(J63:J63)</f>
        <v>0</v>
      </c>
      <c r="K64" s="1665"/>
      <c r="L64" s="1557" t="s">
        <v>3</v>
      </c>
      <c r="M64" s="1662">
        <f>SUM(M63:M63)</f>
        <v>0</v>
      </c>
      <c r="N64" s="1660"/>
      <c r="O64" s="1663">
        <f>SUM(O63:O63)</f>
        <v>0</v>
      </c>
      <c r="P64" s="80"/>
      <c r="Q64" s="133">
        <f>+E59+J59+O59+E64+J64+O64</f>
        <v>0</v>
      </c>
    </row>
    <row r="65" spans="1:18" s="78" customFormat="1" ht="15.75">
      <c r="A65" s="1220"/>
      <c r="B65" s="1659"/>
      <c r="C65" s="1664"/>
      <c r="D65" s="1220"/>
      <c r="E65" s="1666"/>
      <c r="F65" s="1221"/>
      <c r="G65" s="1659"/>
      <c r="H65" s="1664"/>
      <c r="I65" s="1220"/>
      <c r="J65" s="1666"/>
      <c r="K65" s="1665"/>
      <c r="L65" s="1659"/>
      <c r="M65" s="1220"/>
      <c r="N65" s="1220"/>
      <c r="O65" s="1667"/>
      <c r="P65" s="80"/>
      <c r="Q65" s="317"/>
    </row>
    <row r="66" spans="1:18" s="78" customFormat="1" ht="15.75">
      <c r="A66" s="1220"/>
      <c r="B66" s="2296" t="str">
        <f>+T.EMV!B55</f>
        <v>ELIANA</v>
      </c>
      <c r="C66" s="2296"/>
      <c r="D66" s="2296"/>
      <c r="E66" s="2296"/>
      <c r="F66" s="1221"/>
      <c r="G66" s="1659"/>
      <c r="H66" s="1664"/>
      <c r="I66" s="1220"/>
      <c r="J66" s="1666"/>
      <c r="K66" s="1665"/>
      <c r="L66" s="1659"/>
      <c r="M66" s="1220"/>
      <c r="N66" s="1220"/>
      <c r="O66" s="1667"/>
      <c r="P66" s="80"/>
      <c r="Q66" s="317"/>
    </row>
    <row r="67" spans="1:18" s="78" customFormat="1" ht="15.75">
      <c r="A67" s="1220"/>
      <c r="B67" s="1557" t="s">
        <v>144</v>
      </c>
      <c r="C67" s="1557" t="s">
        <v>9</v>
      </c>
      <c r="D67" s="1557" t="s">
        <v>149</v>
      </c>
      <c r="E67" s="1557" t="s">
        <v>146</v>
      </c>
      <c r="F67" s="1221"/>
      <c r="G67" s="1659"/>
      <c r="H67" s="1664"/>
      <c r="I67" s="1220"/>
      <c r="J67" s="1666"/>
      <c r="K67" s="1668"/>
      <c r="L67" s="1659"/>
      <c r="M67" s="1220"/>
      <c r="N67" s="1220"/>
      <c r="O67" s="1667"/>
      <c r="P67" s="80"/>
      <c r="Q67" s="317"/>
    </row>
    <row r="68" spans="1:18" s="78" customFormat="1" ht="15.75">
      <c r="A68" s="1220"/>
      <c r="B68" s="1253">
        <f>+C13</f>
        <v>0</v>
      </c>
      <c r="C68" s="1253">
        <f>+T.EMV!S50+T.EMV!U50</f>
        <v>0</v>
      </c>
      <c r="D68" s="1660">
        <v>85</v>
      </c>
      <c r="E68" s="1661">
        <f>+C68*D68/1000</f>
        <v>0</v>
      </c>
      <c r="F68" s="1221"/>
      <c r="G68" s="1659"/>
      <c r="H68" s="1664"/>
      <c r="I68" s="1669"/>
      <c r="J68" s="1666"/>
      <c r="K68" s="1665"/>
      <c r="L68" s="1670"/>
      <c r="M68" s="1220"/>
      <c r="N68" s="1220"/>
      <c r="O68" s="1667"/>
      <c r="P68" s="80"/>
      <c r="Q68" s="317"/>
    </row>
    <row r="69" spans="1:18" s="78" customFormat="1" ht="15.75">
      <c r="A69" s="1220"/>
      <c r="B69" s="1557" t="s">
        <v>3</v>
      </c>
      <c r="C69" s="1662">
        <f>SUM(C68:C68)</f>
        <v>0</v>
      </c>
      <c r="D69" s="1660"/>
      <c r="E69" s="1663">
        <f>SUM(E68:E68)</f>
        <v>0</v>
      </c>
      <c r="F69" s="1221"/>
      <c r="G69" s="1659"/>
      <c r="H69" s="1664"/>
      <c r="I69" s="1220"/>
      <c r="J69" s="1666"/>
      <c r="K69" s="1665"/>
      <c r="L69" s="1659"/>
      <c r="M69" s="1220"/>
      <c r="N69" s="1220"/>
      <c r="O69" s="1667"/>
      <c r="P69" s="80"/>
      <c r="Q69" s="317"/>
    </row>
    <row r="70" spans="1:18" s="78" customFormat="1" ht="15.75">
      <c r="B70" s="94"/>
      <c r="C70" s="81"/>
      <c r="E70" s="1151"/>
      <c r="F70" s="80"/>
      <c r="G70" s="94"/>
      <c r="H70" s="81"/>
      <c r="J70" s="1151"/>
      <c r="K70" s="83"/>
      <c r="L70" s="94"/>
      <c r="O70" s="316"/>
      <c r="P70" s="80"/>
      <c r="Q70" s="317"/>
    </row>
    <row r="71" spans="1:18" s="311" customFormat="1" ht="3" customHeight="1">
      <c r="C71" s="312"/>
      <c r="D71" s="312"/>
      <c r="E71" s="312"/>
      <c r="F71" s="312"/>
      <c r="G71" s="312"/>
      <c r="H71" s="314"/>
      <c r="I71" s="314"/>
      <c r="J71" s="314"/>
      <c r="K71" s="314"/>
      <c r="L71" s="314"/>
      <c r="M71" s="314"/>
      <c r="N71" s="314"/>
      <c r="O71" s="312"/>
      <c r="P71" s="312"/>
    </row>
    <row r="72" spans="1:18" s="78" customFormat="1" ht="18.75" thickBot="1">
      <c r="B72" s="84" t="s">
        <v>182</v>
      </c>
      <c r="C72" s="80"/>
      <c r="D72" s="80"/>
      <c r="E72" s="80"/>
      <c r="F72" s="80"/>
      <c r="G72" s="80"/>
      <c r="H72" s="80"/>
      <c r="I72" s="80"/>
      <c r="J72" s="80"/>
      <c r="K72" s="83"/>
      <c r="L72" s="80"/>
      <c r="M72" s="80"/>
      <c r="N72" s="80"/>
      <c r="O72" s="80"/>
      <c r="P72" s="80"/>
      <c r="R72" s="1146" t="s">
        <v>606</v>
      </c>
    </row>
    <row r="73" spans="1:18" s="78" customFormat="1" ht="16.5" thickBot="1">
      <c r="B73" s="2297" t="s">
        <v>188</v>
      </c>
      <c r="C73" s="2297"/>
      <c r="D73" s="2297"/>
      <c r="E73" s="2297"/>
      <c r="F73" s="80"/>
      <c r="G73" s="80"/>
      <c r="H73" s="80"/>
      <c r="I73" s="80"/>
      <c r="J73" s="80"/>
      <c r="K73" s="83"/>
      <c r="L73" s="80"/>
      <c r="M73" s="1144"/>
      <c r="N73" s="1142"/>
      <c r="O73" s="80"/>
      <c r="P73" s="80"/>
      <c r="Q73" s="1147" t="str">
        <f>IF(C75=0,"NO REVISADO",IF(OR(C75&lt;=0,D75&lt;=0,ABS(E75-(C75*D75/1000))&gt;0.01,ABS(Q76-E76)&gt;0.01),"REVISAR","REVISADO"))</f>
        <v>NO REVISADO</v>
      </c>
      <c r="R73" s="1148" t="str">
        <f>IF(Q73="REVISADO","OK - KG, monto y total cuadran",IF(C75=0,"Sin KG cargado",IF(D75&lt;=0,"Falta monto CHARLY; ","")&amp;IF(ABS(E75-(C75*D75/1000))&gt;0.01,"Total CHARLY no cuadra; ","")&amp;IF(ABS(Q76-E76)&gt;0.01,"Total bloque no cuadra; ","")))</f>
        <v>Sin KG cargado</v>
      </c>
    </row>
    <row r="74" spans="1:18" s="78" customFormat="1" ht="15.75">
      <c r="B74" s="93" t="s">
        <v>144</v>
      </c>
      <c r="C74" s="93" t="s">
        <v>9</v>
      </c>
      <c r="D74" s="93" t="s">
        <v>149</v>
      </c>
      <c r="E74" s="93" t="s">
        <v>146</v>
      </c>
      <c r="F74" s="80"/>
      <c r="G74" s="80"/>
      <c r="H74" s="80"/>
      <c r="I74" s="80"/>
      <c r="J74" s="80"/>
      <c r="K74" s="1143"/>
      <c r="L74" s="1144"/>
      <c r="M74" s="80"/>
      <c r="N74" s="80"/>
      <c r="O74" s="80"/>
      <c r="P74" s="80"/>
    </row>
    <row r="75" spans="1:18" s="78" customFormat="1" ht="16.5">
      <c r="B75" s="76" t="str">
        <f>+C8</f>
        <v>BVM-831</v>
      </c>
      <c r="C75" s="318">
        <f>+'RES-EN'!AA26</f>
        <v>0</v>
      </c>
      <c r="D75" s="135">
        <v>30</v>
      </c>
      <c r="E75" s="89">
        <f>+C75*D75/1000</f>
        <v>0</v>
      </c>
      <c r="F75" s="83"/>
      <c r="G75" s="80"/>
      <c r="H75" s="80"/>
      <c r="I75" s="80"/>
      <c r="J75" s="1144"/>
      <c r="K75" s="83"/>
      <c r="L75" s="80"/>
      <c r="M75" s="80"/>
      <c r="N75" s="80"/>
      <c r="O75" s="80"/>
      <c r="P75" s="80"/>
      <c r="Q75" s="45" t="s">
        <v>196</v>
      </c>
    </row>
    <row r="76" spans="1:18" s="78" customFormat="1" ht="15.75">
      <c r="B76" s="86" t="s">
        <v>3</v>
      </c>
      <c r="C76" s="307">
        <f>SUM(C75:C75)</f>
        <v>0</v>
      </c>
      <c r="D76" s="85"/>
      <c r="E76" s="380">
        <f>SUM(E75:E75)</f>
        <v>0</v>
      </c>
      <c r="F76" s="80"/>
      <c r="G76" s="80"/>
      <c r="H76" s="80"/>
      <c r="I76" s="80"/>
      <c r="J76" s="80"/>
      <c r="K76" s="83"/>
      <c r="P76" s="80"/>
      <c r="Q76" s="133">
        <f>+E76+J76</f>
        <v>0</v>
      </c>
    </row>
    <row r="77" spans="1:18" s="78" customFormat="1" ht="15.75">
      <c r="B77" s="94"/>
      <c r="E77" s="316"/>
      <c r="F77" s="80"/>
      <c r="G77" s="80"/>
      <c r="H77" s="80"/>
      <c r="I77" s="80"/>
      <c r="J77" s="80"/>
      <c r="K77" s="83"/>
    </row>
    <row r="78" spans="1:18" s="311" customFormat="1" ht="3" customHeight="1">
      <c r="B78" s="313"/>
    </row>
    <row r="79" spans="1:18" s="78" customFormat="1" ht="18">
      <c r="B79" s="84" t="s">
        <v>183</v>
      </c>
      <c r="C79" s="80"/>
      <c r="D79" s="80"/>
      <c r="E79" s="80"/>
      <c r="F79" s="80"/>
      <c r="G79" s="80"/>
      <c r="H79" s="83"/>
      <c r="I79" s="83"/>
      <c r="J79" s="83"/>
      <c r="K79" s="83"/>
      <c r="L79" s="83"/>
      <c r="M79" s="83"/>
      <c r="N79" s="83"/>
      <c r="O79" s="80"/>
      <c r="P79" s="80"/>
    </row>
    <row r="80" spans="1:18" s="78" customFormat="1" ht="16.5" thickBot="1">
      <c r="B80" s="2297" t="s">
        <v>138</v>
      </c>
      <c r="C80" s="2297"/>
      <c r="D80" s="2297"/>
      <c r="E80" s="2297"/>
      <c r="F80" s="80"/>
      <c r="G80" s="2297" t="s">
        <v>380</v>
      </c>
      <c r="H80" s="2297"/>
      <c r="I80" s="2297"/>
      <c r="J80" s="2297"/>
      <c r="K80" s="83"/>
      <c r="L80" s="2297" t="s">
        <v>302</v>
      </c>
      <c r="M80" s="2297"/>
      <c r="N80" s="2297"/>
      <c r="O80" s="2297"/>
      <c r="P80" s="80"/>
      <c r="R80" s="1146" t="s">
        <v>606</v>
      </c>
    </row>
    <row r="81" spans="2:18" s="78" customFormat="1" ht="16.5" thickBot="1">
      <c r="B81" s="93" t="s">
        <v>144</v>
      </c>
      <c r="C81" s="93" t="s">
        <v>9</v>
      </c>
      <c r="D81" s="93" t="s">
        <v>149</v>
      </c>
      <c r="E81" s="93" t="s">
        <v>146</v>
      </c>
      <c r="F81" s="80"/>
      <c r="G81" s="93" t="s">
        <v>144</v>
      </c>
      <c r="H81" s="93" t="s">
        <v>9</v>
      </c>
      <c r="I81" s="93" t="s">
        <v>149</v>
      </c>
      <c r="J81" s="93" t="s">
        <v>146</v>
      </c>
      <c r="K81" s="83"/>
      <c r="L81" s="93" t="s">
        <v>144</v>
      </c>
      <c r="M81" s="93" t="s">
        <v>9</v>
      </c>
      <c r="N81" s="93" t="s">
        <v>149</v>
      </c>
      <c r="O81" s="93" t="s">
        <v>146</v>
      </c>
      <c r="P81" s="80"/>
      <c r="Q81" s="1147" t="str">
        <f>IF(SUM(C82,H82)=0,"NO REVISADO",IF(OR(C82&lt;=0,D82&lt;=0,ABS(E82-(C82*D82/1000))&gt;0.01,H82&lt;=0,I82&lt;=0,ABS(J82-(H82*I82/1000))&gt;0.01,ABS(Q84-(E83+J83))&gt;0.01),"REVISAR","REVISADO"))</f>
        <v>REVISAR</v>
      </c>
      <c r="R81" s="1148" t="str">
        <f>IF(Q81="REVISADO","OK - KG, monto y total cuadran",IF(SUM(C82,H82)=0,"Sin KG cargado",IF(C82&lt;=0,"Falta KG CHARLY; ","")&amp;IF(D82&lt;=0,"Falta monto CHARLY; ","")&amp;IF(ABS(E82-(C82*D82/1000))&gt;0.01,"Total CHARLY no cuadra; ","")&amp;IF(H82&lt;=0,"Falta KG PAZ; ","")&amp;IF(I82&lt;=0,"Falta monto PAZ; ","")&amp;IF(ABS(J82-(H82*I82/1000))&gt;0.01,"Total PAZ no cuadra; ","")&amp;IF(ABS(Q84-(E83+J83))&gt;0.01,"Total bloque no cuadra; ","")))</f>
        <v xml:space="preserve">Falta KG CHARLY; </v>
      </c>
    </row>
    <row r="82" spans="2:18" s="78" customFormat="1" ht="15.75">
      <c r="B82" s="76" t="str">
        <f>+C8</f>
        <v>BVM-831</v>
      </c>
      <c r="C82" s="310">
        <f>+NUQUERAS!R43</f>
        <v>0</v>
      </c>
      <c r="D82" s="135">
        <v>420</v>
      </c>
      <c r="E82" s="89">
        <f>+C82*D82/1000</f>
        <v>0</v>
      </c>
      <c r="F82" s="80"/>
      <c r="G82" s="76" t="str">
        <f>+C8</f>
        <v>BVM-831</v>
      </c>
      <c r="H82" s="76">
        <f>+NUQUERAS!R86</f>
        <v>262.84000000000003</v>
      </c>
      <c r="I82" s="135">
        <v>400</v>
      </c>
      <c r="J82" s="89">
        <f>+H82*I82/1000</f>
        <v>105.13600000000001</v>
      </c>
      <c r="K82" s="83"/>
      <c r="L82" s="353" t="str">
        <f>+C8</f>
        <v>BVM-831</v>
      </c>
      <c r="M82" s="310"/>
      <c r="N82" s="135">
        <v>420</v>
      </c>
      <c r="O82" s="89">
        <f>+M82*N82/1000</f>
        <v>0</v>
      </c>
      <c r="P82" s="80"/>
    </row>
    <row r="83" spans="2:18" s="78" customFormat="1" ht="15.75">
      <c r="B83" s="86" t="s">
        <v>3</v>
      </c>
      <c r="C83" s="307">
        <f>SUM(C82:C82)</f>
        <v>0</v>
      </c>
      <c r="D83" s="85"/>
      <c r="E83" s="380">
        <f>SUM(E82:E82)</f>
        <v>0</v>
      </c>
      <c r="F83" s="80"/>
      <c r="G83" s="86" t="s">
        <v>3</v>
      </c>
      <c r="H83" s="307">
        <f>SUM(H82:H82)</f>
        <v>262.84000000000003</v>
      </c>
      <c r="I83" s="85"/>
      <c r="J83" s="380">
        <f>SUM(J82:J82)</f>
        <v>105.13600000000001</v>
      </c>
      <c r="K83" s="83"/>
      <c r="L83" s="86" t="s">
        <v>3</v>
      </c>
      <c r="M83" s="307">
        <f>SUM(M82:M82)</f>
        <v>0</v>
      </c>
      <c r="N83" s="85"/>
      <c r="O83" s="380">
        <f>SUM(O82:O82)</f>
        <v>0</v>
      </c>
      <c r="P83" s="80"/>
      <c r="Q83" s="45" t="s">
        <v>197</v>
      </c>
    </row>
    <row r="84" spans="2:18" s="78" customFormat="1" ht="15.75">
      <c r="B84" s="94"/>
      <c r="E84" s="80"/>
      <c r="F84" s="80"/>
      <c r="G84" s="94"/>
      <c r="J84" s="83"/>
      <c r="K84" s="83"/>
      <c r="L84" s="83"/>
      <c r="M84" s="83"/>
      <c r="N84" s="83"/>
      <c r="O84" s="80"/>
      <c r="P84" s="80"/>
      <c r="Q84" s="133">
        <f>+E83+J83+O83</f>
        <v>105.13600000000001</v>
      </c>
    </row>
    <row r="85" spans="2:18" s="311" customFormat="1" ht="3" customHeight="1">
      <c r="B85" s="313"/>
      <c r="E85" s="312"/>
      <c r="F85" s="312"/>
      <c r="G85" s="313"/>
      <c r="J85" s="314"/>
      <c r="K85" s="314"/>
      <c r="L85" s="314"/>
      <c r="M85" s="314"/>
      <c r="N85" s="314"/>
      <c r="O85" s="312"/>
      <c r="P85" s="312"/>
      <c r="Q85" s="315"/>
    </row>
    <row r="86" spans="2:18" s="78" customFormat="1" ht="18">
      <c r="B86" s="84" t="s">
        <v>189</v>
      </c>
      <c r="C86" s="80"/>
      <c r="D86" s="80"/>
      <c r="E86" s="80"/>
      <c r="F86" s="80"/>
      <c r="G86" s="80"/>
      <c r="H86" s="83"/>
      <c r="I86" s="83"/>
      <c r="J86" s="83"/>
      <c r="K86" s="83"/>
      <c r="L86" s="83"/>
      <c r="M86" s="83"/>
      <c r="N86" s="83"/>
      <c r="O86" s="80"/>
      <c r="P86" s="80"/>
    </row>
    <row r="87" spans="2:18" s="78" customFormat="1" ht="16.5" thickBot="1">
      <c r="B87" s="2297" t="s">
        <v>378</v>
      </c>
      <c r="C87" s="2297"/>
      <c r="D87" s="2297"/>
      <c r="E87" s="2297"/>
      <c r="F87" s="80"/>
      <c r="G87" s="2297" t="s">
        <v>379</v>
      </c>
      <c r="H87" s="2297"/>
      <c r="I87" s="2297"/>
      <c r="J87" s="2297"/>
      <c r="K87" s="83"/>
      <c r="L87" s="83"/>
      <c r="M87" s="83"/>
      <c r="N87" s="391"/>
      <c r="O87" s="80"/>
      <c r="P87" s="80"/>
      <c r="R87" s="1146" t="s">
        <v>606</v>
      </c>
    </row>
    <row r="88" spans="2:18" s="78" customFormat="1" ht="16.5" thickBot="1">
      <c r="B88" s="93" t="s">
        <v>144</v>
      </c>
      <c r="C88" s="93" t="s">
        <v>9</v>
      </c>
      <c r="D88" s="93" t="s">
        <v>149</v>
      </c>
      <c r="E88" s="93" t="s">
        <v>146</v>
      </c>
      <c r="F88" s="80"/>
      <c r="G88" s="93" t="s">
        <v>144</v>
      </c>
      <c r="H88" s="93" t="s">
        <v>9</v>
      </c>
      <c r="I88" s="93" t="s">
        <v>149</v>
      </c>
      <c r="J88" s="93" t="s">
        <v>146</v>
      </c>
      <c r="K88" s="83"/>
      <c r="L88" s="391"/>
      <c r="M88" s="1143"/>
      <c r="N88" s="391"/>
      <c r="O88" s="80"/>
      <c r="P88" s="80"/>
      <c r="Q88" s="1147" t="str">
        <f>IF(SUM(C89,H89)=0,"NO REVISADO",IF(OR(AND(C89&gt;0,D89&lt;=0),ABS(E89-(C89*D89/1000))&gt;0.01,AND(H89&gt;0,I89&lt;=0),ABS(J89-(H89*I89/1000))&gt;0.01),"REVISAR","REVISADO"))</f>
        <v>NO REVISADO</v>
      </c>
      <c r="R88" s="1148" t="str">
        <f>IF(Q88="REVISADO","OK - datos cargados cuadran"&amp;IF(C89=0,"; PERCY ZONA A sin KG opcional","")&amp;IF(H89=0,"; PERCY ZONA B sin KG opcional",""),IF(Q88="NO REVISADO","Sin KG cargado",IF(AND(C89&gt;0,D89&lt;=0),"Falta monto PERCY ZONA A; ","")&amp;IF(ABS(E89-(C89*D89/1000))&gt;0.01,"Total PERCY ZONA A no cuadra; ","")&amp;IF(AND(H89&gt;0,I89&lt;=0),"Falta monto PERCY ZONA B; ","")&amp;IF(ABS(J89-(H89*I89/1000))&gt;0.01,"Total PERCY ZONA B no cuadra; ","")))</f>
        <v>Sin KG cargado</v>
      </c>
    </row>
    <row r="89" spans="2:18" s="78" customFormat="1" ht="15.75">
      <c r="B89" s="76" t="str">
        <f>+C8</f>
        <v>BVM-831</v>
      </c>
      <c r="C89" s="1542"/>
      <c r="D89" s="135">
        <v>460</v>
      </c>
      <c r="E89" s="89">
        <f>+C89*D89/1000</f>
        <v>0</v>
      </c>
      <c r="F89" s="80"/>
      <c r="G89" s="76" t="str">
        <f>+B89</f>
        <v>BVM-831</v>
      </c>
      <c r="H89" s="127"/>
      <c r="I89" s="135">
        <v>460</v>
      </c>
      <c r="J89" s="89">
        <f>+H89*I89/1000</f>
        <v>0</v>
      </c>
      <c r="K89" s="83"/>
      <c r="L89" s="83"/>
      <c r="M89" s="83"/>
      <c r="N89" s="83"/>
      <c r="O89" s="80"/>
      <c r="P89" s="80"/>
      <c r="Q89" s="45" t="s">
        <v>198</v>
      </c>
    </row>
    <row r="90" spans="2:18" s="78" customFormat="1" ht="15.75">
      <c r="B90" s="86" t="s">
        <v>3</v>
      </c>
      <c r="C90" s="307">
        <f>SUM(C89:C89)</f>
        <v>0</v>
      </c>
      <c r="D90" s="85"/>
      <c r="E90" s="380">
        <f>SUM(E89:E89)</f>
        <v>0</v>
      </c>
      <c r="F90" s="80"/>
      <c r="G90" s="86" t="s">
        <v>3</v>
      </c>
      <c r="H90" s="307">
        <f>SUM(H89:H89)</f>
        <v>0</v>
      </c>
      <c r="I90" s="85"/>
      <c r="J90" s="380">
        <f>SUM(J89:J89)</f>
        <v>0</v>
      </c>
      <c r="K90" s="83"/>
      <c r="L90" s="391"/>
      <c r="M90" s="83"/>
      <c r="N90" s="83"/>
      <c r="P90" s="80"/>
      <c r="Q90" s="133">
        <f>+E90+J90</f>
        <v>0</v>
      </c>
    </row>
    <row r="91" spans="2:18" s="78" customFormat="1" ht="15.75">
      <c r="B91" s="2304" t="s">
        <v>699</v>
      </c>
      <c r="C91" s="2304"/>
      <c r="D91" s="2304"/>
      <c r="E91" s="2304"/>
      <c r="F91" s="80"/>
      <c r="G91" s="94"/>
      <c r="H91" s="81"/>
      <c r="J91" s="1151"/>
      <c r="K91" s="83"/>
      <c r="L91" s="391"/>
      <c r="M91" s="83"/>
      <c r="N91" s="83"/>
      <c r="P91" s="80"/>
      <c r="Q91" s="1524"/>
    </row>
    <row r="92" spans="2:18" s="78" customFormat="1" ht="15.75">
      <c r="B92" s="2305"/>
      <c r="C92" s="2305"/>
      <c r="D92" s="2305"/>
      <c r="E92" s="2305"/>
      <c r="F92" s="80"/>
      <c r="G92" s="94"/>
      <c r="H92" s="81"/>
      <c r="J92" s="1151"/>
      <c r="K92" s="83"/>
      <c r="L92" s="391"/>
      <c r="M92" s="83"/>
      <c r="N92" s="83"/>
      <c r="P92" s="80"/>
      <c r="Q92" s="1524"/>
    </row>
    <row r="93" spans="2:18" s="78" customFormat="1" ht="15.75">
      <c r="B93" s="94"/>
      <c r="E93" s="80"/>
      <c r="F93" s="80"/>
      <c r="G93" s="94"/>
      <c r="J93" s="83"/>
      <c r="K93" s="83"/>
      <c r="L93" s="83"/>
      <c r="M93" s="83"/>
      <c r="N93" s="83"/>
      <c r="O93" s="80"/>
      <c r="P93" s="80"/>
    </row>
    <row r="94" spans="2:18" s="311" customFormat="1" ht="3" customHeight="1">
      <c r="B94" s="313"/>
      <c r="E94" s="312"/>
      <c r="F94" s="312"/>
      <c r="G94" s="313"/>
      <c r="J94" s="314"/>
      <c r="K94" s="314"/>
      <c r="L94" s="314"/>
      <c r="M94" s="314"/>
      <c r="N94" s="314"/>
      <c r="O94" s="312"/>
      <c r="P94" s="312"/>
    </row>
    <row r="95" spans="2:18" s="78" customFormat="1" ht="18">
      <c r="B95" s="84" t="s">
        <v>574</v>
      </c>
      <c r="C95" s="80"/>
      <c r="D95" s="80"/>
      <c r="E95" s="80"/>
      <c r="F95" s="80"/>
      <c r="G95" s="80"/>
      <c r="H95" s="83"/>
      <c r="I95" s="83"/>
      <c r="J95" s="83"/>
      <c r="K95" s="83"/>
      <c r="L95" s="80"/>
      <c r="M95" s="83"/>
      <c r="N95" s="83"/>
      <c r="O95" s="83"/>
      <c r="P95" s="80"/>
    </row>
    <row r="96" spans="2:18" s="78" customFormat="1" ht="16.5" thickBot="1">
      <c r="B96" s="2297" t="s">
        <v>302</v>
      </c>
      <c r="C96" s="2297"/>
      <c r="D96" s="2297"/>
      <c r="E96" s="2297"/>
      <c r="F96" s="80"/>
      <c r="G96" s="2297" t="s">
        <v>191</v>
      </c>
      <c r="H96" s="2297"/>
      <c r="I96" s="2297"/>
      <c r="J96" s="2297"/>
      <c r="K96" s="83"/>
      <c r="L96" s="80"/>
      <c r="M96" s="83"/>
      <c r="N96" s="83"/>
      <c r="O96" s="83"/>
      <c r="P96" s="80"/>
      <c r="R96" s="1146" t="s">
        <v>606</v>
      </c>
    </row>
    <row r="97" spans="1:18" s="78" customFormat="1" ht="16.5" thickBot="1">
      <c r="B97" s="93" t="s">
        <v>144</v>
      </c>
      <c r="C97" s="93" t="s">
        <v>9</v>
      </c>
      <c r="D97" s="93" t="s">
        <v>149</v>
      </c>
      <c r="E97" s="93" t="s">
        <v>146</v>
      </c>
      <c r="F97" s="80"/>
      <c r="G97" s="93" t="s">
        <v>144</v>
      </c>
      <c r="H97" s="93" t="s">
        <v>9</v>
      </c>
      <c r="I97" s="93" t="s">
        <v>149</v>
      </c>
      <c r="J97" s="93" t="s">
        <v>146</v>
      </c>
      <c r="K97" s="83"/>
      <c r="L97" s="80"/>
      <c r="M97" s="83"/>
      <c r="N97" s="83"/>
      <c r="O97" s="83"/>
      <c r="P97" s="80"/>
      <c r="Q97" s="1147" t="str">
        <f>IF(SUM(C98,H98)=0,"NO REVISADO",IF(OR(C98&lt;=0,D98&lt;=0,ABS(E98-(C98*D98/1000))&gt;0.01,H98&lt;=0,I98&lt;=0,ABS(J98-(H98*I98/1000))&gt;0.01),"REVISAR","REVISADO"))</f>
        <v>REVISADO</v>
      </c>
      <c r="R97" s="1148" t="str">
        <f>IF(Q97="REVISADO","OK - KG, monto y total cuadran",IF(SUM(C98,H98)=0,"Sin KG cargado",IF(C98&lt;=0,"Falta KG PERCY; ","")&amp;IF(D98&lt;=0,"Falta monto PERCY; ","")&amp;IF(ABS(E98-(C98*D98/1000))&gt;0.01,"Total PERCY no cuadra; ","")&amp;IF(H98&lt;=0,"Falta KG HANHOY; ","")&amp;IF(I98&lt;=0,"Falta monto HANHOY; ","")&amp;IF(ABS(J98-(H98*I98/1000))&gt;0.01,"Total HANHOY no cuadra; ","")))</f>
        <v>OK - KG, monto y total cuadran</v>
      </c>
    </row>
    <row r="98" spans="1:18" s="78" customFormat="1" ht="15.75">
      <c r="B98" s="76" t="str">
        <f>+C8</f>
        <v>BVM-831</v>
      </c>
      <c r="C98" s="88">
        <v>4067</v>
      </c>
      <c r="D98" s="135">
        <v>50</v>
      </c>
      <c r="E98" s="89">
        <f>+C98*D98/1000</f>
        <v>203.35</v>
      </c>
      <c r="F98" s="80"/>
      <c r="G98" s="76" t="str">
        <f>+B98</f>
        <v>BVM-831</v>
      </c>
      <c r="H98" s="88">
        <v>4685</v>
      </c>
      <c r="I98" s="135">
        <v>50</v>
      </c>
      <c r="J98" s="89">
        <f>+H98*I98/1000</f>
        <v>234.25</v>
      </c>
      <c r="K98" s="83"/>
      <c r="M98" s="83"/>
      <c r="N98" s="83"/>
      <c r="O98" s="83"/>
      <c r="P98" s="80"/>
      <c r="Q98" s="45" t="s">
        <v>199</v>
      </c>
    </row>
    <row r="99" spans="1:18" s="78" customFormat="1" ht="15.75">
      <c r="B99" s="86" t="s">
        <v>3</v>
      </c>
      <c r="C99" s="307">
        <f>SUM(C98:C98)</f>
        <v>4067</v>
      </c>
      <c r="D99" s="85"/>
      <c r="E99" s="380">
        <f>SUM(E98:E98)</f>
        <v>203.35</v>
      </c>
      <c r="F99" s="80"/>
      <c r="G99" s="86" t="s">
        <v>3</v>
      </c>
      <c r="H99" s="307">
        <f>SUM(H98:H98)</f>
        <v>4685</v>
      </c>
      <c r="I99" s="85"/>
      <c r="J99" s="380">
        <f>SUM(J98:J98)</f>
        <v>234.25</v>
      </c>
      <c r="K99" s="83"/>
      <c r="L99" s="80"/>
      <c r="M99" s="83"/>
      <c r="N99" s="83"/>
      <c r="O99" s="83"/>
      <c r="P99" s="80"/>
      <c r="Q99" s="133">
        <f>+E99+J99+O99</f>
        <v>437.6</v>
      </c>
    </row>
    <row r="100" spans="1:18" s="78" customFormat="1" ht="15.75">
      <c r="B100" s="94"/>
      <c r="E100" s="80"/>
      <c r="F100" s="80"/>
      <c r="G100" s="94"/>
      <c r="J100" s="83"/>
      <c r="K100" s="83"/>
      <c r="L100" s="83"/>
      <c r="M100" s="83"/>
      <c r="N100" s="83"/>
      <c r="O100" s="80"/>
      <c r="P100" s="80"/>
    </row>
    <row r="101" spans="1:18" s="311" customFormat="1" ht="3" customHeight="1">
      <c r="B101" s="313"/>
      <c r="E101" s="312"/>
      <c r="F101" s="312"/>
      <c r="G101" s="313"/>
      <c r="J101" s="314"/>
      <c r="K101" s="314"/>
      <c r="L101" s="314"/>
      <c r="M101" s="314"/>
      <c r="N101" s="314"/>
      <c r="O101" s="312"/>
      <c r="P101" s="312"/>
    </row>
    <row r="102" spans="1:18" s="78" customFormat="1" ht="18.75" thickBot="1">
      <c r="B102" s="84" t="s">
        <v>425</v>
      </c>
      <c r="C102" s="80"/>
      <c r="D102" s="80"/>
      <c r="E102" s="80"/>
      <c r="F102" s="80"/>
      <c r="G102" s="80"/>
      <c r="H102" s="83"/>
      <c r="I102" s="83"/>
      <c r="J102" s="83"/>
      <c r="K102" s="83"/>
      <c r="L102" s="83"/>
      <c r="M102" s="83"/>
      <c r="N102" s="83"/>
      <c r="O102" s="80"/>
      <c r="P102" s="80"/>
      <c r="R102" s="1146" t="s">
        <v>606</v>
      </c>
    </row>
    <row r="103" spans="1:18" s="78" customFormat="1" ht="16.5" thickBot="1">
      <c r="B103" s="2297" t="s">
        <v>181</v>
      </c>
      <c r="C103" s="2297"/>
      <c r="D103" s="2297"/>
      <c r="E103" s="2297"/>
      <c r="F103" s="80"/>
      <c r="G103" s="2297" t="s">
        <v>180</v>
      </c>
      <c r="H103" s="2297"/>
      <c r="I103" s="2297"/>
      <c r="J103" s="2297"/>
      <c r="K103" s="83"/>
      <c r="L103" s="83"/>
      <c r="M103" s="83"/>
      <c r="N103" s="83"/>
      <c r="O103" s="80"/>
      <c r="P103" s="80"/>
      <c r="Q103" s="1149" t="str">
        <f>IF(AND(C105=0,H105=0),"NO REVISADO",IF(OR(AND(C105&gt;0,D105&lt;=0),ABS(E105-(C105*D105/1000))&gt;0.01,AND(H105&gt;0,I105&lt;=0),ABS(J105-(H105*I105/1000))&gt;0.01),"REVISAR",IF(OR(C105=0,H105=0),"PENDIENTE","REVISADO")))</f>
        <v>NO REVISADO</v>
      </c>
      <c r="R103" s="1150" t="str">
        <f>IF(Q103="REVISADO","OK - KG, monto y total cuadran",IF(Q103="PENDIENTE",IF(C105=0,"Pendiente KG MARILU; ","")&amp;IF(H105=0,"Pendiente KG HANHOY; ",""),IF(Q103="NO REVISADO","Sin KG cargado",IF(AND(C105&gt;0,D105&lt;=0),"Falta monto MARILU; ","")&amp;IF(ABS(E105-(C105*D105/1000))&gt;0.01,"Total MARILU no cuadra; ","")&amp;IF(AND(H105&gt;0,I105&lt;=0),"Falta monto HANHOY; ","")&amp;IF(ABS(J105-(H105*I105/1000))&gt;0.01,"Total HANHOY no cuadra; ",""))))</f>
        <v>Sin KG cargado</v>
      </c>
    </row>
    <row r="104" spans="1:18" s="78" customFormat="1" ht="15.75">
      <c r="B104" s="93" t="s">
        <v>144</v>
      </c>
      <c r="C104" s="93" t="s">
        <v>9</v>
      </c>
      <c r="D104" s="93" t="s">
        <v>149</v>
      </c>
      <c r="E104" s="93" t="s">
        <v>146</v>
      </c>
      <c r="F104" s="80"/>
      <c r="G104" s="93" t="s">
        <v>144</v>
      </c>
      <c r="H104" s="93" t="s">
        <v>9</v>
      </c>
      <c r="I104" s="93" t="s">
        <v>149</v>
      </c>
      <c r="J104" s="93" t="s">
        <v>146</v>
      </c>
      <c r="K104" s="1521" t="s">
        <v>679</v>
      </c>
      <c r="L104" s="1522"/>
      <c r="M104" s="1523"/>
      <c r="N104" s="83"/>
      <c r="O104" s="80"/>
      <c r="P104" s="80"/>
    </row>
    <row r="105" spans="1:18" s="78" customFormat="1" ht="15.75">
      <c r="B105" s="76" t="str">
        <f>+C8</f>
        <v>BVM-831</v>
      </c>
      <c r="C105" s="76">
        <f>+'EM-TUN'!D56</f>
        <v>0</v>
      </c>
      <c r="D105" s="135">
        <v>55</v>
      </c>
      <c r="E105" s="89">
        <f>+(C105*D105)/1000</f>
        <v>0</v>
      </c>
      <c r="F105" s="80"/>
      <c r="G105" s="76" t="str">
        <f>+C8</f>
        <v>BVM-831</v>
      </c>
      <c r="H105" s="76"/>
      <c r="I105" s="135">
        <f>+D105</f>
        <v>55</v>
      </c>
      <c r="J105" s="89">
        <f>+(H105*I105)/1000</f>
        <v>0</v>
      </c>
      <c r="K105" s="83"/>
      <c r="L105" s="83"/>
      <c r="M105" s="83"/>
      <c r="N105" s="83"/>
      <c r="O105" s="80"/>
      <c r="P105" s="80"/>
      <c r="Q105" s="45" t="s">
        <v>200</v>
      </c>
    </row>
    <row r="106" spans="1:18" s="78" customFormat="1" ht="15.75">
      <c r="B106" s="86" t="s">
        <v>3</v>
      </c>
      <c r="C106" s="307">
        <f>SUM(C105:C105)</f>
        <v>0</v>
      </c>
      <c r="D106" s="85"/>
      <c r="E106" s="380">
        <f>SUM(E105:E105)</f>
        <v>0</v>
      </c>
      <c r="F106" s="80"/>
      <c r="G106" s="86" t="s">
        <v>3</v>
      </c>
      <c r="H106" s="307">
        <f>SUM(H105:H105)</f>
        <v>0</v>
      </c>
      <c r="I106" s="85"/>
      <c r="J106" s="380">
        <f>SUM(J105:J105)</f>
        <v>0</v>
      </c>
      <c r="K106" s="83"/>
      <c r="L106" s="1143"/>
      <c r="M106" s="83" t="s">
        <v>262</v>
      </c>
      <c r="N106" s="83"/>
      <c r="O106" s="80"/>
      <c r="P106" s="80"/>
      <c r="Q106" s="133">
        <f>+E106+J106</f>
        <v>0</v>
      </c>
    </row>
    <row r="107" spans="1:18" s="78" customFormat="1" ht="15.75">
      <c r="C107" s="80"/>
      <c r="D107" s="80"/>
      <c r="E107" s="80"/>
      <c r="F107" s="80"/>
      <c r="G107" s="80"/>
      <c r="H107" s="83"/>
      <c r="I107" s="83"/>
      <c r="J107" s="83"/>
      <c r="K107" s="83"/>
      <c r="L107" s="83"/>
      <c r="M107" s="83"/>
      <c r="N107" s="83"/>
      <c r="O107" s="80"/>
      <c r="P107" s="80"/>
    </row>
    <row r="108" spans="1:18" s="311" customFormat="1" ht="3" customHeight="1" thickBot="1">
      <c r="B108" s="313"/>
      <c r="E108" s="312"/>
      <c r="F108" s="312"/>
      <c r="G108" s="313"/>
      <c r="J108" s="314"/>
      <c r="K108" s="314"/>
      <c r="L108" s="314"/>
      <c r="M108" s="314"/>
      <c r="N108" s="314"/>
      <c r="O108" s="312"/>
      <c r="P108" s="312"/>
    </row>
    <row r="109" spans="1:18" s="78" customFormat="1" ht="18">
      <c r="A109" s="1010"/>
      <c r="B109" s="1011" t="s">
        <v>424</v>
      </c>
      <c r="C109" s="1012"/>
      <c r="D109" s="1012"/>
      <c r="E109" s="1012"/>
      <c r="F109" s="1012"/>
      <c r="G109" s="1012"/>
      <c r="H109" s="1013"/>
      <c r="I109" s="1013"/>
      <c r="J109" s="1013"/>
      <c r="K109" s="1013"/>
      <c r="L109" s="1013"/>
      <c r="M109" s="1013"/>
      <c r="N109" s="1013"/>
      <c r="O109" s="1012"/>
      <c r="P109" s="1012"/>
      <c r="Q109" s="1014"/>
      <c r="R109" s="1014"/>
    </row>
    <row r="110" spans="1:18" s="78" customFormat="1" ht="16.5" thickBot="1">
      <c r="A110" s="1015"/>
      <c r="B110" s="2297" t="s">
        <v>569</v>
      </c>
      <c r="C110" s="2297"/>
      <c r="D110" s="2297"/>
      <c r="E110" s="2297"/>
      <c r="F110" s="80"/>
      <c r="G110" s="2297" t="s">
        <v>426</v>
      </c>
      <c r="H110" s="2297"/>
      <c r="I110" s="2297"/>
      <c r="J110" s="2297"/>
      <c r="K110" s="83"/>
      <c r="L110" s="83"/>
      <c r="M110" s="83"/>
      <c r="N110" s="83"/>
      <c r="O110" s="80"/>
      <c r="P110" s="80"/>
      <c r="R110" s="1146" t="s">
        <v>606</v>
      </c>
    </row>
    <row r="111" spans="1:18" s="78" customFormat="1" ht="16.5" thickBot="1">
      <c r="A111" s="1015"/>
      <c r="B111" s="93" t="s">
        <v>144</v>
      </c>
      <c r="C111" s="93" t="s">
        <v>9</v>
      </c>
      <c r="D111" s="93" t="s">
        <v>149</v>
      </c>
      <c r="E111" s="93" t="s">
        <v>146</v>
      </c>
      <c r="F111" s="80"/>
      <c r="G111" s="93" t="s">
        <v>144</v>
      </c>
      <c r="H111" s="93" t="s">
        <v>9</v>
      </c>
      <c r="I111" s="93" t="s">
        <v>149</v>
      </c>
      <c r="J111" s="93" t="s">
        <v>146</v>
      </c>
      <c r="K111" s="143"/>
      <c r="L111" s="83"/>
      <c r="M111" s="83"/>
      <c r="N111" s="83"/>
      <c r="O111" s="80"/>
      <c r="P111" s="80"/>
      <c r="Q111" s="1147" t="str">
        <f>IF(SUM(C112,H112)=0,"NO REVISADO",IF(OR(C112&lt;=0,D112&lt;=0,ABS(E112-(C112*D112/1000))&gt;0.01,H112&lt;=0,I112&lt;=0,ABS(J112-(H112*I112/1000))&gt;0.01,ABS(L110-(C112+H112))&gt;0.01),"REVISAR","REVISADO"))</f>
        <v>NO REVISADO</v>
      </c>
      <c r="R111" s="1148" t="str">
        <f>IF(Q111="REVISADO","OK - KG, monto y total cuadran",IF(SUM(C112,H112)=0,"Sin KG cargado",IF(C112&lt;=0,"Falta KG RAFAEL 1; ","")&amp;IF(D112&lt;=0,"Falta monto RAFAEL 1; ","")&amp;IF(ABS(E112-(C112*D112/1000))&gt;0.01,"Total RAFAEL 1 no cuadra; ","")&amp;IF(H112&lt;=0,"Falta KG RAFAEL 2; ","")&amp;IF(I112&lt;=0,"Falta monto RAFAEL 2; ","")&amp;IF(ABS(J112-(H112*I112/1000))&gt;0.01,"Total RAFAEL 2 no cuadra; ","")&amp;IF(ABS(L110-(C112+H112))&gt;0.01,"KG combinado no cuadra; ","")))</f>
        <v>Sin KG cargado</v>
      </c>
    </row>
    <row r="112" spans="1:18" s="78" customFormat="1" ht="15.75">
      <c r="A112" s="1015"/>
      <c r="B112" s="76" t="str">
        <f>+B105</f>
        <v>BVM-831</v>
      </c>
      <c r="C112" s="76">
        <f>+'EM-PLA'!D59</f>
        <v>0</v>
      </c>
      <c r="D112" s="135">
        <v>75</v>
      </c>
      <c r="E112" s="89">
        <f>+(C112*D112)/1000</f>
        <v>0</v>
      </c>
      <c r="F112" s="80"/>
      <c r="G112" s="76" t="str">
        <f>+G105</f>
        <v>BVM-831</v>
      </c>
      <c r="H112" s="76">
        <f>+'EM-PLA'!BC59</f>
        <v>0</v>
      </c>
      <c r="I112" s="135">
        <v>75</v>
      </c>
      <c r="J112" s="89">
        <f>+(H112*I112)/1000</f>
        <v>0</v>
      </c>
      <c r="K112" s="83"/>
      <c r="L112" s="83"/>
      <c r="M112" s="83"/>
      <c r="N112" s="83" t="s">
        <v>262</v>
      </c>
      <c r="O112" s="80"/>
      <c r="P112" s="80"/>
      <c r="Q112" s="45" t="s">
        <v>200</v>
      </c>
    </row>
    <row r="113" spans="1:18" s="78" customFormat="1" ht="15.75">
      <c r="A113" s="1015"/>
      <c r="B113" s="86" t="s">
        <v>3</v>
      </c>
      <c r="C113" s="307">
        <f>SUM(C112:C112)</f>
        <v>0</v>
      </c>
      <c r="D113" s="85"/>
      <c r="E113" s="380">
        <f>SUM(E112:E112)</f>
        <v>0</v>
      </c>
      <c r="F113" s="80"/>
      <c r="G113" s="86" t="s">
        <v>3</v>
      </c>
      <c r="H113" s="307">
        <f>SUM(H112:H112)</f>
        <v>0</v>
      </c>
      <c r="I113" s="85"/>
      <c r="J113" s="380">
        <f>SUM(J112:J112)</f>
        <v>0</v>
      </c>
      <c r="K113" s="83"/>
      <c r="L113" s="83"/>
      <c r="M113" s="83"/>
      <c r="N113" s="83" t="s">
        <v>262</v>
      </c>
      <c r="O113" s="80"/>
      <c r="P113" s="80"/>
      <c r="Q113" s="133">
        <f>+E113+J113</f>
        <v>0</v>
      </c>
    </row>
    <row r="114" spans="1:18" s="78" customFormat="1" ht="16.5" thickBot="1">
      <c r="A114" s="1015"/>
      <c r="B114" s="2303" t="s">
        <v>679</v>
      </c>
      <c r="C114" s="2303"/>
      <c r="D114" s="2303"/>
      <c r="E114" s="2303"/>
      <c r="F114" s="2303"/>
      <c r="G114" s="2303"/>
      <c r="H114" s="2303"/>
      <c r="I114" s="2303"/>
      <c r="J114" s="2303"/>
      <c r="K114" s="83"/>
      <c r="L114" s="83"/>
      <c r="M114" s="83"/>
      <c r="N114" s="83" t="s">
        <v>262</v>
      </c>
      <c r="O114" s="80"/>
      <c r="P114" s="80"/>
    </row>
    <row r="115" spans="1:18" s="78" customFormat="1" ht="16.5" thickBot="1">
      <c r="A115" s="1015"/>
      <c r="B115" s="2303"/>
      <c r="C115" s="2303"/>
      <c r="D115" s="2303"/>
      <c r="E115" s="2303"/>
      <c r="F115" s="2303"/>
      <c r="G115" s="2303"/>
      <c r="H115" s="2303"/>
      <c r="I115" s="2303"/>
      <c r="J115" s="2303"/>
      <c r="K115" s="83"/>
      <c r="L115" s="83"/>
      <c r="M115" s="83"/>
      <c r="N115" s="83" t="s">
        <v>262</v>
      </c>
      <c r="O115" s="80"/>
      <c r="P115" s="80"/>
      <c r="Q115" s="144">
        <f>+Q25+Q38+Q45+Q52+Q64+Q76+Q84+Q90+Q99+Q106+Q113</f>
        <v>578.9860000000001</v>
      </c>
    </row>
    <row r="116" spans="1:18" s="78" customFormat="1" ht="16.5" thickBot="1">
      <c r="A116" s="1016"/>
      <c r="B116" s="1017"/>
      <c r="C116" s="1018"/>
      <c r="D116" s="1018"/>
      <c r="E116" s="1018"/>
      <c r="F116" s="1018"/>
      <c r="G116" s="1018"/>
      <c r="H116" s="1019"/>
      <c r="I116" s="1019"/>
      <c r="J116" s="1019"/>
      <c r="K116" s="1019"/>
      <c r="L116" s="1019"/>
      <c r="M116" s="1019"/>
      <c r="N116" s="1019" t="s">
        <v>262</v>
      </c>
      <c r="O116" s="1018"/>
      <c r="P116" s="1018"/>
      <c r="Q116" s="1017"/>
      <c r="R116" s="1017"/>
    </row>
    <row r="117" spans="1:18" s="78" customFormat="1" ht="15.75">
      <c r="C117" s="80"/>
      <c r="D117" s="80"/>
      <c r="E117" s="80"/>
      <c r="F117" s="80"/>
      <c r="G117" s="80"/>
      <c r="H117" s="83"/>
      <c r="I117" s="83"/>
      <c r="J117" s="83"/>
      <c r="K117" s="83"/>
      <c r="L117" s="83"/>
      <c r="M117" s="83"/>
      <c r="N117" s="83" t="s">
        <v>262</v>
      </c>
      <c r="O117" s="80"/>
      <c r="P117" s="80"/>
    </row>
    <row r="118" spans="1:18" s="78" customFormat="1" ht="15.75">
      <c r="C118" s="80"/>
      <c r="D118" s="80"/>
      <c r="E118" s="80"/>
      <c r="F118" s="80"/>
      <c r="G118" s="80"/>
      <c r="H118" s="83"/>
      <c r="I118" s="83"/>
      <c r="J118" s="83"/>
      <c r="K118" s="83"/>
      <c r="L118" s="83"/>
      <c r="M118" s="83"/>
      <c r="N118" s="83" t="s">
        <v>262</v>
      </c>
      <c r="O118" s="80"/>
      <c r="P118" s="80"/>
    </row>
    <row r="119" spans="1:18" s="78" customFormat="1" ht="15.75">
      <c r="C119" s="80"/>
      <c r="D119" s="80"/>
      <c r="E119" s="80"/>
      <c r="F119" s="80"/>
      <c r="G119" s="80"/>
      <c r="H119" s="83"/>
      <c r="I119" s="83"/>
      <c r="J119" s="83"/>
      <c r="K119" s="83"/>
      <c r="L119" s="83"/>
      <c r="M119" s="83"/>
      <c r="N119" s="83"/>
      <c r="O119" s="80"/>
      <c r="P119" s="80"/>
    </row>
    <row r="120" spans="1:18" s="78" customFormat="1" ht="15.75">
      <c r="C120" s="80"/>
      <c r="D120" s="80"/>
      <c r="E120" s="80"/>
      <c r="F120" s="80"/>
      <c r="G120" s="80"/>
      <c r="H120" s="83"/>
      <c r="I120" s="83"/>
      <c r="J120" s="83"/>
      <c r="K120" s="83"/>
      <c r="L120" s="83"/>
      <c r="M120" s="83"/>
      <c r="N120" s="83"/>
      <c r="O120" s="80"/>
      <c r="P120" s="80"/>
    </row>
    <row r="121" spans="1:18" s="78" customFormat="1" ht="15.75">
      <c r="C121" s="80"/>
      <c r="D121" s="80"/>
      <c r="E121" s="80"/>
      <c r="F121" s="80"/>
      <c r="G121" s="80"/>
      <c r="H121" s="83"/>
      <c r="I121" s="83"/>
      <c r="J121" s="83"/>
      <c r="K121" s="83"/>
      <c r="L121" s="83"/>
      <c r="M121" s="83"/>
      <c r="N121" s="83"/>
      <c r="O121" s="80"/>
      <c r="P121" s="80"/>
    </row>
    <row r="122" spans="1:18" s="78" customFormat="1" ht="15.75">
      <c r="C122" s="80"/>
      <c r="D122" s="80"/>
      <c r="E122" s="80"/>
      <c r="F122" s="80"/>
      <c r="G122" s="80"/>
      <c r="H122" s="83"/>
      <c r="I122" s="83"/>
      <c r="J122" s="83"/>
      <c r="K122" s="83"/>
      <c r="L122" s="83"/>
      <c r="M122" s="83"/>
      <c r="N122" s="83"/>
      <c r="O122" s="80"/>
      <c r="P122" s="80"/>
    </row>
    <row r="123" spans="1:18" s="78" customFormat="1" ht="15.75">
      <c r="C123" s="80"/>
      <c r="D123" s="80"/>
      <c r="E123" s="80"/>
      <c r="F123" s="80"/>
      <c r="G123" s="80"/>
      <c r="H123" s="83"/>
      <c r="I123" s="83"/>
      <c r="J123" s="83"/>
      <c r="K123" s="83"/>
      <c r="L123" s="83"/>
      <c r="M123" s="83"/>
      <c r="N123" s="83"/>
      <c r="O123" s="80"/>
      <c r="P123" s="80"/>
    </row>
    <row r="124" spans="1:18" s="78" customFormat="1" ht="15.75">
      <c r="C124" s="80"/>
      <c r="D124" s="80"/>
      <c r="E124" s="80"/>
      <c r="F124" s="80"/>
      <c r="G124" s="80"/>
      <c r="H124" s="83"/>
      <c r="I124" s="83"/>
      <c r="J124" s="83"/>
      <c r="K124" s="83"/>
      <c r="L124" s="83"/>
      <c r="M124" s="83"/>
      <c r="N124" s="83"/>
      <c r="O124" s="80"/>
      <c r="P124" s="80"/>
    </row>
    <row r="125" spans="1:18" s="78" customFormat="1" ht="15.75">
      <c r="C125" s="80"/>
      <c r="D125" s="80"/>
      <c r="E125" s="80"/>
      <c r="F125" s="80"/>
      <c r="G125" s="80"/>
      <c r="H125" s="83"/>
      <c r="I125" s="83"/>
      <c r="J125" s="83"/>
      <c r="K125" s="83"/>
      <c r="L125" s="83"/>
      <c r="M125" s="83"/>
      <c r="N125" s="83"/>
      <c r="O125" s="80"/>
      <c r="P125" s="80"/>
    </row>
    <row r="126" spans="1:18" s="78" customFormat="1" ht="15.75">
      <c r="C126" s="80"/>
      <c r="D126" s="80"/>
      <c r="E126" s="80"/>
      <c r="F126" s="80"/>
      <c r="G126" s="80"/>
      <c r="H126" s="83"/>
      <c r="I126" s="83"/>
      <c r="J126" s="83"/>
      <c r="K126" s="83"/>
      <c r="L126" s="83"/>
      <c r="M126" s="83"/>
      <c r="N126" s="83"/>
      <c r="O126" s="80"/>
      <c r="P126" s="80"/>
    </row>
    <row r="127" spans="1:18" s="78" customFormat="1" ht="15.75">
      <c r="C127" s="80"/>
      <c r="D127" s="80"/>
      <c r="E127" s="80"/>
      <c r="F127" s="80"/>
      <c r="G127" s="80"/>
      <c r="H127" s="83"/>
      <c r="I127" s="83"/>
      <c r="J127" s="83"/>
      <c r="K127" s="83"/>
      <c r="L127" s="83"/>
      <c r="M127" s="83"/>
      <c r="N127" s="83"/>
      <c r="O127" s="80"/>
      <c r="P127" s="80"/>
    </row>
    <row r="128" spans="1:18" s="78" customFormat="1" ht="15.75">
      <c r="C128" s="80"/>
      <c r="D128" s="80"/>
      <c r="E128" s="80"/>
      <c r="F128" s="80"/>
      <c r="G128" s="80"/>
      <c r="H128" s="83"/>
      <c r="I128" s="83"/>
      <c r="J128" s="83"/>
      <c r="K128" s="83"/>
      <c r="L128" s="83"/>
      <c r="M128" s="83"/>
      <c r="N128" s="83"/>
      <c r="O128" s="80"/>
      <c r="P128" s="80"/>
    </row>
    <row r="129" spans="3:16" s="78" customFormat="1" ht="15.75">
      <c r="C129" s="80"/>
      <c r="D129" s="80"/>
      <c r="E129" s="80"/>
      <c r="F129" s="80"/>
      <c r="G129" s="80"/>
      <c r="H129" s="83"/>
      <c r="I129" s="83"/>
      <c r="J129" s="83"/>
      <c r="K129" s="83"/>
      <c r="L129" s="83"/>
      <c r="M129" s="83"/>
      <c r="N129" s="83"/>
      <c r="O129" s="80"/>
      <c r="P129" s="80"/>
    </row>
    <row r="130" spans="3:16" s="78" customFormat="1" ht="15.75">
      <c r="C130" s="80"/>
      <c r="D130" s="80"/>
      <c r="E130" s="80"/>
      <c r="F130" s="80"/>
      <c r="G130" s="80"/>
      <c r="H130" s="83"/>
      <c r="I130" s="83"/>
      <c r="J130" s="83"/>
      <c r="K130" s="83"/>
      <c r="L130" s="83"/>
      <c r="M130" s="83"/>
      <c r="N130" s="83"/>
      <c r="O130" s="80"/>
      <c r="P130" s="80"/>
    </row>
    <row r="131" spans="3:16" s="78" customFormat="1" ht="15.75">
      <c r="C131" s="80"/>
      <c r="D131" s="80"/>
      <c r="E131" s="80"/>
      <c r="F131" s="80"/>
      <c r="G131" s="80"/>
      <c r="H131" s="83"/>
      <c r="I131" s="83"/>
      <c r="J131" s="83"/>
      <c r="K131" s="83"/>
      <c r="L131" s="83"/>
      <c r="M131" s="83"/>
      <c r="N131" s="83"/>
      <c r="O131" s="80"/>
      <c r="P131" s="80"/>
    </row>
    <row r="132" spans="3:16" s="78" customFormat="1" ht="15.75">
      <c r="C132" s="80"/>
      <c r="D132" s="80"/>
      <c r="E132" s="80"/>
      <c r="F132" s="80"/>
      <c r="G132" s="80"/>
      <c r="H132" s="83"/>
      <c r="I132" s="83"/>
      <c r="J132" s="83"/>
      <c r="K132" s="83"/>
      <c r="L132" s="83"/>
      <c r="M132" s="83"/>
      <c r="N132" s="83"/>
      <c r="O132" s="80"/>
      <c r="P132" s="80"/>
    </row>
    <row r="133" spans="3:16" s="78" customFormat="1" ht="15.75">
      <c r="C133" s="80"/>
      <c r="D133" s="80"/>
      <c r="E133" s="80"/>
      <c r="F133" s="80"/>
      <c r="G133" s="80"/>
      <c r="H133" s="83"/>
      <c r="I133" s="83"/>
      <c r="J133" s="83"/>
      <c r="K133" s="83"/>
      <c r="L133" s="83"/>
      <c r="M133" s="83"/>
      <c r="N133" s="83"/>
      <c r="O133" s="80"/>
      <c r="P133" s="80"/>
    </row>
    <row r="134" spans="3:16" s="78" customFormat="1" ht="15.75">
      <c r="C134" s="80"/>
      <c r="D134" s="80"/>
      <c r="E134" s="80"/>
      <c r="F134" s="80"/>
      <c r="G134" s="80"/>
      <c r="H134" s="83"/>
      <c r="I134" s="83"/>
      <c r="J134" s="83"/>
      <c r="K134" s="83"/>
      <c r="L134" s="83"/>
      <c r="M134" s="83"/>
      <c r="N134" s="83"/>
      <c r="O134" s="80"/>
      <c r="P134" s="80"/>
    </row>
    <row r="135" spans="3:16" s="78" customFormat="1" ht="15.75">
      <c r="C135" s="80"/>
      <c r="D135" s="80"/>
      <c r="E135" s="80"/>
      <c r="F135" s="80"/>
      <c r="G135" s="80"/>
      <c r="H135" s="83"/>
      <c r="I135" s="83"/>
      <c r="J135" s="83"/>
      <c r="K135" s="83"/>
      <c r="L135" s="83"/>
      <c r="M135" s="83"/>
      <c r="N135" s="83"/>
      <c r="O135" s="80"/>
      <c r="P135" s="80"/>
    </row>
    <row r="136" spans="3:16" s="78" customFormat="1" ht="15.75">
      <c r="C136" s="80"/>
      <c r="D136" s="80"/>
      <c r="E136" s="80"/>
      <c r="F136" s="80"/>
      <c r="G136" s="80"/>
      <c r="H136" s="83"/>
      <c r="I136" s="83"/>
      <c r="J136" s="83"/>
      <c r="K136" s="83"/>
      <c r="L136" s="83"/>
      <c r="M136" s="83"/>
      <c r="N136" s="83"/>
      <c r="O136" s="80"/>
      <c r="P136" s="80"/>
    </row>
    <row r="137" spans="3:16" s="78" customFormat="1" ht="15.75">
      <c r="C137" s="80"/>
      <c r="D137" s="80"/>
      <c r="E137" s="80"/>
      <c r="F137" s="80"/>
      <c r="G137" s="80"/>
      <c r="H137" s="83"/>
      <c r="I137" s="83"/>
      <c r="J137" s="83"/>
      <c r="K137" s="83"/>
      <c r="L137" s="83"/>
      <c r="M137" s="83"/>
      <c r="N137" s="83"/>
      <c r="O137" s="80"/>
      <c r="P137" s="80"/>
    </row>
    <row r="138" spans="3:16" s="78" customFormat="1" ht="15.75">
      <c r="C138" s="80"/>
      <c r="D138" s="80"/>
      <c r="E138" s="80"/>
      <c r="F138" s="80"/>
      <c r="G138" s="80"/>
      <c r="H138" s="83"/>
      <c r="I138" s="83"/>
      <c r="J138" s="83"/>
      <c r="K138" s="83"/>
      <c r="L138" s="83"/>
      <c r="M138" s="83"/>
      <c r="N138" s="83"/>
      <c r="O138" s="80"/>
      <c r="P138" s="80"/>
    </row>
    <row r="139" spans="3:16" s="78" customFormat="1" ht="15.75">
      <c r="C139" s="80"/>
      <c r="D139" s="80"/>
      <c r="E139" s="80"/>
      <c r="F139" s="80"/>
      <c r="G139" s="80"/>
      <c r="H139" s="83"/>
      <c r="I139" s="83"/>
      <c r="J139" s="83"/>
      <c r="K139" s="83"/>
      <c r="L139" s="83"/>
      <c r="M139" s="83"/>
      <c r="N139" s="83"/>
      <c r="O139" s="80"/>
      <c r="P139" s="80"/>
    </row>
    <row r="140" spans="3:16" s="78" customFormat="1" ht="15.75">
      <c r="C140" s="80"/>
      <c r="D140" s="80"/>
      <c r="E140" s="80"/>
      <c r="F140" s="80"/>
      <c r="G140" s="80"/>
      <c r="H140" s="83"/>
      <c r="I140" s="83"/>
      <c r="J140" s="83"/>
      <c r="K140" s="83"/>
      <c r="L140" s="83"/>
      <c r="M140" s="83"/>
      <c r="N140" s="83"/>
      <c r="O140" s="80"/>
      <c r="P140" s="80"/>
    </row>
    <row r="141" spans="3:16" s="78" customFormat="1" ht="15.75">
      <c r="C141" s="80"/>
      <c r="D141" s="80"/>
      <c r="E141" s="80"/>
      <c r="F141" s="80"/>
      <c r="G141" s="80"/>
      <c r="H141" s="83"/>
      <c r="I141" s="83"/>
      <c r="J141" s="83"/>
      <c r="K141" s="83"/>
      <c r="L141" s="83"/>
      <c r="M141" s="83"/>
      <c r="N141" s="83"/>
      <c r="O141" s="80"/>
      <c r="P141" s="80"/>
    </row>
    <row r="142" spans="3:16" s="78" customFormat="1" ht="15.75">
      <c r="C142" s="80"/>
      <c r="D142" s="80"/>
      <c r="E142" s="80"/>
      <c r="F142" s="80"/>
      <c r="G142" s="80"/>
      <c r="H142" s="83"/>
      <c r="I142" s="83"/>
      <c r="J142" s="83"/>
      <c r="K142" s="83"/>
      <c r="L142" s="83"/>
      <c r="M142" s="83"/>
      <c r="N142" s="83"/>
      <c r="O142" s="80"/>
      <c r="P142" s="80"/>
    </row>
    <row r="143" spans="3:16" s="78" customFormat="1" ht="15.75">
      <c r="C143" s="80"/>
      <c r="D143" s="80"/>
      <c r="E143" s="80"/>
      <c r="F143" s="80"/>
      <c r="G143" s="80"/>
      <c r="H143" s="83"/>
      <c r="I143" s="83"/>
      <c r="J143" s="83"/>
      <c r="K143" s="83"/>
      <c r="L143" s="83"/>
      <c r="M143" s="83"/>
      <c r="N143" s="83"/>
      <c r="O143" s="80"/>
      <c r="P143" s="80"/>
    </row>
    <row r="144" spans="3:16" s="78" customFormat="1" ht="15.75">
      <c r="C144" s="80"/>
      <c r="D144" s="80"/>
      <c r="E144" s="80"/>
      <c r="F144" s="80"/>
      <c r="G144" s="80"/>
      <c r="H144" s="83"/>
      <c r="I144" s="83"/>
      <c r="J144" s="83"/>
      <c r="K144" s="83"/>
      <c r="L144" s="83"/>
      <c r="M144" s="83"/>
      <c r="N144" s="83"/>
      <c r="O144" s="80"/>
      <c r="P144" s="80"/>
    </row>
    <row r="145" spans="3:16" s="78" customFormat="1" ht="15.75">
      <c r="C145" s="80"/>
      <c r="D145" s="80"/>
      <c r="E145" s="80"/>
      <c r="F145" s="80"/>
      <c r="G145" s="80"/>
      <c r="H145" s="83"/>
      <c r="I145" s="83"/>
      <c r="J145" s="83"/>
      <c r="K145" s="83"/>
      <c r="L145" s="83"/>
      <c r="M145" s="83"/>
      <c r="N145" s="83"/>
      <c r="O145" s="80"/>
      <c r="P145" s="80"/>
    </row>
    <row r="146" spans="3:16" s="78" customFormat="1" ht="15.75">
      <c r="C146" s="80"/>
      <c r="D146" s="80"/>
      <c r="E146" s="80"/>
      <c r="F146" s="80"/>
      <c r="G146" s="80"/>
      <c r="H146" s="83"/>
      <c r="I146" s="83"/>
      <c r="J146" s="83"/>
      <c r="K146" s="83"/>
      <c r="L146" s="83"/>
      <c r="M146" s="83"/>
      <c r="N146" s="83"/>
      <c r="O146" s="80"/>
      <c r="P146" s="80"/>
    </row>
    <row r="147" spans="3:16" s="78" customFormat="1" ht="15.75">
      <c r="H147" s="81"/>
      <c r="I147" s="81"/>
      <c r="J147" s="81"/>
      <c r="K147" s="81"/>
      <c r="L147" s="81"/>
      <c r="M147" s="81"/>
      <c r="N147" s="81"/>
    </row>
    <row r="148" spans="3:16" s="78" customFormat="1" ht="15.75">
      <c r="H148" s="81"/>
      <c r="I148" s="81"/>
      <c r="J148" s="81"/>
      <c r="K148" s="81"/>
      <c r="L148" s="81"/>
      <c r="M148" s="81"/>
      <c r="N148" s="81"/>
    </row>
    <row r="149" spans="3:16" s="78" customFormat="1" ht="15.75">
      <c r="H149" s="81"/>
      <c r="I149" s="81"/>
      <c r="J149" s="81"/>
      <c r="K149" s="81"/>
      <c r="L149" s="81"/>
      <c r="M149" s="81"/>
      <c r="N149" s="81"/>
    </row>
  </sheetData>
  <mergeCells count="36">
    <mergeCell ref="L80:O80"/>
    <mergeCell ref="L61:O61"/>
    <mergeCell ref="B61:E61"/>
    <mergeCell ref="B66:E66"/>
    <mergeCell ref="J18:K18"/>
    <mergeCell ref="B22:F22"/>
    <mergeCell ref="H22:L22"/>
    <mergeCell ref="B49:E49"/>
    <mergeCell ref="B114:J115"/>
    <mergeCell ref="B91:E92"/>
    <mergeCell ref="G49:J49"/>
    <mergeCell ref="B42:E42"/>
    <mergeCell ref="G61:J61"/>
    <mergeCell ref="B73:E73"/>
    <mergeCell ref="B110:E110"/>
    <mergeCell ref="G110:J110"/>
    <mergeCell ref="G96:J96"/>
    <mergeCell ref="B103:E103"/>
    <mergeCell ref="G103:J103"/>
    <mergeCell ref="B96:E96"/>
    <mergeCell ref="B80:E80"/>
    <mergeCell ref="G80:J80"/>
    <mergeCell ref="B87:E87"/>
    <mergeCell ref="G87:J87"/>
    <mergeCell ref="C2:O3"/>
    <mergeCell ref="B56:E56"/>
    <mergeCell ref="G56:J56"/>
    <mergeCell ref="L56:O56"/>
    <mergeCell ref="B29:E29"/>
    <mergeCell ref="G29:J29"/>
    <mergeCell ref="L29:O29"/>
    <mergeCell ref="G42:J42"/>
    <mergeCell ref="L42:O42"/>
    <mergeCell ref="B4:C4"/>
    <mergeCell ref="B18:C18"/>
    <mergeCell ref="L49:O49"/>
  </mergeCells>
  <conditionalFormatting sqref="Q16">
    <cfRule type="expression" dxfId="28" priority="1">
      <formula>Q16="REVISADO"</formula>
    </cfRule>
  </conditionalFormatting>
  <conditionalFormatting sqref="Q22">
    <cfRule type="expression" dxfId="27" priority="2">
      <formula>Q22="REVISADO"</formula>
    </cfRule>
  </conditionalFormatting>
  <conditionalFormatting sqref="Q34">
    <cfRule type="expression" dxfId="26" priority="3">
      <formula>Q34="REVISADO"</formula>
    </cfRule>
  </conditionalFormatting>
  <conditionalFormatting sqref="Q42">
    <cfRule type="expression" dxfId="25" priority="4">
      <formula>Q42="REVISADO"</formula>
    </cfRule>
  </conditionalFormatting>
  <conditionalFormatting sqref="Q49">
    <cfRule type="expression" dxfId="24" priority="5">
      <formula>Q49="REVISADO"</formula>
    </cfRule>
  </conditionalFormatting>
  <conditionalFormatting sqref="Q61">
    <cfRule type="expression" dxfId="23" priority="6">
      <formula>Q61="REVISADO"</formula>
    </cfRule>
  </conditionalFormatting>
  <conditionalFormatting sqref="Q73">
    <cfRule type="expression" dxfId="22" priority="7">
      <formula>Q73="REVISADO"</formula>
    </cfRule>
  </conditionalFormatting>
  <conditionalFormatting sqref="Q81">
    <cfRule type="expression" dxfId="21" priority="8">
      <formula>Q81="REVISADO"</formula>
    </cfRule>
  </conditionalFormatting>
  <conditionalFormatting sqref="Q88">
    <cfRule type="expression" dxfId="20" priority="9">
      <formula>Q88="REVISADO"</formula>
    </cfRule>
  </conditionalFormatting>
  <conditionalFormatting sqref="Q97">
    <cfRule type="expression" dxfId="19" priority="10">
      <formula>Q97="REVISADO"</formula>
    </cfRule>
  </conditionalFormatting>
  <conditionalFormatting sqref="Q103">
    <cfRule type="expression" dxfId="18" priority="11">
      <formula>Q103="REVISADO"</formula>
    </cfRule>
  </conditionalFormatting>
  <conditionalFormatting sqref="Q111">
    <cfRule type="expression" dxfId="17" priority="12">
      <formula>Q111="REVISADO"</formula>
    </cfRule>
  </conditionalFormatting>
  <pageMargins left="0.19685039370078741" right="0.11811023622047245" top="0.16" bottom="0.18" header="0.24" footer="0.18"/>
  <pageSetup paperSize="9" scale="42" orientation="portrait" horizontalDpi="4294967293" verticalDpi="360" r:id="rId1"/>
  <ignoredErrors>
    <ignoredError sqref="M44 H44 F18 E25" formula="1"/>
    <ignoredError xmlns:x16r3="http://schemas.microsoft.com/office/spreadsheetml/2018/08/main" sqref="C12" x16r3:misleadingFormat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131F-512F-45DE-B9FA-81E7AD889FF9}">
  <sheetPr codeName="Hoja1"/>
  <dimension ref="A1:X90"/>
  <sheetViews>
    <sheetView showGridLines="0" zoomScale="70" zoomScaleNormal="70" zoomScaleSheetLayoutView="80" zoomScalePageLayoutView="42" workbookViewId="0">
      <selection activeCell="C8" sqref="C8:O18"/>
    </sheetView>
  </sheetViews>
  <sheetFormatPr baseColWidth="10" defaultColWidth="14.42578125" defaultRowHeight="23.25"/>
  <cols>
    <col min="1" max="1" width="2" style="2" customWidth="1"/>
    <col min="2" max="2" width="17.7109375" style="2" customWidth="1"/>
    <col min="3" max="3" width="13.85546875" style="5" customWidth="1"/>
    <col min="4" max="4" width="18.28515625" style="5" customWidth="1"/>
    <col min="5" max="5" width="17.7109375" style="5" customWidth="1"/>
    <col min="6" max="6" width="11.7109375" style="5" customWidth="1"/>
    <col min="7" max="7" width="11.7109375" style="137" customWidth="1"/>
    <col min="8" max="8" width="11.7109375" style="5" customWidth="1"/>
    <col min="9" max="9" width="12.85546875" style="5" bestFit="1" customWidth="1"/>
    <col min="10" max="14" width="12.7109375" style="5" customWidth="1"/>
    <col min="15" max="15" width="13.5703125" style="5" bestFit="1" customWidth="1"/>
    <col min="16" max="16" width="12.7109375" style="5" customWidth="1"/>
    <col min="17" max="17" width="27.85546875" style="5" customWidth="1"/>
    <col min="18" max="18" width="15.42578125" style="2" customWidth="1"/>
    <col min="19" max="19" width="14.42578125" style="2"/>
    <col min="20" max="20" width="19.5703125" style="2" bestFit="1" customWidth="1"/>
    <col min="21" max="21" width="28.28515625" style="2" bestFit="1" customWidth="1"/>
    <col min="22" max="22" width="12.85546875" style="2" bestFit="1" customWidth="1"/>
    <col min="23" max="23" width="23.85546875" style="2" customWidth="1"/>
    <col min="24" max="24" width="15.7109375" style="2" customWidth="1"/>
    <col min="25" max="16384" width="14.42578125" style="2"/>
  </cols>
  <sheetData>
    <row r="1" spans="1:18" ht="30.75" customHeight="1">
      <c r="C1" s="3"/>
      <c r="D1" s="3"/>
      <c r="E1" s="3"/>
      <c r="F1" s="3"/>
      <c r="G1" s="136"/>
      <c r="H1" s="3"/>
      <c r="I1" s="3"/>
      <c r="J1" s="3"/>
      <c r="K1" s="3"/>
      <c r="L1" s="3"/>
      <c r="M1" s="3"/>
      <c r="N1" s="3"/>
      <c r="O1" s="3"/>
      <c r="P1" s="300" t="s">
        <v>151</v>
      </c>
      <c r="Q1" s="277">
        <f>+PP!E10</f>
        <v>46199</v>
      </c>
    </row>
    <row r="2" spans="1:18" ht="30.75" customHeight="1">
      <c r="C2" s="299"/>
      <c r="D2" s="299"/>
      <c r="E2" s="2281" t="s">
        <v>700</v>
      </c>
      <c r="F2" s="2281"/>
      <c r="G2" s="2281"/>
      <c r="H2" s="2281"/>
      <c r="I2" s="2281"/>
      <c r="J2" s="2281"/>
      <c r="K2" s="2281"/>
      <c r="L2" s="2281"/>
      <c r="M2" s="2281"/>
      <c r="N2" s="2281"/>
      <c r="O2" s="2281"/>
      <c r="P2" s="300" t="s">
        <v>418</v>
      </c>
      <c r="Q2" s="301">
        <v>0.30902777777777779</v>
      </c>
      <c r="R2" s="1193"/>
    </row>
    <row r="3" spans="1:18" ht="30.75" customHeight="1">
      <c r="C3" s="299"/>
      <c r="D3" s="299"/>
      <c r="E3" s="2281"/>
      <c r="F3" s="2281"/>
      <c r="G3" s="2281"/>
      <c r="H3" s="2281"/>
      <c r="I3" s="2281"/>
      <c r="J3" s="2281"/>
      <c r="K3" s="2281"/>
      <c r="L3" s="2281"/>
      <c r="M3" s="2281"/>
      <c r="N3" s="2281"/>
      <c r="O3" s="2281"/>
      <c r="P3" s="300" t="s">
        <v>419</v>
      </c>
      <c r="Q3" s="301">
        <v>0.34027777777777779</v>
      </c>
      <c r="R3" s="1193"/>
    </row>
    <row r="4" spans="1:18" s="45" customFormat="1" ht="20.25" customHeight="1">
      <c r="B4" s="84" t="s">
        <v>184</v>
      </c>
      <c r="H4" s="79"/>
      <c r="I4" s="79"/>
      <c r="J4" s="79"/>
      <c r="K4" s="79"/>
      <c r="L4" s="79"/>
      <c r="M4" s="79"/>
      <c r="N4" s="79"/>
      <c r="O4" s="79"/>
      <c r="P4" s="79"/>
      <c r="Q4" s="79"/>
    </row>
    <row r="5" spans="1:18" s="78" customFormat="1" ht="15.75" customHeight="1" thickBot="1">
      <c r="C5" s="297" t="s">
        <v>187</v>
      </c>
      <c r="D5" s="81" t="s">
        <v>682</v>
      </c>
      <c r="E5" s="45"/>
      <c r="F5" s="45"/>
      <c r="G5" s="45"/>
      <c r="H5" s="79"/>
      <c r="I5" s="79"/>
      <c r="J5" s="79"/>
      <c r="K5" s="79"/>
      <c r="L5" s="79"/>
      <c r="M5" s="79"/>
      <c r="N5" s="79"/>
      <c r="O5" s="79"/>
      <c r="P5" s="298" t="s">
        <v>421</v>
      </c>
      <c r="Q5" s="298" t="s">
        <v>422</v>
      </c>
    </row>
    <row r="6" spans="1:18" s="78" customFormat="1" ht="20.25" thickBot="1">
      <c r="A6" s="281"/>
      <c r="B6" s="306" t="s">
        <v>186</v>
      </c>
      <c r="C6" s="2316" t="s">
        <v>138</v>
      </c>
      <c r="D6" s="2317"/>
      <c r="E6" s="2317"/>
      <c r="F6" s="2317"/>
      <c r="G6" s="2317"/>
      <c r="H6" s="2317"/>
      <c r="I6" s="2317"/>
      <c r="J6" s="2317"/>
      <c r="K6" s="2317"/>
      <c r="L6" s="2317"/>
      <c r="M6" s="2317"/>
      <c r="N6" s="2317"/>
      <c r="O6" s="2317"/>
      <c r="P6" s="2317"/>
      <c r="Q6" s="2318"/>
      <c r="R6" s="281"/>
    </row>
    <row r="7" spans="1:18" s="78" customFormat="1" ht="43.5" customHeight="1">
      <c r="A7" s="281"/>
      <c r="B7" s="371" t="s">
        <v>134</v>
      </c>
      <c r="C7" s="1397" t="s">
        <v>717</v>
      </c>
      <c r="D7" s="1397" t="s">
        <v>718</v>
      </c>
      <c r="E7" s="1397" t="s">
        <v>719</v>
      </c>
      <c r="F7" s="1397" t="s">
        <v>720</v>
      </c>
      <c r="G7" s="1397" t="s">
        <v>721</v>
      </c>
      <c r="H7" s="1397" t="s">
        <v>722</v>
      </c>
      <c r="I7" s="1397" t="s">
        <v>723</v>
      </c>
      <c r="J7" s="1397" t="s">
        <v>724</v>
      </c>
      <c r="K7" s="1397" t="s">
        <v>725</v>
      </c>
      <c r="L7" s="1397" t="s">
        <v>726</v>
      </c>
      <c r="M7" s="1397" t="s">
        <v>727</v>
      </c>
      <c r="N7" s="1397" t="s">
        <v>728</v>
      </c>
      <c r="O7" s="1397" t="s">
        <v>729</v>
      </c>
      <c r="P7" s="282"/>
      <c r="Q7" s="282"/>
      <c r="R7" s="281"/>
    </row>
    <row r="8" spans="1:18" s="78" customFormat="1" ht="23.25" customHeight="1">
      <c r="A8" s="281"/>
      <c r="B8" s="283">
        <v>1</v>
      </c>
      <c r="C8" s="2036"/>
      <c r="D8" s="2037"/>
      <c r="E8" s="2037"/>
      <c r="F8" s="2037"/>
      <c r="G8" s="2036"/>
      <c r="H8" s="2037"/>
      <c r="I8" s="2037"/>
      <c r="J8" s="2037"/>
      <c r="K8" s="2037"/>
      <c r="L8" s="2037"/>
      <c r="M8" s="2037"/>
      <c r="N8" s="2039"/>
      <c r="O8" s="2039"/>
      <c r="P8" s="2040"/>
      <c r="Q8" s="2040"/>
      <c r="R8" s="281"/>
    </row>
    <row r="9" spans="1:18" s="78" customFormat="1" ht="23.25" customHeight="1">
      <c r="A9" s="281"/>
      <c r="B9" s="283">
        <v>2</v>
      </c>
      <c r="C9" s="2036"/>
      <c r="D9" s="2037"/>
      <c r="E9" s="2037"/>
      <c r="F9" s="2037"/>
      <c r="G9" s="2036"/>
      <c r="H9" s="2037"/>
      <c r="I9" s="2037"/>
      <c r="J9" s="2037"/>
      <c r="K9" s="2037"/>
      <c r="L9" s="2037"/>
      <c r="M9" s="2037"/>
      <c r="N9" s="2039"/>
      <c r="O9" s="2039"/>
      <c r="P9" s="2040"/>
      <c r="Q9" s="2040"/>
      <c r="R9" s="281"/>
    </row>
    <row r="10" spans="1:18" s="78" customFormat="1" ht="23.25" customHeight="1">
      <c r="A10" s="281"/>
      <c r="B10" s="283">
        <v>3</v>
      </c>
      <c r="C10" s="2036"/>
      <c r="D10" s="2037"/>
      <c r="E10" s="2037"/>
      <c r="F10" s="2037"/>
      <c r="G10" s="2036"/>
      <c r="H10" s="2037"/>
      <c r="I10" s="2037"/>
      <c r="J10" s="2037"/>
      <c r="K10" s="2037"/>
      <c r="L10" s="2037"/>
      <c r="M10" s="2037"/>
      <c r="N10" s="2039"/>
      <c r="O10" s="2039"/>
      <c r="P10" s="2040"/>
      <c r="Q10" s="2040"/>
      <c r="R10" s="281"/>
    </row>
    <row r="11" spans="1:18" s="78" customFormat="1" ht="23.25" customHeight="1">
      <c r="A11" s="281"/>
      <c r="B11" s="283">
        <v>4</v>
      </c>
      <c r="C11" s="2036"/>
      <c r="D11" s="2037"/>
      <c r="E11" s="2037"/>
      <c r="F11" s="2037"/>
      <c r="G11" s="2036"/>
      <c r="H11" s="2037"/>
      <c r="I11" s="2037"/>
      <c r="J11" s="2037"/>
      <c r="K11" s="2037"/>
      <c r="L11" s="2037"/>
      <c r="M11" s="2037"/>
      <c r="N11" s="2039"/>
      <c r="O11" s="2039"/>
      <c r="P11" s="2040"/>
      <c r="Q11" s="2040"/>
      <c r="R11" s="281"/>
    </row>
    <row r="12" spans="1:18" s="78" customFormat="1" ht="23.25" customHeight="1">
      <c r="A12" s="281"/>
      <c r="B12" s="283">
        <v>5</v>
      </c>
      <c r="C12" s="2036"/>
      <c r="D12" s="2037"/>
      <c r="E12" s="2037"/>
      <c r="F12" s="2037"/>
      <c r="G12" s="2036"/>
      <c r="H12" s="2037"/>
      <c r="I12" s="2037"/>
      <c r="J12" s="2037"/>
      <c r="K12" s="2037"/>
      <c r="L12" s="2037"/>
      <c r="M12" s="2037"/>
      <c r="N12" s="2039"/>
      <c r="O12" s="2039"/>
      <c r="P12" s="2040"/>
      <c r="Q12" s="2040"/>
      <c r="R12" s="281"/>
    </row>
    <row r="13" spans="1:18" s="78" customFormat="1" ht="23.25" customHeight="1">
      <c r="A13" s="281"/>
      <c r="B13" s="283">
        <v>6</v>
      </c>
      <c r="C13" s="2036"/>
      <c r="D13" s="2037"/>
      <c r="E13" s="2037"/>
      <c r="F13" s="2037"/>
      <c r="G13" s="2036"/>
      <c r="H13" s="2037"/>
      <c r="I13" s="2037"/>
      <c r="J13" s="2037"/>
      <c r="K13" s="2037"/>
      <c r="L13" s="2037"/>
      <c r="M13" s="2037"/>
      <c r="N13" s="2039"/>
      <c r="O13" s="2039"/>
      <c r="P13" s="2040"/>
      <c r="Q13" s="2040"/>
      <c r="R13" s="281"/>
    </row>
    <row r="14" spans="1:18" s="78" customFormat="1" ht="23.25" customHeight="1">
      <c r="A14" s="281"/>
      <c r="B14" s="283">
        <v>7</v>
      </c>
      <c r="C14" s="2036"/>
      <c r="D14" s="2037"/>
      <c r="E14" s="2037"/>
      <c r="F14" s="2037"/>
      <c r="G14" s="2036"/>
      <c r="H14" s="2037"/>
      <c r="I14" s="2037"/>
      <c r="J14" s="2037"/>
      <c r="K14" s="2037"/>
      <c r="L14" s="2037"/>
      <c r="M14" s="2037"/>
      <c r="N14" s="2037"/>
      <c r="O14" s="2037"/>
      <c r="P14" s="2040"/>
      <c r="Q14" s="2040"/>
      <c r="R14" s="281"/>
    </row>
    <row r="15" spans="1:18" s="78" customFormat="1" ht="23.25" customHeight="1">
      <c r="A15" s="281"/>
      <c r="B15" s="283">
        <v>8</v>
      </c>
      <c r="C15" s="2036"/>
      <c r="D15" s="2037"/>
      <c r="E15" s="2037"/>
      <c r="F15" s="2037"/>
      <c r="G15" s="2036"/>
      <c r="H15" s="2037"/>
      <c r="I15" s="2037"/>
      <c r="J15" s="2037"/>
      <c r="K15" s="2037"/>
      <c r="L15" s="2037"/>
      <c r="M15" s="2037"/>
      <c r="N15" s="2037"/>
      <c r="O15" s="2037"/>
      <c r="P15" s="2040"/>
      <c r="Q15" s="2040"/>
      <c r="R15" s="281"/>
    </row>
    <row r="16" spans="1:18" s="78" customFormat="1" ht="23.25" customHeight="1">
      <c r="A16" s="281"/>
      <c r="B16" s="283">
        <v>9</v>
      </c>
      <c r="C16" s="2036"/>
      <c r="D16" s="2037"/>
      <c r="E16" s="2037"/>
      <c r="F16" s="2037"/>
      <c r="G16" s="2036"/>
      <c r="H16" s="2037"/>
      <c r="I16" s="2037"/>
      <c r="J16" s="2037"/>
      <c r="K16" s="2037"/>
      <c r="L16" s="2037"/>
      <c r="M16" s="2037"/>
      <c r="N16" s="2037"/>
      <c r="O16" s="2037"/>
      <c r="P16" s="2040"/>
      <c r="Q16" s="2040"/>
      <c r="R16" s="281"/>
    </row>
    <row r="17" spans="1:24" s="78" customFormat="1" ht="23.25" customHeight="1">
      <c r="A17" s="281"/>
      <c r="B17" s="283">
        <v>10</v>
      </c>
      <c r="C17" s="2036"/>
      <c r="D17" s="2037"/>
      <c r="E17" s="2037"/>
      <c r="F17" s="2037"/>
      <c r="G17" s="2036"/>
      <c r="H17" s="2037"/>
      <c r="I17" s="2037"/>
      <c r="J17" s="2037"/>
      <c r="K17" s="2037"/>
      <c r="L17" s="2037"/>
      <c r="M17" s="2037"/>
      <c r="N17" s="2037"/>
      <c r="O17" s="2037"/>
      <c r="P17" s="2040"/>
      <c r="Q17" s="2040"/>
      <c r="R17" s="281"/>
    </row>
    <row r="18" spans="1:24" s="78" customFormat="1" ht="23.25" customHeight="1">
      <c r="A18" s="281"/>
      <c r="B18" s="283">
        <v>11</v>
      </c>
      <c r="C18" s="2036"/>
      <c r="D18" s="2037"/>
      <c r="E18" s="2037"/>
      <c r="F18" s="2037"/>
      <c r="G18" s="2036"/>
      <c r="H18" s="2037"/>
      <c r="I18" s="2037"/>
      <c r="J18" s="2037"/>
      <c r="K18" s="2037"/>
      <c r="L18" s="2037"/>
      <c r="M18" s="2037"/>
      <c r="N18" s="2037"/>
      <c r="O18" s="2037"/>
      <c r="P18" s="2040"/>
      <c r="Q18" s="2040"/>
      <c r="R18" s="281"/>
    </row>
    <row r="19" spans="1:24" s="78" customFormat="1" ht="23.25" customHeight="1">
      <c r="A19" s="281"/>
      <c r="B19" s="283">
        <v>12</v>
      </c>
      <c r="C19" s="2036"/>
      <c r="D19" s="2037"/>
      <c r="E19" s="2037"/>
      <c r="F19" s="2037"/>
      <c r="G19" s="2036"/>
      <c r="H19" s="2037"/>
      <c r="I19" s="2037"/>
      <c r="J19" s="2037"/>
      <c r="K19" s="2037"/>
      <c r="L19" s="2037"/>
      <c r="M19" s="2037"/>
      <c r="N19" s="2037"/>
      <c r="O19" s="2037"/>
      <c r="P19" s="2040"/>
      <c r="Q19" s="2040"/>
      <c r="R19" s="281"/>
    </row>
    <row r="20" spans="1:24" s="78" customFormat="1" ht="23.25" customHeight="1">
      <c r="A20" s="281"/>
      <c r="B20" s="283">
        <v>13</v>
      </c>
      <c r="C20" s="2036"/>
      <c r="D20" s="2037"/>
      <c r="E20" s="2037"/>
      <c r="F20" s="2037"/>
      <c r="G20" s="2036"/>
      <c r="H20" s="2037"/>
      <c r="I20" s="2037"/>
      <c r="J20" s="2037"/>
      <c r="K20" s="2037"/>
      <c r="L20" s="2037"/>
      <c r="M20" s="2037"/>
      <c r="N20" s="2037"/>
      <c r="O20" s="2037"/>
      <c r="P20" s="2041"/>
      <c r="Q20" s="2041"/>
      <c r="R20" s="281"/>
    </row>
    <row r="21" spans="1:24" s="78" customFormat="1" ht="23.25" customHeight="1">
      <c r="A21" s="281"/>
      <c r="B21" s="283">
        <v>14</v>
      </c>
      <c r="C21" s="2037"/>
      <c r="D21" s="2037"/>
      <c r="E21" s="2037"/>
      <c r="F21" s="2037"/>
      <c r="G21" s="2036"/>
      <c r="H21" s="2037"/>
      <c r="I21" s="2037"/>
      <c r="J21" s="2037"/>
      <c r="K21" s="2037"/>
      <c r="L21" s="2037"/>
      <c r="M21" s="2037"/>
      <c r="N21" s="2037"/>
      <c r="O21" s="2037"/>
      <c r="P21" s="2042"/>
      <c r="Q21" s="2042"/>
      <c r="R21" s="281"/>
    </row>
    <row r="22" spans="1:24" s="78" customFormat="1" ht="23.25" customHeight="1">
      <c r="A22" s="281"/>
      <c r="B22" s="283">
        <v>15</v>
      </c>
      <c r="C22" s="2037"/>
      <c r="D22" s="2037"/>
      <c r="E22" s="2037"/>
      <c r="F22" s="2037"/>
      <c r="G22" s="2036"/>
      <c r="H22" s="2037"/>
      <c r="I22" s="2037"/>
      <c r="J22" s="2037"/>
      <c r="K22" s="2037"/>
      <c r="L22" s="2037"/>
      <c r="M22" s="2037"/>
      <c r="N22" s="2037"/>
      <c r="O22" s="2037"/>
      <c r="P22" s="2042"/>
      <c r="Q22" s="2042"/>
      <c r="R22" s="281"/>
    </row>
    <row r="23" spans="1:24" s="78" customFormat="1" ht="23.25" customHeight="1">
      <c r="A23" s="281"/>
      <c r="B23" s="283">
        <v>16</v>
      </c>
      <c r="C23" s="2037"/>
      <c r="D23" s="2037"/>
      <c r="E23" s="2037"/>
      <c r="F23" s="2037"/>
      <c r="G23" s="2036"/>
      <c r="H23" s="2037"/>
      <c r="I23" s="2037"/>
      <c r="J23" s="2037"/>
      <c r="K23" s="2037"/>
      <c r="L23" s="2037"/>
      <c r="M23" s="2037"/>
      <c r="N23" s="2037"/>
      <c r="O23" s="2037"/>
      <c r="P23" s="2042"/>
      <c r="Q23" s="2042"/>
      <c r="R23" s="281"/>
    </row>
    <row r="24" spans="1:24" s="78" customFormat="1" ht="23.25" customHeight="1">
      <c r="A24" s="281"/>
      <c r="B24" s="283">
        <v>17</v>
      </c>
      <c r="C24" s="1398"/>
      <c r="D24" s="1398"/>
      <c r="E24" s="1398"/>
      <c r="F24" s="1398"/>
      <c r="G24" s="1400"/>
      <c r="H24" s="1398"/>
      <c r="I24" s="1398"/>
      <c r="J24" s="1398"/>
      <c r="K24" s="1398"/>
      <c r="L24" s="1398"/>
      <c r="M24" s="1398"/>
      <c r="N24" s="1398"/>
      <c r="O24" s="1398"/>
      <c r="P24" s="1129"/>
      <c r="Q24" s="1129"/>
      <c r="R24" s="281"/>
    </row>
    <row r="25" spans="1:24" s="78" customFormat="1" ht="23.25" customHeight="1">
      <c r="A25" s="281"/>
      <c r="B25" s="283">
        <v>18</v>
      </c>
      <c r="C25" s="1398"/>
      <c r="D25" s="1398"/>
      <c r="E25" s="1398"/>
      <c r="F25" s="1398"/>
      <c r="G25" s="1400"/>
      <c r="H25" s="1398"/>
      <c r="I25" s="1398"/>
      <c r="J25" s="1398"/>
      <c r="K25" s="1398"/>
      <c r="L25" s="1398"/>
      <c r="M25" s="1398"/>
      <c r="N25" s="1398"/>
      <c r="O25" s="1398"/>
      <c r="P25" s="1129"/>
      <c r="Q25" s="1129"/>
      <c r="R25" s="281"/>
    </row>
    <row r="26" spans="1:24" s="78" customFormat="1" ht="23.25" customHeight="1">
      <c r="A26" s="281"/>
      <c r="B26" s="283">
        <v>19</v>
      </c>
      <c r="C26" s="1398"/>
      <c r="D26" s="1398"/>
      <c r="E26" s="1398"/>
      <c r="F26" s="1398"/>
      <c r="G26" s="1400"/>
      <c r="H26" s="1398"/>
      <c r="I26" s="1398"/>
      <c r="J26" s="1398"/>
      <c r="K26" s="1398"/>
      <c r="L26" s="1398"/>
      <c r="M26" s="1398"/>
      <c r="N26" s="1398"/>
      <c r="O26" s="1398"/>
      <c r="P26" s="1129"/>
      <c r="Q26" s="1129"/>
      <c r="R26" s="281"/>
    </row>
    <row r="27" spans="1:24" s="78" customFormat="1" ht="23.25" customHeight="1">
      <c r="A27" s="281"/>
      <c r="B27" s="283">
        <v>20</v>
      </c>
      <c r="C27" s="1398"/>
      <c r="D27" s="1398"/>
      <c r="E27" s="1398"/>
      <c r="F27" s="1398"/>
      <c r="G27" s="1400"/>
      <c r="H27" s="1398"/>
      <c r="I27" s="1398"/>
      <c r="J27" s="1398"/>
      <c r="K27" s="1398"/>
      <c r="L27" s="1398"/>
      <c r="M27" s="1398"/>
      <c r="N27" s="1398"/>
      <c r="O27" s="1398"/>
      <c r="P27" s="1129"/>
      <c r="Q27" s="1129"/>
      <c r="R27" s="281"/>
    </row>
    <row r="28" spans="1:24" s="78" customFormat="1" ht="23.25" customHeight="1">
      <c r="A28" s="281"/>
      <c r="B28" s="283">
        <v>21</v>
      </c>
      <c r="C28" s="1398"/>
      <c r="D28" s="1398"/>
      <c r="E28" s="1398"/>
      <c r="F28" s="1398"/>
      <c r="G28" s="1400"/>
      <c r="H28" s="1398"/>
      <c r="I28" s="1398"/>
      <c r="J28" s="1398"/>
      <c r="K28" s="1398"/>
      <c r="L28" s="1398"/>
      <c r="M28" s="1398"/>
      <c r="N28" s="1398"/>
      <c r="O28" s="1398"/>
      <c r="P28" s="1129"/>
      <c r="Q28" s="1129"/>
      <c r="R28" s="281"/>
    </row>
    <row r="29" spans="1:24" s="78" customFormat="1" ht="23.25" customHeight="1">
      <c r="A29" s="281"/>
      <c r="B29" s="283">
        <v>22</v>
      </c>
      <c r="C29" s="1398"/>
      <c r="D29" s="1398"/>
      <c r="E29" s="1398"/>
      <c r="F29" s="1398"/>
      <c r="G29" s="1400"/>
      <c r="H29" s="1398"/>
      <c r="I29" s="1398"/>
      <c r="J29" s="1398"/>
      <c r="K29" s="1398"/>
      <c r="L29" s="1398"/>
      <c r="M29" s="1398"/>
      <c r="N29" s="1398"/>
      <c r="O29" s="1398"/>
      <c r="P29" s="1129"/>
      <c r="Q29" s="1129"/>
      <c r="R29" s="281"/>
    </row>
    <row r="30" spans="1:24" s="78" customFormat="1" ht="23.25" customHeight="1" thickBot="1">
      <c r="A30" s="281"/>
      <c r="B30" s="283">
        <v>23</v>
      </c>
      <c r="C30" s="1398"/>
      <c r="D30" s="1398"/>
      <c r="E30" s="1398"/>
      <c r="F30" s="1398"/>
      <c r="G30" s="1400"/>
      <c r="H30" s="1398"/>
      <c r="I30" s="1398"/>
      <c r="J30" s="1398"/>
      <c r="K30" s="1398"/>
      <c r="L30" s="1398"/>
      <c r="M30" s="1398"/>
      <c r="N30" s="1398"/>
      <c r="O30" s="1398"/>
      <c r="P30" s="1129"/>
      <c r="Q30" s="1129"/>
      <c r="R30" s="281"/>
    </row>
    <row r="31" spans="1:24" s="78" customFormat="1" ht="24">
      <c r="A31" s="281"/>
      <c r="B31" s="283">
        <v>24</v>
      </c>
      <c r="C31" s="1398"/>
      <c r="D31" s="1398"/>
      <c r="E31" s="1398"/>
      <c r="F31" s="1398"/>
      <c r="G31" s="1400"/>
      <c r="H31" s="1398"/>
      <c r="I31" s="1398"/>
      <c r="J31" s="1398"/>
      <c r="K31" s="1398"/>
      <c r="L31" s="1398"/>
      <c r="M31" s="1398"/>
      <c r="N31" s="1398"/>
      <c r="O31" s="1398"/>
      <c r="P31" s="1129"/>
      <c r="Q31" s="1129"/>
      <c r="R31" s="281"/>
      <c r="T31" s="2308" t="s">
        <v>685</v>
      </c>
      <c r="U31" s="2309"/>
      <c r="V31" s="2309"/>
      <c r="W31" s="2309"/>
      <c r="X31" s="2310"/>
    </row>
    <row r="32" spans="1:24" s="78" customFormat="1" ht="24">
      <c r="A32" s="281"/>
      <c r="B32" s="283">
        <v>25</v>
      </c>
      <c r="C32" s="1398"/>
      <c r="D32" s="1398"/>
      <c r="E32" s="1398"/>
      <c r="F32" s="1398"/>
      <c r="G32" s="1400"/>
      <c r="H32" s="1398"/>
      <c r="I32" s="1398"/>
      <c r="J32" s="1398"/>
      <c r="K32" s="1398"/>
      <c r="L32" s="1398"/>
      <c r="M32" s="1398"/>
      <c r="N32" s="1398"/>
      <c r="O32" s="1398"/>
      <c r="P32" s="1129"/>
      <c r="Q32" s="1129"/>
      <c r="R32" s="281"/>
      <c r="T32" s="1645" t="s">
        <v>686</v>
      </c>
      <c r="U32" s="1638" t="s">
        <v>144</v>
      </c>
      <c r="V32" s="1638" t="s">
        <v>9</v>
      </c>
      <c r="W32" s="1644" t="s">
        <v>687</v>
      </c>
      <c r="X32" s="1646" t="s">
        <v>146</v>
      </c>
    </row>
    <row r="33" spans="1:24" s="78" customFormat="1" ht="24">
      <c r="A33" s="281"/>
      <c r="B33" s="283">
        <v>26</v>
      </c>
      <c r="C33" s="1398"/>
      <c r="D33" s="1398"/>
      <c r="E33" s="1398"/>
      <c r="F33" s="1398"/>
      <c r="G33" s="1400"/>
      <c r="H33" s="1398"/>
      <c r="I33" s="1398"/>
      <c r="J33" s="1398"/>
      <c r="K33" s="1398"/>
      <c r="L33" s="1398"/>
      <c r="M33" s="1398"/>
      <c r="N33" s="1398"/>
      <c r="O33" s="1398"/>
      <c r="P33" s="1129"/>
      <c r="Q33" s="1129"/>
      <c r="R33" s="281"/>
      <c r="T33" s="1647" t="s">
        <v>138</v>
      </c>
      <c r="U33" s="1639" t="str">
        <f>'RE-COS'!B82</f>
        <v>BVM-831</v>
      </c>
      <c r="V33" s="1640">
        <f>'RE-COS'!C82</f>
        <v>0</v>
      </c>
      <c r="W33" s="1641">
        <f>'RE-COS'!D82</f>
        <v>420</v>
      </c>
      <c r="X33" s="1648">
        <f>'RE-COS'!E82</f>
        <v>0</v>
      </c>
    </row>
    <row r="34" spans="1:24" s="78" customFormat="1" ht="24">
      <c r="A34" s="281"/>
      <c r="B34" s="283">
        <v>27</v>
      </c>
      <c r="C34" s="1398"/>
      <c r="D34" s="1398"/>
      <c r="E34" s="1398"/>
      <c r="F34" s="1398"/>
      <c r="G34" s="1400"/>
      <c r="H34" s="1398"/>
      <c r="I34" s="1398"/>
      <c r="J34" s="1398"/>
      <c r="K34" s="1398"/>
      <c r="L34" s="1398"/>
      <c r="M34" s="1398"/>
      <c r="N34" s="1398"/>
      <c r="O34" s="1398"/>
      <c r="P34" s="1129"/>
      <c r="Q34" s="1129"/>
      <c r="R34" s="281"/>
      <c r="T34" s="1647" t="s">
        <v>380</v>
      </c>
      <c r="U34" s="1639" t="str">
        <f>'RE-COS'!G82</f>
        <v>BVM-831</v>
      </c>
      <c r="V34" s="1640">
        <f>'RE-COS'!H82</f>
        <v>262.84000000000003</v>
      </c>
      <c r="W34" s="1641">
        <f>'RE-COS'!I82</f>
        <v>400</v>
      </c>
      <c r="X34" s="1648">
        <f>'RE-COS'!J82</f>
        <v>105.13600000000001</v>
      </c>
    </row>
    <row r="35" spans="1:24" s="78" customFormat="1" ht="24.75" thickBot="1">
      <c r="A35" s="281"/>
      <c r="B35" s="283">
        <v>28</v>
      </c>
      <c r="C35" s="1398"/>
      <c r="D35" s="1398"/>
      <c r="E35" s="1398"/>
      <c r="F35" s="1398"/>
      <c r="G35" s="1400"/>
      <c r="H35" s="1398"/>
      <c r="I35" s="1398"/>
      <c r="J35" s="1398"/>
      <c r="K35" s="1398"/>
      <c r="L35" s="1398"/>
      <c r="M35" s="1398"/>
      <c r="N35" s="1398"/>
      <c r="O35" s="1398"/>
      <c r="P35" s="1129"/>
      <c r="Q35" s="1129"/>
      <c r="R35" s="281"/>
      <c r="T35" s="1649" t="s">
        <v>3</v>
      </c>
      <c r="U35" s="1650"/>
      <c r="V35" s="1651">
        <f>SUM(V33:V34)</f>
        <v>262.84000000000003</v>
      </c>
      <c r="W35" s="1652"/>
      <c r="X35" s="1653">
        <f>SUM(X33:X34)</f>
        <v>105.13600000000001</v>
      </c>
    </row>
    <row r="36" spans="1:24" s="78" customFormat="1" ht="19.5">
      <c r="A36" s="281"/>
      <c r="B36" s="283">
        <v>29</v>
      </c>
      <c r="C36" s="1398"/>
      <c r="D36" s="1398"/>
      <c r="E36" s="1398"/>
      <c r="F36" s="1398"/>
      <c r="G36" s="1400"/>
      <c r="H36" s="1398"/>
      <c r="I36" s="1398"/>
      <c r="J36" s="1398"/>
      <c r="K36" s="1398"/>
      <c r="L36" s="1398"/>
      <c r="M36" s="1398"/>
      <c r="N36" s="1398"/>
      <c r="O36" s="1398"/>
      <c r="P36" s="1129"/>
      <c r="Q36" s="1129"/>
      <c r="R36" s="281"/>
      <c r="T36" s="1636"/>
      <c r="U36" s="1637"/>
      <c r="V36" s="1637"/>
      <c r="W36" s="1637"/>
      <c r="X36" s="1637"/>
    </row>
    <row r="37" spans="1:24" s="78" customFormat="1" ht="19.5">
      <c r="A37" s="281"/>
      <c r="B37" s="283">
        <v>30</v>
      </c>
      <c r="C37" s="1398"/>
      <c r="D37" s="1398"/>
      <c r="E37" s="1398"/>
      <c r="F37" s="1398"/>
      <c r="G37" s="1400"/>
      <c r="H37" s="1398"/>
      <c r="I37" s="1398"/>
      <c r="J37" s="1398"/>
      <c r="K37" s="1398"/>
      <c r="L37" s="1398"/>
      <c r="M37" s="1398"/>
      <c r="N37" s="1398"/>
      <c r="O37" s="1398"/>
      <c r="P37" s="1129"/>
      <c r="Q37" s="1129"/>
      <c r="R37" s="281"/>
      <c r="T37" s="1636"/>
      <c r="U37" s="1637"/>
      <c r="V37" s="1637"/>
      <c r="W37" s="1637"/>
      <c r="X37" s="1637"/>
    </row>
    <row r="38" spans="1:24" s="78" customFormat="1" ht="23.25" customHeight="1">
      <c r="A38" s="281"/>
      <c r="B38" s="283">
        <v>31</v>
      </c>
      <c r="C38" s="1398"/>
      <c r="D38" s="1398"/>
      <c r="E38" s="1398"/>
      <c r="F38" s="1398"/>
      <c r="G38" s="1400"/>
      <c r="H38" s="1398"/>
      <c r="I38" s="1398"/>
      <c r="J38" s="1398"/>
      <c r="K38" s="1398"/>
      <c r="L38" s="1398"/>
      <c r="M38" s="1398"/>
      <c r="N38" s="1398"/>
      <c r="O38" s="1398"/>
      <c r="P38" s="279"/>
      <c r="Q38" s="279"/>
      <c r="R38" s="281"/>
    </row>
    <row r="39" spans="1:24" s="78" customFormat="1" ht="23.25" customHeight="1">
      <c r="A39" s="281"/>
      <c r="B39" s="283">
        <v>32</v>
      </c>
      <c r="C39" s="279"/>
      <c r="D39" s="279"/>
      <c r="E39" s="279"/>
      <c r="F39" s="279"/>
      <c r="G39" s="278"/>
      <c r="H39" s="279"/>
      <c r="I39" s="279"/>
      <c r="J39" s="279"/>
      <c r="K39" s="279"/>
      <c r="L39" s="279"/>
      <c r="M39" s="279"/>
      <c r="N39" s="279"/>
      <c r="O39" s="279"/>
      <c r="P39" s="279"/>
      <c r="Q39" s="279"/>
      <c r="R39" s="281"/>
    </row>
    <row r="40" spans="1:24" s="78" customFormat="1" ht="21.75" customHeight="1">
      <c r="A40" s="281"/>
      <c r="B40" s="283">
        <v>33</v>
      </c>
      <c r="C40" s="279"/>
      <c r="D40" s="279"/>
      <c r="E40" s="279"/>
      <c r="F40" s="279"/>
      <c r="G40" s="278"/>
      <c r="H40" s="279"/>
      <c r="I40" s="279"/>
      <c r="J40" s="279"/>
      <c r="K40" s="279"/>
      <c r="L40" s="279"/>
      <c r="M40" s="279"/>
      <c r="N40" s="279"/>
      <c r="O40" s="279"/>
      <c r="P40" s="279"/>
      <c r="Q40" s="279"/>
      <c r="R40" s="281"/>
    </row>
    <row r="41" spans="1:24" s="78" customFormat="1" ht="23.25" customHeight="1">
      <c r="A41" s="281"/>
      <c r="B41" s="283">
        <v>34</v>
      </c>
      <c r="C41" s="279"/>
      <c r="D41" s="279"/>
      <c r="E41" s="279"/>
      <c r="F41" s="279"/>
      <c r="G41" s="278"/>
      <c r="H41" s="279"/>
      <c r="I41" s="279"/>
      <c r="J41" s="279"/>
      <c r="K41" s="279"/>
      <c r="L41" s="279"/>
      <c r="M41" s="279"/>
      <c r="N41" s="279"/>
      <c r="O41" s="279"/>
      <c r="P41" s="279"/>
      <c r="Q41" s="279"/>
      <c r="R41" s="281"/>
      <c r="U41" s="78">
        <f>40.78*420/1000</f>
        <v>17.127600000000001</v>
      </c>
    </row>
    <row r="42" spans="1:24" s="78" customFormat="1" ht="23.25" customHeight="1" thickBot="1">
      <c r="A42" s="281"/>
      <c r="B42" s="283">
        <v>35</v>
      </c>
      <c r="C42" s="279"/>
      <c r="D42" s="279"/>
      <c r="E42" s="279"/>
      <c r="F42" s="279"/>
      <c r="G42" s="278"/>
      <c r="H42" s="279"/>
      <c r="I42" s="279"/>
      <c r="J42" s="279"/>
      <c r="K42" s="279"/>
      <c r="L42" s="279"/>
      <c r="M42" s="279"/>
      <c r="N42" s="279"/>
      <c r="O42" s="279"/>
      <c r="P42" s="279"/>
      <c r="Q42" s="279"/>
      <c r="R42" s="281"/>
    </row>
    <row r="43" spans="1:24" s="78" customFormat="1" ht="23.25" customHeight="1" thickBot="1">
      <c r="A43" s="281"/>
      <c r="B43" s="286" t="s">
        <v>3</v>
      </c>
      <c r="C43" s="392">
        <f t="shared" ref="C43:Q43" si="0">SUM(C8:C42)</f>
        <v>0</v>
      </c>
      <c r="D43" s="392">
        <f t="shared" si="0"/>
        <v>0</v>
      </c>
      <c r="E43" s="392">
        <f t="shared" si="0"/>
        <v>0</v>
      </c>
      <c r="F43" s="392">
        <f t="shared" si="0"/>
        <v>0</v>
      </c>
      <c r="G43" s="392">
        <f t="shared" si="0"/>
        <v>0</v>
      </c>
      <c r="H43" s="392">
        <f t="shared" si="0"/>
        <v>0</v>
      </c>
      <c r="I43" s="392">
        <f t="shared" si="0"/>
        <v>0</v>
      </c>
      <c r="J43" s="392">
        <f t="shared" si="0"/>
        <v>0</v>
      </c>
      <c r="K43" s="392">
        <f t="shared" si="0"/>
        <v>0</v>
      </c>
      <c r="L43" s="392">
        <f t="shared" si="0"/>
        <v>0</v>
      </c>
      <c r="M43" s="392">
        <f t="shared" si="0"/>
        <v>0</v>
      </c>
      <c r="N43" s="392">
        <f t="shared" si="0"/>
        <v>0</v>
      </c>
      <c r="O43" s="392">
        <f t="shared" si="0"/>
        <v>0</v>
      </c>
      <c r="P43" s="392">
        <f t="shared" si="0"/>
        <v>0</v>
      </c>
      <c r="Q43" s="305">
        <f t="shared" si="0"/>
        <v>0</v>
      </c>
      <c r="R43" s="393">
        <f>SUM(C43:Q43)</f>
        <v>0</v>
      </c>
    </row>
    <row r="44" spans="1:24" s="78" customFormat="1" ht="21.75" customHeight="1" thickBot="1">
      <c r="A44" s="281"/>
      <c r="B44" s="281"/>
      <c r="C44" s="2319">
        <f>SUM(C43:Q43)</f>
        <v>0</v>
      </c>
      <c r="D44" s="2314"/>
      <c r="E44" s="2314"/>
      <c r="F44" s="2314"/>
      <c r="G44" s="2314"/>
      <c r="H44" s="2314"/>
      <c r="I44" s="2314"/>
      <c r="J44" s="2314"/>
      <c r="K44" s="2314"/>
      <c r="L44" s="2314"/>
      <c r="M44" s="2314"/>
      <c r="N44" s="2314"/>
      <c r="O44" s="2314"/>
      <c r="P44" s="2314"/>
      <c r="Q44" s="2315"/>
      <c r="R44" s="281"/>
    </row>
    <row r="45" spans="1:24" s="78" customFormat="1" ht="19.5">
      <c r="A45" s="281"/>
      <c r="B45" s="281"/>
      <c r="C45" s="287"/>
      <c r="D45" s="287"/>
      <c r="E45" s="287"/>
      <c r="F45" s="287"/>
      <c r="G45" s="288"/>
      <c r="H45" s="287"/>
      <c r="I45" s="287"/>
      <c r="J45" s="287"/>
      <c r="K45" s="287"/>
      <c r="L45" s="287"/>
      <c r="M45" s="287"/>
      <c r="N45" s="287"/>
      <c r="O45" s="287"/>
      <c r="P45" s="287"/>
      <c r="Q45" s="287"/>
      <c r="R45" s="281"/>
    </row>
    <row r="46" spans="1:24" s="78" customFormat="1" ht="19.5">
      <c r="A46" s="281"/>
      <c r="B46" s="281"/>
      <c r="C46" s="287"/>
      <c r="D46" s="287"/>
      <c r="E46" s="287"/>
      <c r="F46" s="287"/>
      <c r="G46" s="288"/>
      <c r="H46" s="287"/>
      <c r="I46" s="287"/>
      <c r="J46" s="287"/>
      <c r="K46" s="287"/>
      <c r="L46" s="287"/>
      <c r="M46" s="287"/>
      <c r="N46" s="287"/>
      <c r="O46" s="287"/>
      <c r="P46" s="287"/>
      <c r="Q46" s="287"/>
      <c r="R46" s="281"/>
    </row>
    <row r="47" spans="1:24" s="78" customFormat="1" ht="20.25" thickBot="1">
      <c r="A47" s="281"/>
      <c r="B47" s="281"/>
      <c r="C47" s="287"/>
      <c r="D47" s="287"/>
      <c r="E47" s="287"/>
      <c r="F47" s="287"/>
      <c r="G47" s="288"/>
      <c r="H47" s="287"/>
      <c r="I47" s="287"/>
      <c r="J47" s="287"/>
      <c r="K47" s="287"/>
      <c r="L47" s="287"/>
      <c r="M47" s="287"/>
      <c r="N47" s="287"/>
      <c r="O47" s="287"/>
      <c r="P47" s="287"/>
      <c r="Q47" s="287"/>
      <c r="R47" s="281"/>
    </row>
    <row r="48" spans="1:24" s="78" customFormat="1" ht="20.25" thickBot="1">
      <c r="A48" s="281"/>
      <c r="B48" s="377" t="s">
        <v>186</v>
      </c>
      <c r="C48" s="2311" t="s">
        <v>380</v>
      </c>
      <c r="D48" s="2311"/>
      <c r="E48" s="2311"/>
      <c r="F48" s="2311"/>
      <c r="G48" s="2311"/>
      <c r="H48" s="2311"/>
      <c r="I48" s="2311"/>
      <c r="J48" s="2311"/>
      <c r="K48" s="2311"/>
      <c r="L48" s="2311"/>
      <c r="M48" s="2311"/>
      <c r="N48" s="2311"/>
      <c r="O48" s="2311"/>
      <c r="P48" s="2311"/>
      <c r="Q48" s="2312"/>
      <c r="R48" s="281"/>
    </row>
    <row r="49" spans="1:18" s="78" customFormat="1" ht="19.5">
      <c r="A49" s="281"/>
      <c r="B49" s="372" t="s">
        <v>134</v>
      </c>
      <c r="C49" s="2034" t="s">
        <v>609</v>
      </c>
      <c r="D49" s="2035" t="s">
        <v>610</v>
      </c>
      <c r="E49" s="375"/>
      <c r="F49" s="374"/>
      <c r="G49" s="376"/>
      <c r="H49" s="374"/>
      <c r="I49" s="375"/>
      <c r="J49" s="375"/>
      <c r="K49" s="375"/>
      <c r="L49" s="375"/>
      <c r="M49" s="375"/>
      <c r="N49" s="375"/>
      <c r="O49" s="374"/>
      <c r="P49" s="374"/>
      <c r="Q49" s="374"/>
      <c r="R49" s="281"/>
    </row>
    <row r="50" spans="1:18" s="78" customFormat="1" ht="19.5">
      <c r="A50" s="281"/>
      <c r="B50" s="283">
        <v>1</v>
      </c>
      <c r="C50" s="2037">
        <v>25.68</v>
      </c>
      <c r="D50" s="2038">
        <v>25.92</v>
      </c>
      <c r="E50" s="2043"/>
      <c r="F50" s="283"/>
      <c r="G50" s="290"/>
      <c r="H50" s="283"/>
      <c r="I50" s="283"/>
      <c r="J50" s="283"/>
      <c r="K50" s="283"/>
      <c r="L50" s="283"/>
      <c r="M50" s="283"/>
      <c r="N50" s="283"/>
      <c r="O50" s="283"/>
      <c r="P50" s="283"/>
      <c r="Q50" s="283"/>
      <c r="R50" s="281"/>
    </row>
    <row r="51" spans="1:18" s="78" customFormat="1" ht="19.5">
      <c r="A51" s="281"/>
      <c r="B51" s="283">
        <v>2</v>
      </c>
      <c r="C51" s="2037">
        <v>37.72</v>
      </c>
      <c r="D51" s="2038">
        <v>38.32</v>
      </c>
      <c r="E51" s="2043"/>
      <c r="F51" s="283"/>
      <c r="G51" s="290"/>
      <c r="H51" s="283"/>
      <c r="I51" s="283"/>
      <c r="J51" s="283"/>
      <c r="K51" s="283"/>
      <c r="L51" s="283"/>
      <c r="M51" s="283"/>
      <c r="N51" s="283"/>
      <c r="O51" s="283"/>
      <c r="P51" s="283"/>
      <c r="Q51" s="283"/>
      <c r="R51" s="281"/>
    </row>
    <row r="52" spans="1:18" s="78" customFormat="1" ht="19.5">
      <c r="A52" s="281"/>
      <c r="B52" s="283">
        <v>3</v>
      </c>
      <c r="C52" s="2037">
        <v>25.94</v>
      </c>
      <c r="D52" s="2038">
        <v>25.9</v>
      </c>
      <c r="E52" s="2043"/>
      <c r="F52" s="279"/>
      <c r="G52" s="278"/>
      <c r="H52" s="279"/>
      <c r="I52" s="279"/>
      <c r="J52" s="279"/>
      <c r="K52" s="279"/>
      <c r="L52" s="279"/>
      <c r="M52" s="279"/>
      <c r="N52" s="279"/>
      <c r="O52" s="279"/>
      <c r="P52" s="279"/>
      <c r="Q52" s="279"/>
      <c r="R52" s="281"/>
    </row>
    <row r="53" spans="1:18" s="78" customFormat="1" ht="19.5">
      <c r="A53" s="281"/>
      <c r="B53" s="283">
        <v>4</v>
      </c>
      <c r="C53" s="2037">
        <v>44.5</v>
      </c>
      <c r="D53" s="2038">
        <v>38.86</v>
      </c>
      <c r="E53" s="2043"/>
      <c r="F53" s="279"/>
      <c r="G53" s="278"/>
      <c r="H53" s="279"/>
      <c r="I53" s="279"/>
      <c r="J53" s="279"/>
      <c r="K53" s="279"/>
      <c r="L53" s="279"/>
      <c r="M53" s="279"/>
      <c r="N53" s="279"/>
      <c r="O53" s="279"/>
      <c r="P53" s="279"/>
      <c r="Q53" s="279"/>
      <c r="R53" s="281"/>
    </row>
    <row r="54" spans="1:18" s="78" customFormat="1" ht="19.5">
      <c r="A54" s="281"/>
      <c r="B54" s="283">
        <v>5</v>
      </c>
      <c r="C54" s="2037"/>
      <c r="D54" s="2038"/>
      <c r="E54" s="2043"/>
      <c r="F54" s="279"/>
      <c r="G54" s="278"/>
      <c r="H54" s="279"/>
      <c r="I54" s="279"/>
      <c r="J54" s="279"/>
      <c r="K54" s="279"/>
      <c r="L54" s="279"/>
      <c r="M54" s="279"/>
      <c r="N54" s="279"/>
      <c r="O54" s="279"/>
      <c r="P54" s="279"/>
      <c r="Q54" s="279"/>
      <c r="R54" s="281"/>
    </row>
    <row r="55" spans="1:18" s="78" customFormat="1" ht="19.5">
      <c r="A55" s="281"/>
      <c r="B55" s="283">
        <v>6</v>
      </c>
      <c r="C55" s="2037"/>
      <c r="D55" s="2038"/>
      <c r="E55" s="2043"/>
      <c r="F55" s="279"/>
      <c r="G55" s="278"/>
      <c r="H55" s="279"/>
      <c r="I55" s="279"/>
      <c r="J55" s="279"/>
      <c r="K55" s="279"/>
      <c r="L55" s="279"/>
      <c r="M55" s="279"/>
      <c r="N55" s="279"/>
      <c r="O55" s="279"/>
      <c r="P55" s="279"/>
      <c r="Q55" s="279"/>
      <c r="R55" s="281"/>
    </row>
    <row r="56" spans="1:18" s="78" customFormat="1" ht="19.5">
      <c r="A56" s="281"/>
      <c r="B56" s="283">
        <v>7</v>
      </c>
      <c r="C56" s="2037"/>
      <c r="D56" s="2038"/>
      <c r="E56" s="2043"/>
      <c r="F56" s="279"/>
      <c r="G56" s="278"/>
      <c r="H56" s="279"/>
      <c r="I56" s="279"/>
      <c r="J56" s="279"/>
      <c r="K56" s="279"/>
      <c r="L56" s="279"/>
      <c r="M56" s="279"/>
      <c r="N56" s="279"/>
      <c r="O56" s="279"/>
      <c r="P56" s="279"/>
      <c r="Q56" s="279"/>
      <c r="R56" s="281"/>
    </row>
    <row r="57" spans="1:18" s="78" customFormat="1" ht="19.5">
      <c r="A57" s="281"/>
      <c r="B57" s="283">
        <v>8</v>
      </c>
      <c r="C57" s="2037"/>
      <c r="D57" s="2038"/>
      <c r="E57" s="2043"/>
      <c r="F57" s="279"/>
      <c r="G57" s="278"/>
      <c r="H57" s="279"/>
      <c r="I57" s="279"/>
      <c r="J57" s="279"/>
      <c r="K57" s="279"/>
      <c r="L57" s="279"/>
      <c r="M57" s="279"/>
      <c r="N57" s="279"/>
      <c r="O57" s="279"/>
      <c r="P57" s="279"/>
      <c r="Q57" s="279"/>
      <c r="R57" s="281"/>
    </row>
    <row r="58" spans="1:18" s="78" customFormat="1" ht="19.5">
      <c r="A58" s="281"/>
      <c r="B58" s="283">
        <v>9</v>
      </c>
      <c r="C58" s="2036"/>
      <c r="D58" s="2038"/>
      <c r="E58" s="279"/>
      <c r="F58" s="279"/>
      <c r="G58" s="278"/>
      <c r="H58" s="279"/>
      <c r="I58" s="279"/>
      <c r="J58" s="279"/>
      <c r="K58" s="279"/>
      <c r="L58" s="279"/>
      <c r="M58" s="279"/>
      <c r="N58" s="279"/>
      <c r="O58" s="279"/>
      <c r="P58" s="279"/>
      <c r="Q58" s="279"/>
      <c r="R58" s="281"/>
    </row>
    <row r="59" spans="1:18" s="78" customFormat="1" ht="19.5">
      <c r="A59" s="281"/>
      <c r="B59" s="283">
        <v>10</v>
      </c>
      <c r="C59" s="2036"/>
      <c r="D59" s="2038"/>
      <c r="E59" s="279"/>
      <c r="F59" s="279"/>
      <c r="G59" s="278"/>
      <c r="H59" s="279"/>
      <c r="I59" s="279"/>
      <c r="J59" s="279"/>
      <c r="K59" s="279"/>
      <c r="L59" s="279"/>
      <c r="M59" s="279"/>
      <c r="N59" s="279"/>
      <c r="O59" s="279"/>
      <c r="P59" s="279"/>
      <c r="Q59" s="279"/>
      <c r="R59" s="281"/>
    </row>
    <row r="60" spans="1:18" s="78" customFormat="1" ht="19.5">
      <c r="A60" s="281"/>
      <c r="B60" s="283">
        <v>11</v>
      </c>
      <c r="C60" s="2036"/>
      <c r="D60" s="2038"/>
      <c r="E60" s="279"/>
      <c r="F60" s="279"/>
      <c r="G60" s="278"/>
      <c r="H60" s="279"/>
      <c r="I60" s="279"/>
      <c r="J60" s="279"/>
      <c r="K60" s="279"/>
      <c r="L60" s="279"/>
      <c r="M60" s="279"/>
      <c r="N60" s="279"/>
      <c r="O60" s="279"/>
      <c r="P60" s="279"/>
      <c r="Q60" s="279"/>
      <c r="R60" s="281"/>
    </row>
    <row r="61" spans="1:18" s="78" customFormat="1" ht="19.5">
      <c r="A61" s="281"/>
      <c r="B61" s="283">
        <v>12</v>
      </c>
      <c r="C61" s="2036"/>
      <c r="D61" s="2038"/>
      <c r="E61" s="279"/>
      <c r="F61" s="279"/>
      <c r="G61" s="278"/>
      <c r="H61" s="279"/>
      <c r="I61" s="279"/>
      <c r="J61" s="279"/>
      <c r="K61" s="279"/>
      <c r="L61" s="279"/>
      <c r="M61" s="279"/>
      <c r="N61" s="279"/>
      <c r="O61" s="279"/>
      <c r="P61" s="279"/>
      <c r="Q61" s="279"/>
      <c r="R61" s="281"/>
    </row>
    <row r="62" spans="1:18" s="78" customFormat="1" ht="19.5">
      <c r="A62" s="281"/>
      <c r="B62" s="283">
        <v>13</v>
      </c>
      <c r="C62" s="2036"/>
      <c r="D62" s="2038"/>
      <c r="E62" s="279"/>
      <c r="F62" s="279"/>
      <c r="G62" s="278"/>
      <c r="H62" s="279"/>
      <c r="I62" s="279"/>
      <c r="J62" s="279"/>
      <c r="K62" s="279"/>
      <c r="L62" s="279"/>
      <c r="M62" s="279"/>
      <c r="N62" s="279"/>
      <c r="O62" s="279"/>
      <c r="P62" s="279"/>
      <c r="Q62" s="279"/>
      <c r="R62" s="281"/>
    </row>
    <row r="63" spans="1:18" s="78" customFormat="1" ht="19.5">
      <c r="A63" s="281"/>
      <c r="B63" s="283">
        <v>14</v>
      </c>
      <c r="C63" s="1399"/>
      <c r="D63" s="2038"/>
      <c r="E63" s="279"/>
      <c r="F63" s="279"/>
      <c r="G63" s="278"/>
      <c r="H63" s="279"/>
      <c r="I63" s="279"/>
      <c r="J63" s="279"/>
      <c r="K63" s="279"/>
      <c r="L63" s="279"/>
      <c r="M63" s="279"/>
      <c r="N63" s="279"/>
      <c r="O63" s="279"/>
      <c r="P63" s="279"/>
      <c r="Q63" s="279"/>
      <c r="R63" s="281"/>
    </row>
    <row r="64" spans="1:18" s="78" customFormat="1" ht="19.5">
      <c r="A64" s="281"/>
      <c r="B64" s="283">
        <v>15</v>
      </c>
      <c r="C64" s="1399"/>
      <c r="D64" s="2038"/>
      <c r="E64" s="279"/>
      <c r="F64" s="279"/>
      <c r="G64" s="278"/>
      <c r="H64" s="279"/>
      <c r="I64" s="279"/>
      <c r="J64" s="279"/>
      <c r="K64" s="279"/>
      <c r="L64" s="279"/>
      <c r="M64" s="279"/>
      <c r="N64" s="279"/>
      <c r="O64" s="279"/>
      <c r="P64" s="279"/>
      <c r="Q64" s="279"/>
      <c r="R64" s="281"/>
    </row>
    <row r="65" spans="1:18" s="78" customFormat="1" ht="19.5">
      <c r="A65" s="281"/>
      <c r="B65" s="283">
        <v>16</v>
      </c>
      <c r="C65" s="1399"/>
      <c r="D65" s="1398"/>
      <c r="E65" s="279"/>
      <c r="F65" s="279"/>
      <c r="G65" s="278"/>
      <c r="H65" s="279"/>
      <c r="I65" s="279"/>
      <c r="J65" s="279"/>
      <c r="K65" s="279"/>
      <c r="L65" s="279"/>
      <c r="M65" s="279"/>
      <c r="N65" s="279"/>
      <c r="O65" s="279"/>
      <c r="P65" s="279"/>
      <c r="Q65" s="279"/>
      <c r="R65" s="281"/>
    </row>
    <row r="66" spans="1:18" s="78" customFormat="1" ht="19.5">
      <c r="A66" s="281"/>
      <c r="B66" s="283">
        <v>17</v>
      </c>
      <c r="C66" s="1399"/>
      <c r="D66" s="1398"/>
      <c r="E66" s="279"/>
      <c r="F66" s="279"/>
      <c r="G66" s="278"/>
      <c r="H66" s="279"/>
      <c r="I66" s="279"/>
      <c r="J66" s="279"/>
      <c r="K66" s="279"/>
      <c r="L66" s="279"/>
      <c r="M66" s="279"/>
      <c r="N66" s="279"/>
      <c r="O66" s="279"/>
      <c r="P66" s="279"/>
      <c r="Q66" s="279"/>
      <c r="R66" s="281"/>
    </row>
    <row r="67" spans="1:18" s="78" customFormat="1" ht="19.5">
      <c r="A67" s="281"/>
      <c r="B67" s="283">
        <v>18</v>
      </c>
      <c r="C67" s="1399"/>
      <c r="D67" s="1398"/>
      <c r="E67" s="279"/>
      <c r="F67" s="279"/>
      <c r="G67" s="278"/>
      <c r="H67" s="279"/>
      <c r="I67" s="279"/>
      <c r="J67" s="279"/>
      <c r="K67" s="279"/>
      <c r="L67" s="279"/>
      <c r="M67" s="279"/>
      <c r="N67" s="279"/>
      <c r="O67" s="279"/>
      <c r="P67" s="279"/>
      <c r="Q67" s="279"/>
      <c r="R67" s="281"/>
    </row>
    <row r="68" spans="1:18" s="78" customFormat="1" ht="19.5">
      <c r="A68" s="281"/>
      <c r="B68" s="283">
        <v>19</v>
      </c>
      <c r="C68" s="1398"/>
      <c r="D68" s="1398"/>
      <c r="E68" s="279"/>
      <c r="F68" s="279"/>
      <c r="G68" s="278"/>
      <c r="H68" s="279"/>
      <c r="I68" s="279"/>
      <c r="J68" s="279"/>
      <c r="K68" s="279"/>
      <c r="L68" s="279"/>
      <c r="M68" s="279"/>
      <c r="N68" s="279"/>
      <c r="O68" s="279"/>
      <c r="P68" s="279"/>
      <c r="Q68" s="279"/>
      <c r="R68" s="281"/>
    </row>
    <row r="69" spans="1:18" s="78" customFormat="1" ht="19.5">
      <c r="A69" s="281"/>
      <c r="B69" s="283">
        <v>20</v>
      </c>
      <c r="C69" s="1398"/>
      <c r="D69" s="1398"/>
      <c r="E69" s="279"/>
      <c r="F69" s="279"/>
      <c r="G69" s="278"/>
      <c r="H69" s="279"/>
      <c r="I69" s="279"/>
      <c r="J69" s="279"/>
      <c r="K69" s="279"/>
      <c r="L69" s="279"/>
      <c r="M69" s="279"/>
      <c r="N69" s="279"/>
      <c r="O69" s="279"/>
      <c r="P69" s="279"/>
      <c r="Q69" s="279"/>
      <c r="R69" s="281"/>
    </row>
    <row r="70" spans="1:18" s="78" customFormat="1" ht="19.5">
      <c r="A70" s="281"/>
      <c r="B70" s="283">
        <v>21</v>
      </c>
      <c r="C70" s="1495"/>
      <c r="D70" s="1495"/>
      <c r="E70" s="279"/>
      <c r="F70" s="279"/>
      <c r="G70" s="278"/>
      <c r="H70" s="279"/>
      <c r="I70" s="279"/>
      <c r="J70" s="279"/>
      <c r="K70" s="279"/>
      <c r="L70" s="279"/>
      <c r="M70" s="279"/>
      <c r="N70" s="279"/>
      <c r="O70" s="279"/>
      <c r="P70" s="279"/>
      <c r="Q70" s="279"/>
      <c r="R70" s="281"/>
    </row>
    <row r="71" spans="1:18" s="78" customFormat="1" ht="19.5">
      <c r="A71" s="281"/>
      <c r="B71" s="283">
        <v>22</v>
      </c>
      <c r="C71" s="1495"/>
      <c r="D71" s="1495"/>
      <c r="E71" s="279"/>
      <c r="F71" s="279"/>
      <c r="G71" s="278"/>
      <c r="H71" s="279"/>
      <c r="I71" s="279"/>
      <c r="J71" s="279"/>
      <c r="K71" s="279"/>
      <c r="L71" s="279"/>
      <c r="M71" s="279"/>
      <c r="N71" s="279"/>
      <c r="O71" s="279"/>
      <c r="P71" s="279"/>
      <c r="Q71" s="279"/>
      <c r="R71" s="281"/>
    </row>
    <row r="72" spans="1:18" s="78" customFormat="1" ht="19.5">
      <c r="A72" s="281"/>
      <c r="B72" s="283">
        <v>23</v>
      </c>
      <c r="C72" s="1495"/>
      <c r="D72" s="1495"/>
      <c r="E72" s="279"/>
      <c r="F72" s="279"/>
      <c r="G72" s="278"/>
      <c r="H72" s="279"/>
      <c r="I72" s="279"/>
      <c r="J72" s="279"/>
      <c r="K72" s="279"/>
      <c r="L72" s="279"/>
      <c r="M72" s="279"/>
      <c r="N72" s="279"/>
      <c r="O72" s="279"/>
      <c r="P72" s="279"/>
      <c r="Q72" s="279"/>
      <c r="R72" s="281"/>
    </row>
    <row r="73" spans="1:18" s="78" customFormat="1" ht="19.5">
      <c r="A73" s="281"/>
      <c r="B73" s="283">
        <v>24</v>
      </c>
      <c r="C73" s="1495"/>
      <c r="D73" s="1495"/>
      <c r="E73" s="279"/>
      <c r="F73" s="279"/>
      <c r="G73" s="278"/>
      <c r="H73" s="279"/>
      <c r="I73" s="279"/>
      <c r="J73" s="279"/>
      <c r="K73" s="279"/>
      <c r="L73" s="279"/>
      <c r="M73" s="279"/>
      <c r="N73" s="279"/>
      <c r="O73" s="279"/>
      <c r="P73" s="279"/>
      <c r="Q73" s="279"/>
      <c r="R73" s="281"/>
    </row>
    <row r="74" spans="1:18" s="78" customFormat="1" ht="19.5">
      <c r="A74" s="281"/>
      <c r="B74" s="283">
        <v>25</v>
      </c>
      <c r="C74" s="1495"/>
      <c r="D74" s="1495"/>
      <c r="E74" s="279"/>
      <c r="F74" s="279"/>
      <c r="G74" s="278"/>
      <c r="H74" s="279"/>
      <c r="I74" s="279"/>
      <c r="J74" s="279"/>
      <c r="K74" s="279"/>
      <c r="L74" s="279"/>
      <c r="M74" s="279"/>
      <c r="N74" s="279"/>
      <c r="O74" s="279"/>
      <c r="P74" s="279"/>
      <c r="Q74" s="279"/>
      <c r="R74" s="281"/>
    </row>
    <row r="75" spans="1:18" s="78" customFormat="1" ht="19.5">
      <c r="A75" s="281"/>
      <c r="B75" s="283">
        <v>26</v>
      </c>
      <c r="C75" s="1495"/>
      <c r="D75" s="1495"/>
      <c r="E75" s="279"/>
      <c r="F75" s="279"/>
      <c r="G75" s="278"/>
      <c r="H75" s="279"/>
      <c r="I75" s="279"/>
      <c r="J75" s="279"/>
      <c r="K75" s="279"/>
      <c r="L75" s="279"/>
      <c r="M75" s="279"/>
      <c r="N75" s="279"/>
      <c r="O75" s="279"/>
      <c r="P75" s="279"/>
      <c r="Q75" s="279"/>
      <c r="R75" s="281"/>
    </row>
    <row r="76" spans="1:18" s="78" customFormat="1" ht="19.5">
      <c r="A76" s="281"/>
      <c r="B76" s="283">
        <v>27</v>
      </c>
      <c r="C76" s="1495"/>
      <c r="D76" s="1495"/>
      <c r="E76" s="279"/>
      <c r="F76" s="279"/>
      <c r="G76" s="278"/>
      <c r="H76" s="279"/>
      <c r="I76" s="279"/>
      <c r="J76" s="279"/>
      <c r="K76" s="279"/>
      <c r="L76" s="279"/>
      <c r="M76" s="279"/>
      <c r="N76" s="279"/>
      <c r="O76" s="279"/>
      <c r="P76" s="279"/>
      <c r="Q76" s="279"/>
      <c r="R76" s="281"/>
    </row>
    <row r="77" spans="1:18" s="78" customFormat="1" ht="19.5">
      <c r="A77" s="281"/>
      <c r="B77" s="283">
        <v>28</v>
      </c>
      <c r="C77" s="289"/>
      <c r="D77" s="279"/>
      <c r="E77" s="279"/>
      <c r="F77" s="279"/>
      <c r="G77" s="278"/>
      <c r="H77" s="279"/>
      <c r="I77" s="279"/>
      <c r="J77" s="279"/>
      <c r="K77" s="279"/>
      <c r="L77" s="279"/>
      <c r="M77" s="279"/>
      <c r="N77" s="279"/>
      <c r="O77" s="279"/>
      <c r="P77" s="279"/>
      <c r="Q77" s="279"/>
      <c r="R77" s="281"/>
    </row>
    <row r="78" spans="1:18" s="78" customFormat="1" ht="19.5">
      <c r="A78" s="281"/>
      <c r="B78" s="283">
        <v>29</v>
      </c>
      <c r="C78" s="289"/>
      <c r="D78" s="279"/>
      <c r="E78" s="279"/>
      <c r="F78" s="279"/>
      <c r="G78" s="278"/>
      <c r="H78" s="279"/>
      <c r="I78" s="279"/>
      <c r="J78" s="279"/>
      <c r="K78" s="279"/>
      <c r="L78" s="279"/>
      <c r="M78" s="279"/>
      <c r="N78" s="279"/>
      <c r="O78" s="279"/>
      <c r="P78" s="279"/>
      <c r="Q78" s="279"/>
      <c r="R78" s="281"/>
    </row>
    <row r="79" spans="1:18" s="78" customFormat="1" ht="19.5">
      <c r="A79" s="281"/>
      <c r="B79" s="283">
        <v>30</v>
      </c>
      <c r="C79" s="289"/>
      <c r="D79" s="279"/>
      <c r="E79" s="279"/>
      <c r="F79" s="279"/>
      <c r="G79" s="278"/>
      <c r="H79" s="279"/>
      <c r="I79" s="279"/>
      <c r="J79" s="279"/>
      <c r="K79" s="279"/>
      <c r="L79" s="279"/>
      <c r="M79" s="279"/>
      <c r="N79" s="279"/>
      <c r="O79" s="279"/>
      <c r="P79" s="279"/>
      <c r="Q79" s="279"/>
      <c r="R79" s="281"/>
    </row>
    <row r="80" spans="1:18" s="78" customFormat="1" ht="19.5">
      <c r="A80" s="281"/>
      <c r="B80" s="283">
        <v>31</v>
      </c>
      <c r="C80" s="289"/>
      <c r="D80" s="279"/>
      <c r="E80" s="279"/>
      <c r="F80" s="279"/>
      <c r="G80" s="278"/>
      <c r="H80" s="279"/>
      <c r="I80" s="279"/>
      <c r="J80" s="279"/>
      <c r="K80" s="279"/>
      <c r="L80" s="279"/>
      <c r="M80" s="279"/>
      <c r="N80" s="279"/>
      <c r="O80" s="279"/>
      <c r="P80" s="279"/>
      <c r="Q80" s="279"/>
      <c r="R80" s="281"/>
    </row>
    <row r="81" spans="1:18" s="78" customFormat="1" ht="19.5">
      <c r="A81" s="281"/>
      <c r="B81" s="283">
        <v>32</v>
      </c>
      <c r="C81" s="289"/>
      <c r="D81" s="279"/>
      <c r="E81" s="279"/>
      <c r="F81" s="279"/>
      <c r="G81" s="278"/>
      <c r="H81" s="279"/>
      <c r="I81" s="279"/>
      <c r="J81" s="279"/>
      <c r="K81" s="279"/>
      <c r="L81" s="279"/>
      <c r="M81" s="279"/>
      <c r="N81" s="279"/>
      <c r="O81" s="279"/>
      <c r="P81" s="279"/>
      <c r="Q81" s="279"/>
      <c r="R81" s="281"/>
    </row>
    <row r="82" spans="1:18" s="78" customFormat="1" ht="19.5">
      <c r="A82" s="281"/>
      <c r="B82" s="283">
        <v>33</v>
      </c>
      <c r="C82" s="289"/>
      <c r="D82" s="279"/>
      <c r="E82" s="279"/>
      <c r="F82" s="279"/>
      <c r="G82" s="278"/>
      <c r="H82" s="279"/>
      <c r="I82" s="279"/>
      <c r="J82" s="279"/>
      <c r="K82" s="279"/>
      <c r="L82" s="279"/>
      <c r="M82" s="279"/>
      <c r="N82" s="279"/>
      <c r="O82" s="279"/>
      <c r="P82" s="279"/>
      <c r="Q82" s="279"/>
      <c r="R82" s="281"/>
    </row>
    <row r="83" spans="1:18" s="78" customFormat="1" ht="19.5">
      <c r="A83" s="281"/>
      <c r="B83" s="283">
        <v>34</v>
      </c>
      <c r="C83" s="289"/>
      <c r="D83" s="279"/>
      <c r="E83" s="279"/>
      <c r="F83" s="279"/>
      <c r="G83" s="278"/>
      <c r="H83" s="279"/>
      <c r="I83" s="279"/>
      <c r="J83" s="279"/>
      <c r="K83" s="279"/>
      <c r="L83" s="279"/>
      <c r="M83" s="279"/>
      <c r="N83" s="279"/>
      <c r="O83" s="279"/>
      <c r="P83" s="279"/>
      <c r="Q83" s="279"/>
      <c r="R83" s="281"/>
    </row>
    <row r="84" spans="1:18" s="78" customFormat="1" ht="19.5">
      <c r="A84" s="281"/>
      <c r="B84" s="283">
        <v>35</v>
      </c>
      <c r="C84" s="279"/>
      <c r="D84" s="279"/>
      <c r="E84" s="279"/>
      <c r="F84" s="279"/>
      <c r="G84" s="278"/>
      <c r="H84" s="279"/>
      <c r="I84" s="279"/>
      <c r="J84" s="279"/>
      <c r="K84" s="279"/>
      <c r="L84" s="279"/>
      <c r="M84" s="279"/>
      <c r="N84" s="279"/>
      <c r="O84" s="279"/>
      <c r="P84" s="279"/>
      <c r="Q84" s="279"/>
      <c r="R84" s="281"/>
    </row>
    <row r="85" spans="1:18" s="78" customFormat="1" ht="20.25" thickBot="1">
      <c r="A85" s="281"/>
      <c r="B85" s="283">
        <v>36</v>
      </c>
      <c r="C85" s="279"/>
      <c r="D85" s="279"/>
      <c r="E85" s="279"/>
      <c r="F85" s="279"/>
      <c r="G85" s="278"/>
      <c r="H85" s="279"/>
      <c r="I85" s="279"/>
      <c r="J85" s="279"/>
      <c r="K85" s="279"/>
      <c r="L85" s="279"/>
      <c r="M85" s="279"/>
      <c r="N85" s="279"/>
      <c r="O85" s="279"/>
      <c r="P85" s="279"/>
      <c r="Q85" s="279"/>
      <c r="R85" s="281"/>
    </row>
    <row r="86" spans="1:18" ht="27.75" thickBot="1">
      <c r="A86" s="291"/>
      <c r="B86" s="292" t="s">
        <v>3</v>
      </c>
      <c r="C86" s="293">
        <f t="shared" ref="C86:Q86" si="1">SUM(C50:C85)</f>
        <v>133.84</v>
      </c>
      <c r="D86" s="294">
        <f t="shared" si="1"/>
        <v>129</v>
      </c>
      <c r="E86" s="294">
        <f t="shared" si="1"/>
        <v>0</v>
      </c>
      <c r="F86" s="294">
        <f t="shared" si="1"/>
        <v>0</v>
      </c>
      <c r="G86" s="280">
        <f t="shared" si="1"/>
        <v>0</v>
      </c>
      <c r="H86" s="294">
        <f t="shared" si="1"/>
        <v>0</v>
      </c>
      <c r="I86" s="294">
        <f t="shared" si="1"/>
        <v>0</v>
      </c>
      <c r="J86" s="294">
        <f t="shared" si="1"/>
        <v>0</v>
      </c>
      <c r="K86" s="294">
        <f t="shared" si="1"/>
        <v>0</v>
      </c>
      <c r="L86" s="294">
        <f t="shared" si="1"/>
        <v>0</v>
      </c>
      <c r="M86" s="294">
        <f t="shared" si="1"/>
        <v>0</v>
      </c>
      <c r="N86" s="294">
        <f t="shared" si="1"/>
        <v>0</v>
      </c>
      <c r="O86" s="294">
        <f t="shared" si="1"/>
        <v>0</v>
      </c>
      <c r="P86" s="294">
        <f t="shared" si="1"/>
        <v>0</v>
      </c>
      <c r="Q86" s="303">
        <f t="shared" si="1"/>
        <v>0</v>
      </c>
      <c r="R86" s="304">
        <f>SUM(C86:Q86)</f>
        <v>262.84000000000003</v>
      </c>
    </row>
    <row r="87" spans="1:18" ht="21.75" customHeight="1" thickBot="1">
      <c r="A87" s="291"/>
      <c r="B87" s="291"/>
      <c r="C87" s="2313">
        <f>SUM(C86:Q86)</f>
        <v>262.84000000000003</v>
      </c>
      <c r="D87" s="2314"/>
      <c r="E87" s="2314"/>
      <c r="F87" s="2314"/>
      <c r="G87" s="2314"/>
      <c r="H87" s="2314"/>
      <c r="I87" s="2314"/>
      <c r="J87" s="2314"/>
      <c r="K87" s="2314"/>
      <c r="L87" s="2314"/>
      <c r="M87" s="2314"/>
      <c r="N87" s="2314"/>
      <c r="O87" s="2314"/>
      <c r="P87" s="2314"/>
      <c r="Q87" s="2315"/>
      <c r="R87" s="291"/>
    </row>
    <row r="88" spans="1:18" ht="27">
      <c r="A88" s="291"/>
      <c r="B88" s="291"/>
      <c r="C88" s="295"/>
      <c r="D88" s="295"/>
      <c r="E88" s="295"/>
      <c r="F88" s="295"/>
      <c r="G88" s="296"/>
      <c r="H88" s="295"/>
      <c r="I88" s="295"/>
      <c r="J88" s="295"/>
      <c r="K88" s="295"/>
      <c r="L88" s="295"/>
      <c r="M88" s="295"/>
      <c r="N88" s="295"/>
      <c r="O88" s="295"/>
      <c r="P88" s="295"/>
      <c r="Q88" s="295"/>
      <c r="R88" s="291"/>
    </row>
    <row r="89" spans="1:18" ht="27">
      <c r="A89" s="291"/>
      <c r="B89" s="291"/>
      <c r="C89" s="295"/>
      <c r="D89" s="295"/>
      <c r="E89" s="295"/>
      <c r="F89" s="295"/>
      <c r="G89" s="296"/>
      <c r="H89" s="295"/>
      <c r="I89" s="295"/>
      <c r="J89" s="295"/>
      <c r="K89" s="295"/>
      <c r="L89" s="295"/>
      <c r="M89" s="295"/>
      <c r="N89" s="295"/>
      <c r="O89" s="295"/>
      <c r="P89" s="295"/>
      <c r="Q89" s="295"/>
      <c r="R89" s="291"/>
    </row>
    <row r="90" spans="1:18" ht="27">
      <c r="A90" s="291"/>
      <c r="B90" s="291"/>
      <c r="C90" s="295"/>
      <c r="D90" s="295"/>
      <c r="E90" s="295"/>
      <c r="F90" s="295"/>
      <c r="G90" s="296"/>
      <c r="H90" s="295"/>
      <c r="I90" s="295"/>
      <c r="J90" s="295"/>
      <c r="K90" s="295"/>
      <c r="L90" s="295"/>
      <c r="M90" s="295"/>
      <c r="N90" s="295"/>
      <c r="O90" s="295"/>
      <c r="P90" s="295"/>
      <c r="Q90" s="295"/>
      <c r="R90" s="291"/>
    </row>
  </sheetData>
  <mergeCells count="6">
    <mergeCell ref="T31:X31"/>
    <mergeCell ref="E2:O3"/>
    <mergeCell ref="C48:Q48"/>
    <mergeCell ref="C87:Q87"/>
    <mergeCell ref="C6:Q6"/>
    <mergeCell ref="C44:Q44"/>
  </mergeCells>
  <pageMargins left="0.19685039370078741" right="0.11811023622047245" top="0.31496062992125984" bottom="0.31496062992125984" header="0.31496062992125984" footer="0.31496062992125984"/>
  <pageSetup paperSize="9" scale="47" fitToHeight="0" orientation="portrait" horizontalDpi="4294967293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D6C3D-4774-4E8C-9918-94D6ED94F9C8}">
  <sheetPr codeName="Hoja23">
    <tabColor rgb="FF002060"/>
  </sheetPr>
  <dimension ref="A1:V90"/>
  <sheetViews>
    <sheetView showGridLines="0" topLeftCell="A25" zoomScale="70" zoomScaleNormal="70" zoomScaleSheetLayoutView="80" zoomScalePageLayoutView="42" workbookViewId="0">
      <selection activeCell="E36" sqref="E36"/>
    </sheetView>
  </sheetViews>
  <sheetFormatPr baseColWidth="10" defaultColWidth="14.42578125" defaultRowHeight="23.25"/>
  <cols>
    <col min="1" max="1" width="2" style="2" customWidth="1"/>
    <col min="2" max="2" width="17.7109375" style="2" customWidth="1"/>
    <col min="3" max="3" width="13.85546875" style="5" customWidth="1"/>
    <col min="4" max="4" width="15.7109375" style="5" customWidth="1"/>
    <col min="5" max="6" width="11.7109375" style="5" customWidth="1"/>
    <col min="7" max="7" width="11.7109375" style="137" customWidth="1"/>
    <col min="8" max="8" width="11.7109375" style="5" customWidth="1"/>
    <col min="9" max="9" width="12.85546875" style="5" bestFit="1" customWidth="1"/>
    <col min="10" max="13" width="12.7109375" style="5" customWidth="1"/>
    <col min="14" max="14" width="13.5703125" style="5" bestFit="1" customWidth="1"/>
    <col min="15" max="15" width="12.7109375" style="5" customWidth="1"/>
    <col min="16" max="16" width="27.85546875" style="5" customWidth="1"/>
    <col min="17" max="17" width="15.42578125" style="2" customWidth="1"/>
    <col min="18" max="18" width="25.28515625" style="2" bestFit="1" customWidth="1"/>
    <col min="19" max="19" width="28.28515625" style="2" bestFit="1" customWidth="1"/>
    <col min="20" max="20" width="10.28515625" style="2" customWidth="1"/>
    <col min="21" max="21" width="14.7109375" style="2" bestFit="1" customWidth="1"/>
    <col min="22" max="22" width="16.140625" style="2" customWidth="1"/>
    <col min="23" max="16384" width="14.42578125" style="2"/>
  </cols>
  <sheetData>
    <row r="1" spans="1:22" ht="30.75" customHeight="1">
      <c r="C1" s="3"/>
      <c r="D1" s="3"/>
      <c r="E1" s="3"/>
      <c r="F1" s="3"/>
      <c r="G1" s="136"/>
      <c r="H1" s="3"/>
      <c r="I1" s="3"/>
      <c r="J1" s="3"/>
      <c r="K1" s="3"/>
      <c r="L1" s="3"/>
      <c r="M1" s="3"/>
      <c r="N1" s="3"/>
      <c r="O1" s="300" t="s">
        <v>151</v>
      </c>
      <c r="P1" s="277">
        <f>+PP!E10</f>
        <v>46199</v>
      </c>
    </row>
    <row r="2" spans="1:22" ht="30.75" customHeight="1">
      <c r="C2" s="299"/>
      <c r="D2" s="299"/>
      <c r="E2" s="2281" t="s">
        <v>185</v>
      </c>
      <c r="F2" s="2281"/>
      <c r="G2" s="2281"/>
      <c r="H2" s="2281"/>
      <c r="I2" s="2281"/>
      <c r="J2" s="2281"/>
      <c r="K2" s="2281"/>
      <c r="L2" s="2281"/>
      <c r="M2" s="2281"/>
      <c r="N2" s="2281"/>
      <c r="O2" s="300" t="s">
        <v>418</v>
      </c>
      <c r="P2" s="301">
        <v>0.30902777777777779</v>
      </c>
      <c r="Q2" s="1193"/>
    </row>
    <row r="3" spans="1:22" ht="30.75" customHeight="1">
      <c r="C3" s="299"/>
      <c r="D3" s="299"/>
      <c r="E3" s="2281"/>
      <c r="F3" s="2281"/>
      <c r="G3" s="2281"/>
      <c r="H3" s="2281"/>
      <c r="I3" s="2281"/>
      <c r="J3" s="2281"/>
      <c r="K3" s="2281"/>
      <c r="L3" s="2281"/>
      <c r="M3" s="2281"/>
      <c r="N3" s="2281"/>
      <c r="O3" s="300" t="s">
        <v>419</v>
      </c>
      <c r="P3" s="301">
        <v>0.34027777777777779</v>
      </c>
      <c r="Q3" s="1193"/>
    </row>
    <row r="4" spans="1:22" s="45" customFormat="1" ht="20.25" customHeight="1">
      <c r="B4" s="84" t="s">
        <v>184</v>
      </c>
      <c r="H4" s="79"/>
      <c r="I4" s="79"/>
      <c r="J4" s="79"/>
      <c r="K4" s="79"/>
      <c r="L4" s="79"/>
      <c r="M4" s="79"/>
      <c r="N4" s="79"/>
      <c r="O4" s="79"/>
      <c r="P4" s="79"/>
    </row>
    <row r="5" spans="1:22" s="78" customFormat="1" ht="15.75" customHeight="1" thickBot="1">
      <c r="C5" s="297" t="s">
        <v>187</v>
      </c>
      <c r="D5" s="81" t="s">
        <v>631</v>
      </c>
      <c r="E5" s="45"/>
      <c r="F5" s="45"/>
      <c r="G5" s="45"/>
      <c r="H5" s="79"/>
      <c r="I5" s="79"/>
      <c r="J5" s="79"/>
      <c r="K5" s="79"/>
      <c r="L5" s="79"/>
      <c r="M5" s="79"/>
      <c r="N5" s="79"/>
      <c r="O5" s="298" t="s">
        <v>421</v>
      </c>
      <c r="P5" s="298" t="s">
        <v>422</v>
      </c>
    </row>
    <row r="6" spans="1:22" s="78" customFormat="1" ht="20.25" thickBot="1">
      <c r="A6" s="281"/>
      <c r="B6" s="306" t="s">
        <v>186</v>
      </c>
      <c r="C6" s="2316" t="s">
        <v>302</v>
      </c>
      <c r="D6" s="2317"/>
      <c r="E6" s="2317"/>
      <c r="F6" s="2317"/>
      <c r="G6" s="2317"/>
      <c r="H6" s="2317"/>
      <c r="I6" s="2317"/>
      <c r="J6" s="2317"/>
      <c r="K6" s="2317"/>
      <c r="L6" s="2317"/>
      <c r="M6" s="2317"/>
      <c r="N6" s="2317"/>
      <c r="O6" s="2317"/>
      <c r="P6" s="2318"/>
      <c r="Q6" s="281"/>
    </row>
    <row r="7" spans="1:22" s="78" customFormat="1" ht="24">
      <c r="A7" s="281"/>
      <c r="B7" s="371" t="s">
        <v>134</v>
      </c>
      <c r="C7" s="1634"/>
      <c r="D7" s="282"/>
      <c r="E7" s="282"/>
      <c r="F7" s="282"/>
      <c r="G7" s="282"/>
      <c r="H7" s="282"/>
      <c r="I7" s="282"/>
      <c r="J7" s="282"/>
      <c r="K7" s="419"/>
      <c r="L7" s="282"/>
      <c r="M7" s="282"/>
      <c r="N7" s="282"/>
      <c r="O7" s="282"/>
      <c r="P7" s="282"/>
      <c r="Q7" s="281"/>
      <c r="R7" s="2308" t="s">
        <v>688</v>
      </c>
      <c r="S7" s="2309"/>
      <c r="T7" s="2309"/>
      <c r="U7" s="2309"/>
      <c r="V7" s="2310"/>
    </row>
    <row r="8" spans="1:22" s="78" customFormat="1" ht="24">
      <c r="A8" s="281"/>
      <c r="B8" s="283">
        <v>1</v>
      </c>
      <c r="C8" s="1635"/>
      <c r="D8" s="285"/>
      <c r="E8" s="285"/>
      <c r="F8" s="285"/>
      <c r="G8" s="284"/>
      <c r="H8" s="285"/>
      <c r="I8" s="285"/>
      <c r="J8" s="415"/>
      <c r="K8" s="421"/>
      <c r="L8" s="417"/>
      <c r="M8" s="285"/>
      <c r="N8" s="285"/>
      <c r="O8" s="285"/>
      <c r="P8" s="285"/>
      <c r="Q8" s="281"/>
      <c r="R8" s="1645" t="s">
        <v>686</v>
      </c>
      <c r="S8" s="1638" t="s">
        <v>144</v>
      </c>
      <c r="T8" s="1638" t="s">
        <v>9</v>
      </c>
      <c r="U8" s="1638" t="s">
        <v>687</v>
      </c>
      <c r="V8" s="1646" t="s">
        <v>146</v>
      </c>
    </row>
    <row r="9" spans="1:22" s="78" customFormat="1" ht="24">
      <c r="A9" s="281"/>
      <c r="B9" s="283">
        <v>2</v>
      </c>
      <c r="C9" s="1635"/>
      <c r="D9" s="379"/>
      <c r="E9" s="379"/>
      <c r="F9" s="379"/>
      <c r="G9" s="378"/>
      <c r="H9" s="379"/>
      <c r="I9" s="379"/>
      <c r="J9" s="416"/>
      <c r="K9" s="421"/>
      <c r="L9" s="418"/>
      <c r="M9" s="379"/>
      <c r="N9" s="379"/>
      <c r="O9" s="379"/>
      <c r="P9" s="285"/>
      <c r="Q9" s="281"/>
      <c r="R9" s="1647" t="s">
        <v>302</v>
      </c>
      <c r="S9" s="1639" t="str">
        <f>'RE-COS'!L82</f>
        <v>BVM-831</v>
      </c>
      <c r="T9" s="1640">
        <f>+Q43</f>
        <v>0</v>
      </c>
      <c r="U9" s="1641">
        <f>'RE-COS'!N82</f>
        <v>420</v>
      </c>
      <c r="V9" s="1648">
        <f>+T9*U9/1000</f>
        <v>0</v>
      </c>
    </row>
    <row r="10" spans="1:22" s="78" customFormat="1" ht="24">
      <c r="A10" s="281"/>
      <c r="B10" s="283">
        <v>3</v>
      </c>
      <c r="C10" s="1635"/>
      <c r="D10" s="379"/>
      <c r="E10" s="379"/>
      <c r="F10" s="379"/>
      <c r="G10" s="378"/>
      <c r="H10" s="379"/>
      <c r="I10" s="379"/>
      <c r="J10" s="416"/>
      <c r="K10" s="421"/>
      <c r="L10" s="418"/>
      <c r="M10" s="379"/>
      <c r="N10" s="379"/>
      <c r="O10" s="379"/>
      <c r="P10" s="285"/>
      <c r="Q10" s="281"/>
      <c r="R10" s="1654" t="s">
        <v>3</v>
      </c>
      <c r="S10" s="1642"/>
      <c r="T10" s="1655">
        <f>+Q44</f>
        <v>0</v>
      </c>
      <c r="U10" s="1643"/>
      <c r="V10" s="1656">
        <f>'RE-COS'!O83</f>
        <v>0</v>
      </c>
    </row>
    <row r="11" spans="1:22" s="78" customFormat="1" ht="19.5">
      <c r="A11" s="281"/>
      <c r="B11" s="283">
        <v>4</v>
      </c>
      <c r="C11" s="1635"/>
      <c r="D11" s="379"/>
      <c r="E11" s="379"/>
      <c r="F11" s="379"/>
      <c r="G11" s="378"/>
      <c r="H11" s="379"/>
      <c r="I11" s="379"/>
      <c r="J11" s="416"/>
      <c r="K11" s="421"/>
      <c r="L11" s="418"/>
      <c r="M11" s="379"/>
      <c r="N11" s="379"/>
      <c r="O11" s="379"/>
      <c r="P11" s="285"/>
      <c r="Q11" s="281"/>
      <c r="R11" s="80"/>
    </row>
    <row r="12" spans="1:22" s="78" customFormat="1" ht="19.5">
      <c r="A12" s="281"/>
      <c r="B12" s="283">
        <v>5</v>
      </c>
      <c r="C12" s="1635"/>
      <c r="D12" s="379"/>
      <c r="E12" s="379"/>
      <c r="F12" s="379"/>
      <c r="G12" s="378"/>
      <c r="H12" s="379"/>
      <c r="I12" s="379"/>
      <c r="J12" s="416"/>
      <c r="K12" s="421"/>
      <c r="L12" s="418"/>
      <c r="M12" s="379"/>
      <c r="N12" s="379"/>
      <c r="O12" s="379"/>
      <c r="P12" s="285"/>
      <c r="Q12" s="281"/>
      <c r="R12" s="80"/>
    </row>
    <row r="13" spans="1:22" s="78" customFormat="1" ht="23.25" customHeight="1">
      <c r="A13" s="281"/>
      <c r="B13" s="283">
        <v>6</v>
      </c>
      <c r="C13" s="1635"/>
      <c r="D13" s="379"/>
      <c r="E13" s="379"/>
      <c r="F13" s="379"/>
      <c r="G13" s="378"/>
      <c r="H13" s="379"/>
      <c r="I13" s="379"/>
      <c r="J13" s="416"/>
      <c r="K13" s="421"/>
      <c r="L13" s="418"/>
      <c r="M13" s="379"/>
      <c r="N13" s="379"/>
      <c r="O13" s="379"/>
      <c r="P13" s="285"/>
      <c r="Q13" s="281"/>
      <c r="R13"/>
      <c r="S13"/>
      <c r="T13"/>
      <c r="U13"/>
      <c r="V13"/>
    </row>
    <row r="14" spans="1:22" s="78" customFormat="1" ht="23.25" customHeight="1">
      <c r="A14" s="281"/>
      <c r="B14" s="283">
        <v>7</v>
      </c>
      <c r="C14" s="1635"/>
      <c r="D14" s="379"/>
      <c r="E14" s="379"/>
      <c r="F14" s="379"/>
      <c r="G14" s="378"/>
      <c r="H14" s="379"/>
      <c r="I14" s="379"/>
      <c r="J14" s="379"/>
      <c r="K14" s="420"/>
      <c r="L14" s="379"/>
      <c r="M14" s="379"/>
      <c r="N14" s="379"/>
      <c r="O14" s="285"/>
      <c r="P14" s="285"/>
      <c r="Q14" s="281"/>
    </row>
    <row r="15" spans="1:22" s="78" customFormat="1" ht="23.25" customHeight="1">
      <c r="A15" s="281"/>
      <c r="B15" s="283">
        <v>8</v>
      </c>
      <c r="C15" s="1635"/>
      <c r="D15" s="379"/>
      <c r="E15" s="379"/>
      <c r="F15" s="379"/>
      <c r="G15" s="378"/>
      <c r="H15" s="379"/>
      <c r="I15" s="379"/>
      <c r="J15" s="379"/>
      <c r="K15" s="379"/>
      <c r="L15" s="379"/>
      <c r="M15" s="379"/>
      <c r="N15" s="379"/>
      <c r="O15" s="285"/>
      <c r="P15" s="285"/>
      <c r="Q15" s="281"/>
    </row>
    <row r="16" spans="1:22" s="78" customFormat="1" ht="23.25" customHeight="1">
      <c r="A16" s="281"/>
      <c r="B16" s="283">
        <v>9</v>
      </c>
      <c r="C16" s="1635"/>
      <c r="D16" s="379"/>
      <c r="E16" s="379"/>
      <c r="F16" s="379"/>
      <c r="G16" s="378"/>
      <c r="H16" s="379"/>
      <c r="I16" s="379"/>
      <c r="J16" s="379"/>
      <c r="K16" s="379"/>
      <c r="L16" s="379"/>
      <c r="M16" s="379"/>
      <c r="N16" s="379"/>
      <c r="O16" s="285"/>
      <c r="P16" s="285"/>
      <c r="Q16" s="281"/>
    </row>
    <row r="17" spans="1:17" s="78" customFormat="1" ht="23.25" customHeight="1">
      <c r="A17" s="281"/>
      <c r="B17" s="283">
        <v>10</v>
      </c>
      <c r="C17" s="1635"/>
      <c r="D17" s="379"/>
      <c r="E17" s="379"/>
      <c r="F17" s="379"/>
      <c r="G17" s="378"/>
      <c r="H17" s="379"/>
      <c r="I17" s="379"/>
      <c r="J17" s="379"/>
      <c r="K17" s="379"/>
      <c r="L17" s="379"/>
      <c r="M17" s="379"/>
      <c r="N17" s="379"/>
      <c r="O17" s="285"/>
      <c r="P17" s="285"/>
      <c r="Q17" s="281"/>
    </row>
    <row r="18" spans="1:17" s="78" customFormat="1" ht="23.25" customHeight="1">
      <c r="A18" s="281"/>
      <c r="B18" s="283">
        <v>11</v>
      </c>
      <c r="C18" s="1635"/>
      <c r="D18" s="379"/>
      <c r="E18" s="379"/>
      <c r="F18" s="379"/>
      <c r="G18" s="378"/>
      <c r="H18" s="379"/>
      <c r="I18" s="379"/>
      <c r="J18" s="379"/>
      <c r="K18" s="379"/>
      <c r="L18" s="379"/>
      <c r="M18" s="379"/>
      <c r="N18" s="379"/>
      <c r="O18" s="285"/>
      <c r="P18" s="285"/>
      <c r="Q18" s="281"/>
    </row>
    <row r="19" spans="1:17" s="78" customFormat="1" ht="23.25" customHeight="1">
      <c r="A19" s="281"/>
      <c r="B19" s="283">
        <v>12</v>
      </c>
      <c r="C19" s="1635"/>
      <c r="D19" s="379"/>
      <c r="E19" s="379"/>
      <c r="F19" s="379"/>
      <c r="G19" s="378"/>
      <c r="H19" s="379"/>
      <c r="I19" s="379"/>
      <c r="J19" s="379"/>
      <c r="K19" s="379"/>
      <c r="L19" s="379"/>
      <c r="M19" s="379"/>
      <c r="N19" s="379"/>
      <c r="O19" s="285"/>
      <c r="P19" s="285"/>
      <c r="Q19" s="281"/>
    </row>
    <row r="20" spans="1:17" s="78" customFormat="1" ht="23.25" customHeight="1">
      <c r="A20" s="281"/>
      <c r="B20" s="283">
        <v>13</v>
      </c>
      <c r="C20" s="1635"/>
      <c r="D20" s="1126"/>
      <c r="E20" s="1126"/>
      <c r="F20" s="1126"/>
      <c r="G20" s="1125"/>
      <c r="H20" s="1126"/>
      <c r="I20" s="1126"/>
      <c r="J20" s="1126"/>
      <c r="K20" s="1126"/>
      <c r="L20" s="1126"/>
      <c r="M20" s="1126"/>
      <c r="N20" s="1126"/>
      <c r="O20" s="1127"/>
      <c r="P20" s="1127"/>
      <c r="Q20" s="281"/>
    </row>
    <row r="21" spans="1:17" s="78" customFormat="1" ht="23.25" customHeight="1">
      <c r="A21" s="281"/>
      <c r="B21" s="283">
        <v>14</v>
      </c>
      <c r="C21" s="1635"/>
      <c r="D21" s="421"/>
      <c r="E21" s="421"/>
      <c r="F21" s="421"/>
      <c r="G21" s="1128"/>
      <c r="H21" s="421"/>
      <c r="I21" s="421"/>
      <c r="J21" s="421"/>
      <c r="K21" s="421"/>
      <c r="L21" s="421"/>
      <c r="M21" s="421"/>
      <c r="N21" s="421"/>
      <c r="O21" s="1129"/>
      <c r="P21" s="1129"/>
      <c r="Q21" s="281"/>
    </row>
    <row r="22" spans="1:17" s="78" customFormat="1" ht="23.25" customHeight="1">
      <c r="A22" s="281"/>
      <c r="B22" s="283">
        <v>15</v>
      </c>
      <c r="C22" s="1635"/>
      <c r="D22" s="421"/>
      <c r="E22" s="421"/>
      <c r="F22" s="421"/>
      <c r="G22" s="1128"/>
      <c r="H22" s="421"/>
      <c r="I22" s="421"/>
      <c r="J22" s="421"/>
      <c r="K22" s="421"/>
      <c r="L22" s="421"/>
      <c r="M22" s="421"/>
      <c r="N22" s="421"/>
      <c r="O22" s="1129"/>
      <c r="P22" s="1129"/>
      <c r="Q22" s="281"/>
    </row>
    <row r="23" spans="1:17" s="78" customFormat="1" ht="23.25" customHeight="1">
      <c r="A23" s="281"/>
      <c r="B23" s="283">
        <v>16</v>
      </c>
      <c r="C23" s="1635"/>
      <c r="D23" s="421"/>
      <c r="E23" s="421"/>
      <c r="F23" s="421"/>
      <c r="G23" s="1128"/>
      <c r="H23" s="421"/>
      <c r="I23" s="421"/>
      <c r="J23" s="421"/>
      <c r="K23" s="421"/>
      <c r="L23" s="421"/>
      <c r="M23" s="421"/>
      <c r="N23" s="421"/>
      <c r="O23" s="1129"/>
      <c r="P23" s="1129"/>
      <c r="Q23" s="281"/>
    </row>
    <row r="24" spans="1:17" s="78" customFormat="1" ht="23.25" customHeight="1">
      <c r="A24" s="281"/>
      <c r="B24" s="283">
        <v>17</v>
      </c>
      <c r="C24" s="1208"/>
      <c r="D24" s="421"/>
      <c r="E24" s="421"/>
      <c r="F24" s="421"/>
      <c r="G24" s="1128"/>
      <c r="H24" s="421"/>
      <c r="I24" s="421"/>
      <c r="J24" s="421"/>
      <c r="K24" s="421"/>
      <c r="L24" s="421"/>
      <c r="M24" s="421"/>
      <c r="N24" s="421"/>
      <c r="O24" s="1129"/>
      <c r="P24" s="1129"/>
      <c r="Q24" s="281"/>
    </row>
    <row r="25" spans="1:17" s="78" customFormat="1" ht="23.25" customHeight="1">
      <c r="A25" s="281"/>
      <c r="B25" s="283">
        <v>18</v>
      </c>
      <c r="C25" s="1208"/>
      <c r="D25" s="421"/>
      <c r="E25" s="421"/>
      <c r="F25" s="421"/>
      <c r="G25" s="1128"/>
      <c r="H25" s="421"/>
      <c r="I25" s="421"/>
      <c r="J25" s="421"/>
      <c r="K25" s="421"/>
      <c r="L25" s="421"/>
      <c r="M25" s="421"/>
      <c r="N25" s="421"/>
      <c r="O25" s="1129"/>
      <c r="P25" s="1129"/>
      <c r="Q25" s="281"/>
    </row>
    <row r="26" spans="1:17" s="78" customFormat="1" ht="23.25" customHeight="1">
      <c r="A26" s="281"/>
      <c r="B26" s="283">
        <v>19</v>
      </c>
      <c r="C26" s="1208"/>
      <c r="D26" s="421"/>
      <c r="E26" s="421"/>
      <c r="F26" s="421"/>
      <c r="G26" s="1128"/>
      <c r="H26" s="421"/>
      <c r="I26" s="421"/>
      <c r="J26" s="421"/>
      <c r="K26" s="421"/>
      <c r="L26" s="421"/>
      <c r="M26" s="421"/>
      <c r="N26" s="421"/>
      <c r="O26" s="1129"/>
      <c r="P26" s="1129"/>
      <c r="Q26" s="281"/>
    </row>
    <row r="27" spans="1:17" s="78" customFormat="1" ht="23.25" customHeight="1">
      <c r="A27" s="281"/>
      <c r="B27" s="283">
        <v>20</v>
      </c>
      <c r="C27" s="1208"/>
      <c r="D27" s="421"/>
      <c r="E27" s="421"/>
      <c r="F27" s="421"/>
      <c r="G27" s="1128"/>
      <c r="H27" s="421"/>
      <c r="I27" s="421"/>
      <c r="J27" s="421"/>
      <c r="K27" s="421"/>
      <c r="L27" s="421"/>
      <c r="M27" s="421"/>
      <c r="N27" s="421"/>
      <c r="O27" s="1129"/>
      <c r="P27" s="1129"/>
      <c r="Q27" s="281"/>
    </row>
    <row r="28" spans="1:17" s="78" customFormat="1" ht="23.25" customHeight="1">
      <c r="A28" s="281"/>
      <c r="B28" s="283">
        <v>21</v>
      </c>
      <c r="C28" s="1208"/>
      <c r="D28" s="421"/>
      <c r="E28" s="421"/>
      <c r="F28" s="421"/>
      <c r="G28" s="1128"/>
      <c r="H28" s="421"/>
      <c r="I28" s="421"/>
      <c r="J28" s="421"/>
      <c r="K28" s="421"/>
      <c r="L28" s="421"/>
      <c r="M28" s="421"/>
      <c r="N28" s="421"/>
      <c r="O28" s="1129"/>
      <c r="P28" s="1129"/>
      <c r="Q28" s="281"/>
    </row>
    <row r="29" spans="1:17" s="78" customFormat="1" ht="23.25" customHeight="1">
      <c r="A29" s="281"/>
      <c r="B29" s="283">
        <v>22</v>
      </c>
      <c r="C29" s="1208"/>
      <c r="D29" s="421"/>
      <c r="E29" s="421"/>
      <c r="F29" s="421"/>
      <c r="G29" s="1128"/>
      <c r="H29" s="421"/>
      <c r="I29" s="421"/>
      <c r="J29" s="421"/>
      <c r="K29" s="421"/>
      <c r="L29" s="421"/>
      <c r="M29" s="421"/>
      <c r="N29" s="421"/>
      <c r="O29" s="1129"/>
      <c r="P29" s="1129"/>
      <c r="Q29" s="281"/>
    </row>
    <row r="30" spans="1:17" s="78" customFormat="1" ht="23.25" customHeight="1">
      <c r="A30" s="281"/>
      <c r="B30" s="283">
        <v>23</v>
      </c>
      <c r="C30" s="1208"/>
      <c r="D30" s="421"/>
      <c r="E30" s="421"/>
      <c r="F30" s="421"/>
      <c r="G30" s="1128"/>
      <c r="H30" s="421"/>
      <c r="I30" s="421"/>
      <c r="J30" s="421"/>
      <c r="K30" s="421"/>
      <c r="L30" s="421"/>
      <c r="M30" s="421"/>
      <c r="N30" s="421"/>
      <c r="O30" s="1129"/>
      <c r="P30" s="1129"/>
      <c r="Q30" s="281"/>
    </row>
    <row r="31" spans="1:17" s="78" customFormat="1" ht="23.25" customHeight="1">
      <c r="A31" s="281"/>
      <c r="B31" s="283">
        <v>24</v>
      </c>
      <c r="C31" s="1208"/>
      <c r="D31" s="421"/>
      <c r="E31" s="421"/>
      <c r="F31" s="421"/>
      <c r="G31" s="1128"/>
      <c r="H31" s="421"/>
      <c r="I31" s="421"/>
      <c r="J31" s="421"/>
      <c r="K31" s="421"/>
      <c r="L31" s="421"/>
      <c r="M31" s="421"/>
      <c r="N31" s="421"/>
      <c r="O31" s="1129"/>
      <c r="P31" s="1129"/>
      <c r="Q31" s="281"/>
    </row>
    <row r="32" spans="1:17" s="78" customFormat="1" ht="23.25" customHeight="1">
      <c r="A32" s="281"/>
      <c r="B32" s="283">
        <v>25</v>
      </c>
      <c r="C32" s="1208"/>
      <c r="D32" s="421"/>
      <c r="E32" s="421"/>
      <c r="F32" s="421"/>
      <c r="G32" s="1128"/>
      <c r="H32" s="421"/>
      <c r="I32" s="421"/>
      <c r="J32" s="421"/>
      <c r="K32" s="421"/>
      <c r="L32" s="421"/>
      <c r="M32" s="421"/>
      <c r="N32" s="421"/>
      <c r="O32" s="1129"/>
      <c r="P32" s="1129"/>
      <c r="Q32" s="281"/>
    </row>
    <row r="33" spans="1:17" s="78" customFormat="1" ht="23.25" customHeight="1">
      <c r="A33" s="281"/>
      <c r="B33" s="283">
        <v>26</v>
      </c>
      <c r="C33" s="1208"/>
      <c r="D33" s="421"/>
      <c r="E33" s="421"/>
      <c r="F33" s="421"/>
      <c r="G33" s="1128"/>
      <c r="H33" s="421"/>
      <c r="I33" s="421"/>
      <c r="J33" s="421"/>
      <c r="K33" s="421"/>
      <c r="L33" s="421"/>
      <c r="M33" s="421"/>
      <c r="N33" s="421"/>
      <c r="O33" s="1129"/>
      <c r="P33" s="1129"/>
      <c r="Q33" s="281"/>
    </row>
    <row r="34" spans="1:17" s="78" customFormat="1" ht="23.25" customHeight="1">
      <c r="A34" s="281"/>
      <c r="B34" s="283">
        <v>27</v>
      </c>
      <c r="C34" s="421"/>
      <c r="D34" s="421"/>
      <c r="E34" s="421"/>
      <c r="F34" s="421"/>
      <c r="G34" s="1128"/>
      <c r="H34" s="421"/>
      <c r="I34" s="421"/>
      <c r="J34" s="421"/>
      <c r="K34" s="421"/>
      <c r="L34" s="421"/>
      <c r="M34" s="421"/>
      <c r="N34" s="421"/>
      <c r="O34" s="1129"/>
      <c r="P34" s="1129"/>
      <c r="Q34" s="281"/>
    </row>
    <row r="35" spans="1:17" s="78" customFormat="1" ht="23.25" customHeight="1">
      <c r="A35" s="281"/>
      <c r="B35" s="283">
        <v>28</v>
      </c>
      <c r="C35" s="421"/>
      <c r="D35" s="421"/>
      <c r="E35" s="421"/>
      <c r="F35" s="421"/>
      <c r="G35" s="1128"/>
      <c r="H35" s="421"/>
      <c r="I35" s="421"/>
      <c r="J35" s="421"/>
      <c r="K35" s="421"/>
      <c r="L35" s="421"/>
      <c r="M35" s="421"/>
      <c r="N35" s="421"/>
      <c r="O35" s="1129"/>
      <c r="P35" s="1129"/>
      <c r="Q35" s="281"/>
    </row>
    <row r="36" spans="1:17" s="78" customFormat="1" ht="23.25" customHeight="1">
      <c r="A36" s="281"/>
      <c r="B36" s="283">
        <v>29</v>
      </c>
      <c r="C36" s="421"/>
      <c r="D36" s="421"/>
      <c r="E36" s="421"/>
      <c r="F36" s="421"/>
      <c r="G36" s="1128"/>
      <c r="H36" s="421"/>
      <c r="I36" s="421"/>
      <c r="J36" s="421"/>
      <c r="K36" s="421"/>
      <c r="L36" s="421"/>
      <c r="M36" s="421"/>
      <c r="N36" s="421"/>
      <c r="O36" s="1129"/>
      <c r="P36" s="1129"/>
      <c r="Q36" s="281"/>
    </row>
    <row r="37" spans="1:17" s="78" customFormat="1" ht="23.25" customHeight="1">
      <c r="A37" s="281"/>
      <c r="B37" s="283">
        <v>30</v>
      </c>
      <c r="C37" s="421"/>
      <c r="D37" s="421"/>
      <c r="E37" s="421"/>
      <c r="F37" s="421"/>
      <c r="G37" s="1128"/>
      <c r="H37" s="421"/>
      <c r="I37" s="421"/>
      <c r="J37" s="421"/>
      <c r="K37" s="421"/>
      <c r="L37" s="421"/>
      <c r="M37" s="421"/>
      <c r="N37" s="421"/>
      <c r="O37" s="1129"/>
      <c r="P37" s="1129"/>
      <c r="Q37" s="281"/>
    </row>
    <row r="38" spans="1:17" s="78" customFormat="1" ht="23.25" customHeight="1">
      <c r="A38" s="281"/>
      <c r="B38" s="283">
        <v>31</v>
      </c>
      <c r="C38" s="279"/>
      <c r="D38" s="279"/>
      <c r="E38" s="279"/>
      <c r="F38" s="279"/>
      <c r="G38" s="278"/>
      <c r="H38" s="279"/>
      <c r="I38" s="279"/>
      <c r="J38" s="279"/>
      <c r="K38" s="279"/>
      <c r="L38" s="279"/>
      <c r="M38" s="279"/>
      <c r="N38" s="279"/>
      <c r="O38" s="279"/>
      <c r="P38" s="279"/>
      <c r="Q38" s="281"/>
    </row>
    <row r="39" spans="1:17" s="78" customFormat="1" ht="23.25" customHeight="1">
      <c r="A39" s="281"/>
      <c r="B39" s="283">
        <v>32</v>
      </c>
      <c r="C39" s="279"/>
      <c r="D39" s="279"/>
      <c r="E39" s="279"/>
      <c r="F39" s="279"/>
      <c r="G39" s="278"/>
      <c r="H39" s="279"/>
      <c r="I39" s="279"/>
      <c r="J39" s="279"/>
      <c r="K39" s="279"/>
      <c r="L39" s="279"/>
      <c r="M39" s="279"/>
      <c r="N39" s="279"/>
      <c r="O39" s="279"/>
      <c r="P39" s="279"/>
      <c r="Q39" s="281"/>
    </row>
    <row r="40" spans="1:17" s="78" customFormat="1" ht="21.75" customHeight="1">
      <c r="A40" s="281"/>
      <c r="B40" s="283">
        <v>33</v>
      </c>
      <c r="C40" s="279"/>
      <c r="D40" s="279"/>
      <c r="E40" s="279"/>
      <c r="F40" s="279"/>
      <c r="G40" s="278"/>
      <c r="H40" s="279"/>
      <c r="I40" s="279"/>
      <c r="J40" s="279"/>
      <c r="K40" s="279"/>
      <c r="L40" s="279"/>
      <c r="M40" s="279"/>
      <c r="N40" s="279"/>
      <c r="O40" s="279"/>
      <c r="P40" s="279"/>
      <c r="Q40" s="281"/>
    </row>
    <row r="41" spans="1:17" s="78" customFormat="1" ht="23.25" customHeight="1">
      <c r="A41" s="281"/>
      <c r="B41" s="283">
        <v>34</v>
      </c>
      <c r="C41" s="279"/>
      <c r="D41" s="279"/>
      <c r="E41" s="279"/>
      <c r="F41" s="279"/>
      <c r="G41" s="278"/>
      <c r="H41" s="279"/>
      <c r="I41" s="279"/>
      <c r="J41" s="279"/>
      <c r="K41" s="279"/>
      <c r="L41" s="279"/>
      <c r="M41" s="279"/>
      <c r="N41" s="279"/>
      <c r="O41" s="279"/>
      <c r="P41" s="279"/>
      <c r="Q41" s="281"/>
    </row>
    <row r="42" spans="1:17" s="78" customFormat="1" ht="23.25" customHeight="1" thickBot="1">
      <c r="A42" s="281"/>
      <c r="B42" s="283">
        <v>35</v>
      </c>
      <c r="C42" s="279"/>
      <c r="D42" s="279"/>
      <c r="E42" s="279"/>
      <c r="F42" s="279"/>
      <c r="G42" s="278"/>
      <c r="H42" s="279"/>
      <c r="I42" s="279"/>
      <c r="J42" s="279"/>
      <c r="K42" s="279"/>
      <c r="L42" s="279"/>
      <c r="M42" s="279"/>
      <c r="N42" s="279"/>
      <c r="O42" s="279"/>
      <c r="P42" s="279"/>
      <c r="Q42" s="281"/>
    </row>
    <row r="43" spans="1:17" s="78" customFormat="1" ht="23.25" customHeight="1" thickBot="1">
      <c r="A43" s="281"/>
      <c r="B43" s="286" t="s">
        <v>3</v>
      </c>
      <c r="C43" s="392">
        <f t="shared" ref="C43:P43" si="0">SUM(C8:C42)</f>
        <v>0</v>
      </c>
      <c r="D43" s="392">
        <f t="shared" si="0"/>
        <v>0</v>
      </c>
      <c r="E43" s="392">
        <f t="shared" si="0"/>
        <v>0</v>
      </c>
      <c r="F43" s="392">
        <f t="shared" si="0"/>
        <v>0</v>
      </c>
      <c r="G43" s="392">
        <f t="shared" si="0"/>
        <v>0</v>
      </c>
      <c r="H43" s="392">
        <f t="shared" si="0"/>
        <v>0</v>
      </c>
      <c r="I43" s="392">
        <f t="shared" si="0"/>
        <v>0</v>
      </c>
      <c r="J43" s="392">
        <f t="shared" si="0"/>
        <v>0</v>
      </c>
      <c r="K43" s="392">
        <f t="shared" si="0"/>
        <v>0</v>
      </c>
      <c r="L43" s="392">
        <f t="shared" si="0"/>
        <v>0</v>
      </c>
      <c r="M43" s="392">
        <f t="shared" si="0"/>
        <v>0</v>
      </c>
      <c r="N43" s="392">
        <f t="shared" si="0"/>
        <v>0</v>
      </c>
      <c r="O43" s="392">
        <f t="shared" si="0"/>
        <v>0</v>
      </c>
      <c r="P43" s="305">
        <f t="shared" si="0"/>
        <v>0</v>
      </c>
      <c r="Q43" s="393">
        <f>SUM(C43:P43)</f>
        <v>0</v>
      </c>
    </row>
    <row r="44" spans="1:17" s="78" customFormat="1" ht="21.75" customHeight="1" thickBot="1">
      <c r="A44" s="281"/>
      <c r="B44" s="281"/>
      <c r="C44" s="2313">
        <f>SUM(C43:P43)</f>
        <v>0</v>
      </c>
      <c r="D44" s="2314"/>
      <c r="E44" s="2314"/>
      <c r="F44" s="2314"/>
      <c r="G44" s="2314"/>
      <c r="H44" s="2314"/>
      <c r="I44" s="2314"/>
      <c r="J44" s="2314"/>
      <c r="K44" s="2314"/>
      <c r="L44" s="2314"/>
      <c r="M44" s="2314"/>
      <c r="N44" s="2314"/>
      <c r="O44" s="2314"/>
      <c r="P44" s="2315"/>
      <c r="Q44" s="281"/>
    </row>
    <row r="45" spans="1:17" s="78" customFormat="1" ht="19.5">
      <c r="A45" s="281"/>
      <c r="B45" s="281"/>
      <c r="C45" s="287"/>
      <c r="D45" s="287"/>
      <c r="E45" s="287"/>
      <c r="F45" s="287"/>
      <c r="G45" s="288"/>
      <c r="H45" s="287"/>
      <c r="I45" s="287"/>
      <c r="J45" s="287"/>
      <c r="K45" s="287"/>
      <c r="L45" s="287"/>
      <c r="M45" s="287"/>
      <c r="N45" s="287"/>
      <c r="O45" s="287"/>
      <c r="P45" s="287"/>
      <c r="Q45" s="281"/>
    </row>
    <row r="46" spans="1:17" s="78" customFormat="1" ht="19.5">
      <c r="A46" s="281"/>
      <c r="B46" s="281"/>
      <c r="C46" s="287"/>
      <c r="D46" s="287"/>
      <c r="E46" s="287"/>
      <c r="F46" s="287"/>
      <c r="G46" s="288"/>
      <c r="H46" s="287"/>
      <c r="I46" s="287"/>
      <c r="J46" s="287"/>
      <c r="K46" s="287"/>
      <c r="L46" s="287"/>
      <c r="M46" s="287"/>
      <c r="N46" s="287"/>
      <c r="O46" s="287"/>
      <c r="P46" s="287"/>
      <c r="Q46" s="281"/>
    </row>
    <row r="47" spans="1:17" s="78" customFormat="1" ht="20.25" thickBot="1">
      <c r="A47" s="281"/>
      <c r="B47" s="281"/>
      <c r="C47" s="287"/>
      <c r="D47" s="287"/>
      <c r="E47" s="287"/>
      <c r="F47" s="287"/>
      <c r="G47" s="288"/>
      <c r="H47" s="287"/>
      <c r="I47" s="287"/>
      <c r="J47" s="287"/>
      <c r="K47" s="287"/>
      <c r="L47" s="287"/>
      <c r="M47" s="287"/>
      <c r="N47" s="287"/>
      <c r="O47" s="287"/>
      <c r="P47" s="287"/>
      <c r="Q47" s="281"/>
    </row>
    <row r="48" spans="1:17" s="78" customFormat="1" ht="20.25" thickBot="1">
      <c r="A48" s="281"/>
      <c r="B48" s="377" t="s">
        <v>186</v>
      </c>
      <c r="C48" s="2311" t="s">
        <v>380</v>
      </c>
      <c r="D48" s="2311"/>
      <c r="E48" s="2311"/>
      <c r="F48" s="2311"/>
      <c r="G48" s="2311"/>
      <c r="H48" s="2311"/>
      <c r="I48" s="2311"/>
      <c r="J48" s="2311"/>
      <c r="K48" s="2311"/>
      <c r="L48" s="2311"/>
      <c r="M48" s="2311"/>
      <c r="N48" s="2311"/>
      <c r="O48" s="2311"/>
      <c r="P48" s="2312"/>
      <c r="Q48" s="281"/>
    </row>
    <row r="49" spans="1:17" s="78" customFormat="1" ht="19.5">
      <c r="A49" s="281"/>
      <c r="B49" s="372" t="s">
        <v>134</v>
      </c>
      <c r="C49" s="373" t="s">
        <v>609</v>
      </c>
      <c r="D49" s="373" t="s">
        <v>610</v>
      </c>
      <c r="E49" s="375"/>
      <c r="F49" s="374"/>
      <c r="G49" s="376"/>
      <c r="H49" s="374"/>
      <c r="I49" s="375"/>
      <c r="J49" s="375"/>
      <c r="K49" s="375"/>
      <c r="L49" s="375"/>
      <c r="M49" s="375"/>
      <c r="N49" s="374"/>
      <c r="O49" s="374"/>
      <c r="P49" s="374"/>
      <c r="Q49" s="281"/>
    </row>
    <row r="50" spans="1:17" s="78" customFormat="1" ht="19.5">
      <c r="A50" s="281"/>
      <c r="B50" s="283">
        <v>1</v>
      </c>
      <c r="C50" s="1191"/>
      <c r="D50" s="1192"/>
      <c r="E50" s="283"/>
      <c r="F50" s="283"/>
      <c r="G50" s="290"/>
      <c r="H50" s="283"/>
      <c r="I50" s="283"/>
      <c r="J50" s="283"/>
      <c r="K50" s="283"/>
      <c r="L50" s="283"/>
      <c r="M50" s="283"/>
      <c r="N50" s="283"/>
      <c r="O50" s="283"/>
      <c r="P50" s="283"/>
      <c r="Q50" s="281"/>
    </row>
    <row r="51" spans="1:17" s="78" customFormat="1" ht="19.5">
      <c r="A51" s="281"/>
      <c r="B51" s="283">
        <v>2</v>
      </c>
      <c r="C51" s="1191"/>
      <c r="D51" s="1192"/>
      <c r="E51" s="283"/>
      <c r="F51" s="283"/>
      <c r="G51" s="290"/>
      <c r="H51" s="283"/>
      <c r="I51" s="283"/>
      <c r="J51" s="283"/>
      <c r="K51" s="283"/>
      <c r="L51" s="283"/>
      <c r="M51" s="283"/>
      <c r="N51" s="283"/>
      <c r="O51" s="283"/>
      <c r="P51" s="283"/>
      <c r="Q51" s="281"/>
    </row>
    <row r="52" spans="1:17" s="78" customFormat="1" ht="19.5">
      <c r="A52" s="281"/>
      <c r="B52" s="283">
        <v>3</v>
      </c>
      <c r="C52" s="1191"/>
      <c r="D52" s="1192"/>
      <c r="E52" s="283"/>
      <c r="F52" s="279"/>
      <c r="G52" s="278"/>
      <c r="H52" s="279"/>
      <c r="I52" s="279"/>
      <c r="J52" s="279"/>
      <c r="K52" s="279"/>
      <c r="L52" s="279"/>
      <c r="M52" s="279"/>
      <c r="N52" s="279"/>
      <c r="O52" s="279"/>
      <c r="P52" s="279"/>
      <c r="Q52" s="281"/>
    </row>
    <row r="53" spans="1:17" s="78" customFormat="1" ht="19.5">
      <c r="A53" s="281"/>
      <c r="B53" s="283">
        <v>4</v>
      </c>
      <c r="C53" s="1191"/>
      <c r="D53" s="1192"/>
      <c r="E53" s="279"/>
      <c r="F53" s="279"/>
      <c r="G53" s="278"/>
      <c r="H53" s="279"/>
      <c r="I53" s="279"/>
      <c r="J53" s="279"/>
      <c r="K53" s="279"/>
      <c r="L53" s="279"/>
      <c r="M53" s="279"/>
      <c r="N53" s="279"/>
      <c r="O53" s="279"/>
      <c r="P53" s="279"/>
      <c r="Q53" s="281"/>
    </row>
    <row r="54" spans="1:17" s="78" customFormat="1" ht="19.5">
      <c r="A54" s="281"/>
      <c r="B54" s="283">
        <v>5</v>
      </c>
      <c r="C54" s="1191"/>
      <c r="D54" s="1192"/>
      <c r="E54" s="279"/>
      <c r="F54" s="279"/>
      <c r="G54" s="278"/>
      <c r="H54" s="279"/>
      <c r="I54" s="279"/>
      <c r="J54" s="279"/>
      <c r="K54" s="279"/>
      <c r="L54" s="279"/>
      <c r="M54" s="279"/>
      <c r="N54" s="279"/>
      <c r="O54" s="279"/>
      <c r="P54" s="279"/>
      <c r="Q54" s="281"/>
    </row>
    <row r="55" spans="1:17" s="78" customFormat="1" ht="19.5">
      <c r="A55" s="281"/>
      <c r="B55" s="283">
        <v>6</v>
      </c>
      <c r="C55" s="1191"/>
      <c r="D55" s="1192"/>
      <c r="E55" s="279"/>
      <c r="F55" s="279"/>
      <c r="G55" s="278"/>
      <c r="H55" s="279"/>
      <c r="I55" s="279"/>
      <c r="J55" s="279"/>
      <c r="K55" s="279"/>
      <c r="L55" s="279"/>
      <c r="M55" s="279"/>
      <c r="N55" s="279"/>
      <c r="O55" s="279"/>
      <c r="P55" s="279"/>
      <c r="Q55" s="281"/>
    </row>
    <row r="56" spans="1:17" s="78" customFormat="1" ht="19.5">
      <c r="A56" s="281"/>
      <c r="B56" s="283">
        <v>7</v>
      </c>
      <c r="C56" s="1191"/>
      <c r="D56" s="1192"/>
      <c r="E56" s="279"/>
      <c r="F56" s="279"/>
      <c r="G56" s="278"/>
      <c r="H56" s="279"/>
      <c r="I56" s="279"/>
      <c r="J56" s="279"/>
      <c r="K56" s="279"/>
      <c r="L56" s="279"/>
      <c r="M56" s="279"/>
      <c r="N56" s="279"/>
      <c r="O56" s="279"/>
      <c r="P56" s="279"/>
      <c r="Q56" s="281"/>
    </row>
    <row r="57" spans="1:17" s="78" customFormat="1" ht="19.5">
      <c r="A57" s="281"/>
      <c r="B57" s="283">
        <v>8</v>
      </c>
      <c r="C57" s="1191"/>
      <c r="D57" s="1192"/>
      <c r="E57" s="279"/>
      <c r="F57" s="279"/>
      <c r="G57" s="278"/>
      <c r="H57" s="279"/>
      <c r="I57" s="279"/>
      <c r="J57" s="279"/>
      <c r="K57" s="279"/>
      <c r="L57" s="279"/>
      <c r="M57" s="279"/>
      <c r="N57" s="279"/>
      <c r="O57" s="279"/>
      <c r="P57" s="279"/>
      <c r="Q57" s="281"/>
    </row>
    <row r="58" spans="1:17" s="78" customFormat="1" ht="19.5">
      <c r="A58" s="281"/>
      <c r="B58" s="283">
        <v>9</v>
      </c>
      <c r="C58" s="1191"/>
      <c r="D58" s="1192"/>
      <c r="E58" s="279"/>
      <c r="F58" s="279"/>
      <c r="G58" s="278"/>
      <c r="H58" s="279"/>
      <c r="I58" s="279"/>
      <c r="J58" s="279"/>
      <c r="K58" s="279"/>
      <c r="L58" s="279"/>
      <c r="M58" s="279"/>
      <c r="N58" s="279"/>
      <c r="O58" s="279"/>
      <c r="P58" s="279"/>
      <c r="Q58" s="281"/>
    </row>
    <row r="59" spans="1:17" s="78" customFormat="1" ht="19.5">
      <c r="A59" s="281"/>
      <c r="B59" s="283">
        <v>10</v>
      </c>
      <c r="C59" s="1191"/>
      <c r="D59" s="1192"/>
      <c r="E59" s="279"/>
      <c r="F59" s="279"/>
      <c r="G59" s="278"/>
      <c r="H59" s="279"/>
      <c r="I59" s="279"/>
      <c r="J59" s="279"/>
      <c r="K59" s="279"/>
      <c r="L59" s="279"/>
      <c r="M59" s="279"/>
      <c r="N59" s="279"/>
      <c r="O59" s="279"/>
      <c r="P59" s="279"/>
      <c r="Q59" s="281"/>
    </row>
    <row r="60" spans="1:17" s="78" customFormat="1" ht="19.5">
      <c r="A60" s="281"/>
      <c r="B60" s="283">
        <v>11</v>
      </c>
      <c r="C60" s="1191"/>
      <c r="D60" s="1192"/>
      <c r="E60" s="279"/>
      <c r="F60" s="279"/>
      <c r="G60" s="278"/>
      <c r="H60" s="279"/>
      <c r="I60" s="279"/>
      <c r="J60" s="279"/>
      <c r="K60" s="279"/>
      <c r="L60" s="279"/>
      <c r="M60" s="279"/>
      <c r="N60" s="279"/>
      <c r="O60" s="279"/>
      <c r="P60" s="279"/>
      <c r="Q60" s="281"/>
    </row>
    <row r="61" spans="1:17" s="78" customFormat="1" ht="19.5">
      <c r="A61" s="281"/>
      <c r="B61" s="283">
        <v>12</v>
      </c>
      <c r="C61" s="1191"/>
      <c r="D61" s="1192"/>
      <c r="E61" s="279"/>
      <c r="F61" s="279"/>
      <c r="G61" s="278"/>
      <c r="H61" s="279"/>
      <c r="I61" s="279"/>
      <c r="J61" s="279"/>
      <c r="K61" s="279"/>
      <c r="L61" s="279"/>
      <c r="M61" s="279"/>
      <c r="N61" s="279"/>
      <c r="O61" s="279"/>
      <c r="P61" s="279"/>
      <c r="Q61" s="281"/>
    </row>
    <row r="62" spans="1:17" s="78" customFormat="1" ht="19.5">
      <c r="A62" s="281"/>
      <c r="B62" s="283">
        <v>13</v>
      </c>
      <c r="C62" s="1191"/>
      <c r="D62" s="1192"/>
      <c r="E62" s="279"/>
      <c r="F62" s="279"/>
      <c r="G62" s="278"/>
      <c r="H62" s="279"/>
      <c r="I62" s="279"/>
      <c r="J62" s="279"/>
      <c r="K62" s="279"/>
      <c r="L62" s="279"/>
      <c r="M62" s="279"/>
      <c r="N62" s="279"/>
      <c r="O62" s="279"/>
      <c r="P62" s="279"/>
      <c r="Q62" s="281"/>
    </row>
    <row r="63" spans="1:17" s="78" customFormat="1" ht="19.5">
      <c r="A63" s="281"/>
      <c r="B63" s="283">
        <v>14</v>
      </c>
      <c r="C63" s="1191"/>
      <c r="D63" s="1192"/>
      <c r="E63" s="279"/>
      <c r="F63" s="279"/>
      <c r="G63" s="278"/>
      <c r="H63" s="279"/>
      <c r="I63" s="279"/>
      <c r="J63" s="279"/>
      <c r="K63" s="279"/>
      <c r="L63" s="279"/>
      <c r="M63" s="279"/>
      <c r="N63" s="279"/>
      <c r="O63" s="279"/>
      <c r="P63" s="279"/>
      <c r="Q63" s="281"/>
    </row>
    <row r="64" spans="1:17" s="78" customFormat="1" ht="19.5">
      <c r="A64" s="281"/>
      <c r="B64" s="283">
        <v>15</v>
      </c>
      <c r="C64" s="1191"/>
      <c r="D64" s="1192"/>
      <c r="E64" s="279"/>
      <c r="F64" s="279"/>
      <c r="G64" s="278"/>
      <c r="H64" s="279"/>
      <c r="I64" s="279"/>
      <c r="J64" s="279"/>
      <c r="K64" s="279"/>
      <c r="L64" s="279"/>
      <c r="M64" s="279"/>
      <c r="N64" s="279"/>
      <c r="O64" s="279"/>
      <c r="P64" s="279"/>
      <c r="Q64" s="281"/>
    </row>
    <row r="65" spans="1:17" s="78" customFormat="1" ht="19.5">
      <c r="A65" s="281"/>
      <c r="B65" s="283">
        <v>16</v>
      </c>
      <c r="C65" s="1191"/>
      <c r="D65" s="1192"/>
      <c r="E65" s="279"/>
      <c r="F65" s="279"/>
      <c r="G65" s="278"/>
      <c r="H65" s="279"/>
      <c r="I65" s="279"/>
      <c r="J65" s="279"/>
      <c r="K65" s="279"/>
      <c r="L65" s="279"/>
      <c r="M65" s="279"/>
      <c r="N65" s="279"/>
      <c r="O65" s="279"/>
      <c r="P65" s="279"/>
      <c r="Q65" s="281"/>
    </row>
    <row r="66" spans="1:17" s="78" customFormat="1" ht="19.5">
      <c r="A66" s="281"/>
      <c r="B66" s="283">
        <v>17</v>
      </c>
      <c r="C66" s="1191"/>
      <c r="D66" s="1192"/>
      <c r="E66" s="279"/>
      <c r="F66" s="279"/>
      <c r="G66" s="278"/>
      <c r="H66" s="279"/>
      <c r="I66" s="279"/>
      <c r="J66" s="279"/>
      <c r="K66" s="279"/>
      <c r="L66" s="279"/>
      <c r="M66" s="279"/>
      <c r="N66" s="279"/>
      <c r="O66" s="279"/>
      <c r="P66" s="279"/>
      <c r="Q66" s="281"/>
    </row>
    <row r="67" spans="1:17" s="78" customFormat="1" ht="19.5">
      <c r="A67" s="281"/>
      <c r="B67" s="283">
        <v>18</v>
      </c>
      <c r="C67" s="1191"/>
      <c r="D67" s="1192"/>
      <c r="E67" s="279"/>
      <c r="F67" s="279"/>
      <c r="G67" s="278"/>
      <c r="H67" s="279"/>
      <c r="I67" s="279"/>
      <c r="J67" s="279"/>
      <c r="K67" s="279"/>
      <c r="L67" s="279"/>
      <c r="M67" s="279"/>
      <c r="N67" s="279"/>
      <c r="O67" s="279"/>
      <c r="P67" s="279"/>
      <c r="Q67" s="281"/>
    </row>
    <row r="68" spans="1:17" s="78" customFormat="1" ht="19.5">
      <c r="A68" s="281"/>
      <c r="B68" s="283">
        <v>19</v>
      </c>
      <c r="C68" s="1191"/>
      <c r="D68" s="1192"/>
      <c r="E68" s="279"/>
      <c r="F68" s="279"/>
      <c r="G68" s="278"/>
      <c r="H68" s="279"/>
      <c r="I68" s="279"/>
      <c r="J68" s="279"/>
      <c r="K68" s="279"/>
      <c r="L68" s="279"/>
      <c r="M68" s="279"/>
      <c r="N68" s="279"/>
      <c r="O68" s="279"/>
      <c r="P68" s="279"/>
      <c r="Q68" s="281"/>
    </row>
    <row r="69" spans="1:17" s="78" customFormat="1" ht="19.5">
      <c r="A69" s="281"/>
      <c r="B69" s="283">
        <v>20</v>
      </c>
      <c r="C69" s="1191"/>
      <c r="D69" s="1192"/>
      <c r="E69" s="279"/>
      <c r="F69" s="279"/>
      <c r="G69" s="278"/>
      <c r="H69" s="279"/>
      <c r="I69" s="279"/>
      <c r="J69" s="279"/>
      <c r="K69" s="279"/>
      <c r="L69" s="279"/>
      <c r="M69" s="279"/>
      <c r="N69" s="279"/>
      <c r="O69" s="279"/>
      <c r="P69" s="279"/>
      <c r="Q69" s="281"/>
    </row>
    <row r="70" spans="1:17" s="78" customFormat="1" ht="19.5">
      <c r="A70" s="281"/>
      <c r="B70" s="283">
        <v>21</v>
      </c>
      <c r="C70" s="1191"/>
      <c r="D70" s="1192"/>
      <c r="E70" s="279"/>
      <c r="F70" s="279"/>
      <c r="G70" s="278"/>
      <c r="H70" s="279"/>
      <c r="I70" s="279"/>
      <c r="J70" s="279"/>
      <c r="K70" s="279"/>
      <c r="L70" s="279"/>
      <c r="M70" s="279"/>
      <c r="N70" s="279"/>
      <c r="O70" s="279"/>
      <c r="P70" s="279"/>
      <c r="Q70" s="281"/>
    </row>
    <row r="71" spans="1:17" s="78" customFormat="1" ht="19.5">
      <c r="A71" s="281"/>
      <c r="B71" s="283">
        <v>22</v>
      </c>
      <c r="C71" s="1191"/>
      <c r="D71" s="1192"/>
      <c r="E71" s="279"/>
      <c r="F71" s="279"/>
      <c r="G71" s="278"/>
      <c r="H71" s="279"/>
      <c r="I71" s="279"/>
      <c r="J71" s="279"/>
      <c r="K71" s="279"/>
      <c r="L71" s="279"/>
      <c r="M71" s="279"/>
      <c r="N71" s="279"/>
      <c r="O71" s="279"/>
      <c r="P71" s="279"/>
      <c r="Q71" s="281"/>
    </row>
    <row r="72" spans="1:17" s="78" customFormat="1" ht="19.5">
      <c r="A72" s="281"/>
      <c r="B72" s="283">
        <v>23</v>
      </c>
      <c r="C72" s="1191"/>
      <c r="D72" s="1192"/>
      <c r="E72" s="279"/>
      <c r="F72" s="279"/>
      <c r="G72" s="278"/>
      <c r="H72" s="279"/>
      <c r="I72" s="279"/>
      <c r="J72" s="279"/>
      <c r="K72" s="279"/>
      <c r="L72" s="279"/>
      <c r="M72" s="279"/>
      <c r="N72" s="279"/>
      <c r="O72" s="279"/>
      <c r="P72" s="279"/>
      <c r="Q72" s="281"/>
    </row>
    <row r="73" spans="1:17" s="78" customFormat="1" ht="19.5">
      <c r="A73" s="281"/>
      <c r="B73" s="283">
        <v>24</v>
      </c>
      <c r="C73" s="1191"/>
      <c r="D73" s="1192"/>
      <c r="E73" s="279"/>
      <c r="F73" s="279"/>
      <c r="G73" s="278"/>
      <c r="H73" s="279"/>
      <c r="I73" s="279"/>
      <c r="J73" s="279"/>
      <c r="K73" s="279"/>
      <c r="L73" s="279"/>
      <c r="M73" s="279"/>
      <c r="N73" s="279"/>
      <c r="O73" s="279"/>
      <c r="P73" s="279"/>
      <c r="Q73" s="281"/>
    </row>
    <row r="74" spans="1:17" s="78" customFormat="1" ht="19.5">
      <c r="A74" s="281"/>
      <c r="B74" s="283">
        <v>25</v>
      </c>
      <c r="C74" s="1191"/>
      <c r="D74" s="1192"/>
      <c r="E74" s="279"/>
      <c r="F74" s="279"/>
      <c r="G74" s="278"/>
      <c r="H74" s="279"/>
      <c r="I74" s="279"/>
      <c r="J74" s="279"/>
      <c r="K74" s="279"/>
      <c r="L74" s="279"/>
      <c r="M74" s="279"/>
      <c r="N74" s="279"/>
      <c r="O74" s="279"/>
      <c r="P74" s="279"/>
      <c r="Q74" s="281"/>
    </row>
    <row r="75" spans="1:17" s="78" customFormat="1" ht="19.5">
      <c r="A75" s="281"/>
      <c r="B75" s="283">
        <v>26</v>
      </c>
      <c r="C75" s="1191"/>
      <c r="D75" s="1192"/>
      <c r="E75" s="279"/>
      <c r="F75" s="279"/>
      <c r="G75" s="278"/>
      <c r="H75" s="279"/>
      <c r="I75" s="279"/>
      <c r="J75" s="279"/>
      <c r="K75" s="279"/>
      <c r="L75" s="279"/>
      <c r="M75" s="279"/>
      <c r="N75" s="279"/>
      <c r="O75" s="279"/>
      <c r="P75" s="279"/>
      <c r="Q75" s="281"/>
    </row>
    <row r="76" spans="1:17" s="78" customFormat="1" ht="19.5">
      <c r="A76" s="281"/>
      <c r="B76" s="283">
        <v>27</v>
      </c>
      <c r="C76" s="1191"/>
      <c r="D76" s="1192"/>
      <c r="E76" s="279"/>
      <c r="F76" s="279"/>
      <c r="G76" s="278"/>
      <c r="H76" s="279"/>
      <c r="I76" s="279"/>
      <c r="J76" s="279"/>
      <c r="K76" s="279"/>
      <c r="L76" s="279"/>
      <c r="M76" s="279"/>
      <c r="N76" s="279"/>
      <c r="O76" s="279"/>
      <c r="P76" s="279"/>
      <c r="Q76" s="281"/>
    </row>
    <row r="77" spans="1:17" s="78" customFormat="1" ht="19.5">
      <c r="A77" s="281"/>
      <c r="B77" s="283">
        <v>28</v>
      </c>
      <c r="C77" s="289"/>
      <c r="D77" s="279"/>
      <c r="E77" s="279"/>
      <c r="F77" s="279"/>
      <c r="G77" s="278"/>
      <c r="H77" s="279"/>
      <c r="I77" s="279"/>
      <c r="J77" s="279"/>
      <c r="K77" s="279"/>
      <c r="L77" s="279"/>
      <c r="M77" s="279"/>
      <c r="N77" s="279"/>
      <c r="O77" s="279"/>
      <c r="P77" s="279"/>
      <c r="Q77" s="281"/>
    </row>
    <row r="78" spans="1:17" s="78" customFormat="1" ht="19.5">
      <c r="A78" s="281"/>
      <c r="B78" s="283">
        <v>29</v>
      </c>
      <c r="C78" s="289"/>
      <c r="D78" s="279"/>
      <c r="E78" s="279"/>
      <c r="F78" s="279"/>
      <c r="G78" s="278"/>
      <c r="H78" s="279"/>
      <c r="I78" s="279"/>
      <c r="J78" s="279"/>
      <c r="K78" s="279"/>
      <c r="L78" s="279"/>
      <c r="M78" s="279"/>
      <c r="N78" s="279"/>
      <c r="O78" s="279"/>
      <c r="P78" s="279"/>
      <c r="Q78" s="281"/>
    </row>
    <row r="79" spans="1:17" s="78" customFormat="1" ht="19.5">
      <c r="A79" s="281"/>
      <c r="B79" s="283">
        <v>30</v>
      </c>
      <c r="C79" s="289"/>
      <c r="D79" s="279"/>
      <c r="E79" s="279"/>
      <c r="F79" s="279"/>
      <c r="G79" s="278"/>
      <c r="H79" s="279"/>
      <c r="I79" s="279"/>
      <c r="J79" s="279"/>
      <c r="K79" s="279"/>
      <c r="L79" s="279"/>
      <c r="M79" s="279"/>
      <c r="N79" s="279"/>
      <c r="O79" s="279"/>
      <c r="P79" s="279"/>
      <c r="Q79" s="281"/>
    </row>
    <row r="80" spans="1:17" s="78" customFormat="1" ht="19.5">
      <c r="A80" s="281"/>
      <c r="B80" s="283">
        <v>31</v>
      </c>
      <c r="C80" s="289"/>
      <c r="D80" s="279"/>
      <c r="E80" s="279"/>
      <c r="F80" s="279"/>
      <c r="G80" s="278"/>
      <c r="H80" s="279"/>
      <c r="I80" s="279"/>
      <c r="J80" s="279"/>
      <c r="K80" s="279"/>
      <c r="L80" s="279"/>
      <c r="M80" s="279"/>
      <c r="N80" s="279"/>
      <c r="O80" s="279"/>
      <c r="P80" s="279"/>
      <c r="Q80" s="281"/>
    </row>
    <row r="81" spans="1:17" s="78" customFormat="1" ht="19.5">
      <c r="A81" s="281"/>
      <c r="B81" s="283">
        <v>32</v>
      </c>
      <c r="C81" s="289"/>
      <c r="D81" s="279"/>
      <c r="E81" s="279"/>
      <c r="F81" s="279"/>
      <c r="G81" s="278"/>
      <c r="H81" s="279"/>
      <c r="I81" s="279"/>
      <c r="J81" s="279"/>
      <c r="K81" s="279"/>
      <c r="L81" s="279"/>
      <c r="M81" s="279"/>
      <c r="N81" s="279"/>
      <c r="O81" s="279"/>
      <c r="P81" s="279"/>
      <c r="Q81" s="281"/>
    </row>
    <row r="82" spans="1:17" s="78" customFormat="1" ht="19.5">
      <c r="A82" s="281"/>
      <c r="B82" s="283">
        <v>33</v>
      </c>
      <c r="C82" s="289"/>
      <c r="D82" s="279"/>
      <c r="E82" s="279"/>
      <c r="F82" s="279"/>
      <c r="G82" s="278"/>
      <c r="H82" s="279"/>
      <c r="I82" s="279"/>
      <c r="J82" s="279"/>
      <c r="K82" s="279"/>
      <c r="L82" s="279"/>
      <c r="M82" s="279"/>
      <c r="N82" s="279"/>
      <c r="O82" s="279"/>
      <c r="P82" s="279"/>
      <c r="Q82" s="281"/>
    </row>
    <row r="83" spans="1:17" s="78" customFormat="1" ht="19.5">
      <c r="A83" s="281"/>
      <c r="B83" s="283">
        <v>34</v>
      </c>
      <c r="C83" s="289"/>
      <c r="D83" s="279"/>
      <c r="E83" s="279"/>
      <c r="F83" s="279"/>
      <c r="G83" s="278"/>
      <c r="H83" s="279"/>
      <c r="I83" s="279"/>
      <c r="J83" s="279"/>
      <c r="K83" s="279"/>
      <c r="L83" s="279"/>
      <c r="M83" s="279"/>
      <c r="N83" s="279"/>
      <c r="O83" s="279"/>
      <c r="P83" s="279"/>
      <c r="Q83" s="281"/>
    </row>
    <row r="84" spans="1:17" s="78" customFormat="1" ht="19.5">
      <c r="A84" s="281"/>
      <c r="B84" s="283">
        <v>35</v>
      </c>
      <c r="C84" s="279"/>
      <c r="D84" s="279"/>
      <c r="E84" s="279"/>
      <c r="F84" s="279"/>
      <c r="G84" s="278"/>
      <c r="H84" s="279"/>
      <c r="I84" s="279"/>
      <c r="J84" s="279"/>
      <c r="K84" s="279"/>
      <c r="L84" s="279"/>
      <c r="M84" s="279"/>
      <c r="N84" s="279"/>
      <c r="O84" s="279"/>
      <c r="P84" s="279"/>
      <c r="Q84" s="281"/>
    </row>
    <row r="85" spans="1:17" s="78" customFormat="1" ht="20.25" thickBot="1">
      <c r="A85" s="281"/>
      <c r="B85" s="283">
        <v>36</v>
      </c>
      <c r="C85" s="279"/>
      <c r="D85" s="279"/>
      <c r="E85" s="279"/>
      <c r="F85" s="279"/>
      <c r="G85" s="278"/>
      <c r="H85" s="279"/>
      <c r="I85" s="279"/>
      <c r="J85" s="279"/>
      <c r="K85" s="279"/>
      <c r="L85" s="279"/>
      <c r="M85" s="279"/>
      <c r="N85" s="279"/>
      <c r="O85" s="279"/>
      <c r="P85" s="279"/>
      <c r="Q85" s="281"/>
    </row>
    <row r="86" spans="1:17" ht="27.75" thickBot="1">
      <c r="A86" s="291"/>
      <c r="B86" s="292" t="s">
        <v>3</v>
      </c>
      <c r="C86" s="293">
        <f t="shared" ref="C86:P86" si="1">SUM(C50:C85)</f>
        <v>0</v>
      </c>
      <c r="D86" s="294">
        <f t="shared" si="1"/>
        <v>0</v>
      </c>
      <c r="E86" s="294">
        <f t="shared" si="1"/>
        <v>0</v>
      </c>
      <c r="F86" s="294">
        <f t="shared" si="1"/>
        <v>0</v>
      </c>
      <c r="G86" s="280">
        <f t="shared" si="1"/>
        <v>0</v>
      </c>
      <c r="H86" s="294">
        <f t="shared" si="1"/>
        <v>0</v>
      </c>
      <c r="I86" s="294">
        <f t="shared" si="1"/>
        <v>0</v>
      </c>
      <c r="J86" s="294">
        <f t="shared" si="1"/>
        <v>0</v>
      </c>
      <c r="K86" s="294">
        <f t="shared" si="1"/>
        <v>0</v>
      </c>
      <c r="L86" s="294">
        <f t="shared" si="1"/>
        <v>0</v>
      </c>
      <c r="M86" s="294">
        <f t="shared" si="1"/>
        <v>0</v>
      </c>
      <c r="N86" s="294">
        <f t="shared" si="1"/>
        <v>0</v>
      </c>
      <c r="O86" s="294">
        <f t="shared" si="1"/>
        <v>0</v>
      </c>
      <c r="P86" s="303">
        <f t="shared" si="1"/>
        <v>0</v>
      </c>
      <c r="Q86" s="304">
        <f>SUM(C86:P86)</f>
        <v>0</v>
      </c>
    </row>
    <row r="87" spans="1:17" ht="21.75" customHeight="1" thickBot="1">
      <c r="A87" s="291"/>
      <c r="B87" s="291"/>
      <c r="C87" s="2313">
        <f>SUM(C86:P86)</f>
        <v>0</v>
      </c>
      <c r="D87" s="2314"/>
      <c r="E87" s="2314"/>
      <c r="F87" s="2314"/>
      <c r="G87" s="2314"/>
      <c r="H87" s="2314"/>
      <c r="I87" s="2314"/>
      <c r="J87" s="2314"/>
      <c r="K87" s="2314"/>
      <c r="L87" s="2314"/>
      <c r="M87" s="2314"/>
      <c r="N87" s="2314"/>
      <c r="O87" s="2314"/>
      <c r="P87" s="2315"/>
      <c r="Q87" s="291"/>
    </row>
    <row r="88" spans="1:17" ht="27">
      <c r="A88" s="291"/>
      <c r="B88" s="291"/>
      <c r="C88" s="295"/>
      <c r="D88" s="295"/>
      <c r="E88" s="295"/>
      <c r="F88" s="295"/>
      <c r="G88" s="296"/>
      <c r="H88" s="295"/>
      <c r="I88" s="295"/>
      <c r="J88" s="295"/>
      <c r="K88" s="295"/>
      <c r="L88" s="295"/>
      <c r="M88" s="295"/>
      <c r="N88" s="295"/>
      <c r="O88" s="295"/>
      <c r="P88" s="295"/>
      <c r="Q88" s="291"/>
    </row>
    <row r="89" spans="1:17" ht="27">
      <c r="A89" s="291"/>
      <c r="B89" s="291"/>
      <c r="C89" s="295"/>
      <c r="D89" s="295"/>
      <c r="E89" s="295"/>
      <c r="F89" s="295"/>
      <c r="G89" s="296"/>
      <c r="H89" s="295"/>
      <c r="I89" s="295"/>
      <c r="J89" s="295"/>
      <c r="K89" s="295"/>
      <c r="L89" s="295"/>
      <c r="M89" s="295"/>
      <c r="N89" s="295"/>
      <c r="O89" s="295"/>
      <c r="P89" s="295"/>
      <c r="Q89" s="291"/>
    </row>
    <row r="90" spans="1:17" ht="27">
      <c r="A90" s="291"/>
      <c r="B90" s="291"/>
      <c r="C90" s="295"/>
      <c r="D90" s="295"/>
      <c r="E90" s="295"/>
      <c r="F90" s="295"/>
      <c r="G90" s="296"/>
      <c r="H90" s="295"/>
      <c r="I90" s="295"/>
      <c r="J90" s="295"/>
      <c r="K90" s="295"/>
      <c r="L90" s="295"/>
      <c r="M90" s="295"/>
      <c r="N90" s="295"/>
      <c r="O90" s="295"/>
      <c r="P90" s="295"/>
      <c r="Q90" s="291"/>
    </row>
  </sheetData>
  <mergeCells count="6">
    <mergeCell ref="C87:P87"/>
    <mergeCell ref="R7:V7"/>
    <mergeCell ref="E2:N3"/>
    <mergeCell ref="C6:P6"/>
    <mergeCell ref="C44:P44"/>
    <mergeCell ref="C48:P48"/>
  </mergeCells>
  <pageMargins left="0.19685039370078741" right="0.11811023622047245" top="0.31496062992125984" bottom="0.31496062992125984" header="0.31496062992125984" footer="0.31496062992125984"/>
  <pageSetup paperSize="9" scale="47" fitToHeight="0" orientation="portrait" horizontalDpi="4294967293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4272D-B862-44CD-A8D0-3D9B14C727F7}">
  <sheetPr codeName="Hoja4">
    <pageSetUpPr fitToPage="1"/>
  </sheetPr>
  <dimension ref="A1:AO116"/>
  <sheetViews>
    <sheetView showGridLines="0" topLeftCell="B17" zoomScale="70" zoomScaleNormal="70" workbookViewId="0">
      <selection activeCell="C17" sqref="C17:H82"/>
    </sheetView>
  </sheetViews>
  <sheetFormatPr baseColWidth="10" defaultColWidth="11.42578125" defaultRowHeight="15"/>
  <cols>
    <col min="1" max="1" width="6.5703125" style="17" customWidth="1"/>
    <col min="2" max="2" width="22.85546875" style="17" customWidth="1"/>
    <col min="3" max="22" width="17.42578125" style="17" customWidth="1"/>
    <col min="23" max="24" width="5.85546875" style="17" customWidth="1"/>
    <col min="25" max="25" width="6.85546875" style="17" customWidth="1"/>
    <col min="26" max="26" width="11.42578125" style="17" customWidth="1"/>
    <col min="27" max="27" width="12.42578125" style="17" customWidth="1"/>
    <col min="28" max="32" width="12.7109375" style="17" customWidth="1"/>
    <col min="33" max="33" width="21.140625" style="17" customWidth="1"/>
    <col min="34" max="34" width="14.140625" style="17" customWidth="1"/>
    <col min="35" max="35" width="13.28515625" style="17" customWidth="1"/>
    <col min="36" max="41" width="11.42578125" style="17" customWidth="1"/>
    <col min="42" max="16384" width="11.42578125" style="17"/>
  </cols>
  <sheetData>
    <row r="1" spans="1:37" ht="15.75" thickBot="1"/>
    <row r="2" spans="1:37" ht="23.25" customHeight="1" thickBot="1">
      <c r="A2" s="2386"/>
      <c r="B2" s="2387"/>
      <c r="C2" s="2388"/>
      <c r="D2" s="2389"/>
      <c r="E2" s="2396" t="s">
        <v>169</v>
      </c>
      <c r="F2" s="2397"/>
      <c r="G2" s="2397"/>
      <c r="H2" s="2397"/>
      <c r="I2" s="2397"/>
      <c r="J2" s="2397"/>
      <c r="K2" s="2397"/>
      <c r="L2" s="2397"/>
      <c r="M2" s="2397"/>
      <c r="N2" s="2397"/>
      <c r="O2" s="2397"/>
      <c r="P2" s="2397"/>
      <c r="Q2" s="2397"/>
      <c r="R2" s="2397"/>
      <c r="S2" s="2398"/>
      <c r="T2" s="249" t="s">
        <v>405</v>
      </c>
      <c r="U2" s="2417" t="s">
        <v>435</v>
      </c>
      <c r="V2" s="2418"/>
      <c r="W2" s="250"/>
      <c r="X2" s="250"/>
      <c r="Y2" s="110"/>
      <c r="Z2" s="351" t="s">
        <v>133</v>
      </c>
      <c r="AA2" s="351"/>
    </row>
    <row r="3" spans="1:37" ht="23.25" customHeight="1" thickBot="1">
      <c r="A3" s="2386"/>
      <c r="B3" s="2390"/>
      <c r="C3" s="2391"/>
      <c r="D3" s="2392"/>
      <c r="E3" s="2399"/>
      <c r="F3" s="2400"/>
      <c r="G3" s="2400"/>
      <c r="H3" s="2400"/>
      <c r="I3" s="2400"/>
      <c r="J3" s="2400"/>
      <c r="K3" s="2400"/>
      <c r="L3" s="2400"/>
      <c r="M3" s="2400"/>
      <c r="N3" s="2400"/>
      <c r="O3" s="2400"/>
      <c r="P3" s="2400"/>
      <c r="Q3" s="2400"/>
      <c r="R3" s="2400"/>
      <c r="S3" s="2401"/>
      <c r="T3" s="249" t="s">
        <v>406</v>
      </c>
      <c r="U3" s="2419" t="s">
        <v>407</v>
      </c>
      <c r="V3" s="2420"/>
      <c r="W3" s="250"/>
      <c r="X3" s="250"/>
      <c r="Y3" s="110"/>
      <c r="Z3" s="351" t="s">
        <v>66</v>
      </c>
      <c r="AA3" s="351"/>
    </row>
    <row r="4" spans="1:37" ht="67.5" customHeight="1" thickBot="1">
      <c r="A4" s="2386"/>
      <c r="B4" s="2393"/>
      <c r="C4" s="2394"/>
      <c r="D4" s="2395"/>
      <c r="E4" s="2402"/>
      <c r="F4" s="2403"/>
      <c r="G4" s="2403"/>
      <c r="H4" s="2403"/>
      <c r="I4" s="2403"/>
      <c r="J4" s="2403"/>
      <c r="K4" s="2403"/>
      <c r="L4" s="2403"/>
      <c r="M4" s="2403"/>
      <c r="N4" s="2403"/>
      <c r="O4" s="2403"/>
      <c r="P4" s="2403"/>
      <c r="Q4" s="2403"/>
      <c r="R4" s="2403"/>
      <c r="S4" s="2404"/>
      <c r="T4" s="251" t="s">
        <v>408</v>
      </c>
      <c r="U4" s="2351" t="s">
        <v>434</v>
      </c>
      <c r="V4" s="2352"/>
      <c r="W4" s="250"/>
      <c r="X4" s="250"/>
      <c r="Y4" s="111"/>
      <c r="Z4" s="351" t="s">
        <v>402</v>
      </c>
      <c r="AA4" s="365"/>
      <c r="AB4" s="2339"/>
      <c r="AC4" s="2339"/>
    </row>
    <row r="5" spans="1:37" ht="15.75" customHeight="1" thickBot="1">
      <c r="A5" s="2386"/>
      <c r="B5" s="2353"/>
      <c r="C5" s="2353"/>
      <c r="D5" s="2353"/>
      <c r="E5" s="2353"/>
      <c r="F5" s="2353"/>
      <c r="G5" s="2353"/>
      <c r="H5" s="2353"/>
      <c r="I5" s="2353"/>
      <c r="J5" s="2353"/>
      <c r="K5" s="2353"/>
      <c r="L5" s="2353"/>
      <c r="M5" s="2353"/>
      <c r="N5" s="2353"/>
      <c r="O5" s="2353"/>
      <c r="P5" s="2353"/>
      <c r="Q5" s="2353"/>
      <c r="R5" s="2353"/>
      <c r="S5" s="2353"/>
      <c r="T5" s="2353"/>
      <c r="U5" s="2353"/>
      <c r="V5" s="2353"/>
      <c r="W5" s="250"/>
      <c r="X5" s="250"/>
      <c r="Y5" s="110"/>
      <c r="Z5" s="351"/>
      <c r="AA5" s="2346"/>
    </row>
    <row r="6" spans="1:37" ht="29.25" customHeight="1" thickBot="1">
      <c r="A6" s="2386"/>
      <c r="B6" s="2354" t="s">
        <v>409</v>
      </c>
      <c r="C6" s="2355"/>
      <c r="D6" s="2355"/>
      <c r="E6" s="2355"/>
      <c r="F6" s="2355"/>
      <c r="G6" s="2355"/>
      <c r="H6" s="2355"/>
      <c r="I6" s="2355"/>
      <c r="J6" s="2355"/>
      <c r="K6" s="2355"/>
      <c r="L6" s="2355"/>
      <c r="M6" s="2355"/>
      <c r="N6" s="2355"/>
      <c r="O6" s="2355"/>
      <c r="P6" s="2355"/>
      <c r="Q6" s="2355"/>
      <c r="R6" s="2355"/>
      <c r="S6" s="2355"/>
      <c r="T6" s="2355"/>
      <c r="U6" s="2355"/>
      <c r="V6" s="2356"/>
      <c r="W6" s="250"/>
      <c r="X6" s="250"/>
      <c r="Y6" s="19"/>
      <c r="Z6" s="351"/>
      <c r="AA6" s="2346"/>
    </row>
    <row r="7" spans="1:37" ht="51" customHeight="1" thickBot="1">
      <c r="A7" s="2386"/>
      <c r="B7" s="2405" t="s">
        <v>410</v>
      </c>
      <c r="C7" s="2406"/>
      <c r="D7" s="2407"/>
      <c r="E7" s="2408" t="s">
        <v>411</v>
      </c>
      <c r="F7" s="2409"/>
      <c r="G7" s="2408" t="s">
        <v>437</v>
      </c>
      <c r="H7" s="2410"/>
      <c r="I7" s="2410"/>
      <c r="J7" s="2410"/>
      <c r="K7" s="2410"/>
      <c r="L7" s="2410"/>
      <c r="M7" s="2410"/>
      <c r="N7" s="2410"/>
      <c r="O7" s="2410"/>
      <c r="P7" s="2410"/>
      <c r="Q7" s="2410"/>
      <c r="R7" s="2409"/>
      <c r="S7" s="2408" t="s">
        <v>412</v>
      </c>
      <c r="T7" s="2410"/>
      <c r="U7" s="2410"/>
      <c r="V7" s="2409"/>
      <c r="W7" s="250"/>
      <c r="X7" s="324"/>
      <c r="Y7" s="325"/>
      <c r="Z7" s="326"/>
      <c r="AA7" s="326"/>
      <c r="AB7" s="351" t="s">
        <v>172</v>
      </c>
    </row>
    <row r="8" spans="1:37" ht="54" customHeight="1" thickBot="1">
      <c r="A8" s="2386"/>
      <c r="B8" s="2411" t="s">
        <v>433</v>
      </c>
      <c r="C8" s="2412"/>
      <c r="D8" s="2413"/>
      <c r="E8" s="2411">
        <v>2060033416</v>
      </c>
      <c r="F8" s="2413"/>
      <c r="G8" s="2414" t="s">
        <v>413</v>
      </c>
      <c r="H8" s="2415"/>
      <c r="I8" s="2415"/>
      <c r="J8" s="2415"/>
      <c r="K8" s="2415"/>
      <c r="L8" s="2415"/>
      <c r="M8" s="2415"/>
      <c r="N8" s="2415"/>
      <c r="O8" s="2415"/>
      <c r="P8" s="2415"/>
      <c r="Q8" s="2415"/>
      <c r="R8" s="2416"/>
      <c r="S8" s="2414" t="s">
        <v>414</v>
      </c>
      <c r="T8" s="2415"/>
      <c r="U8" s="2415"/>
      <c r="V8" s="2416"/>
      <c r="W8" s="250"/>
      <c r="X8" s="324"/>
      <c r="Y8" s="327"/>
      <c r="Z8" s="326"/>
      <c r="AA8" s="326"/>
      <c r="AB8" s="351" t="s">
        <v>436</v>
      </c>
    </row>
    <row r="9" spans="1:37" ht="16.5" customHeight="1" thickBot="1">
      <c r="A9" s="24"/>
      <c r="B9" s="271"/>
      <c r="C9" s="271"/>
      <c r="D9" s="271"/>
      <c r="E9" s="271"/>
      <c r="F9" s="271"/>
      <c r="G9" s="272"/>
      <c r="H9" s="272"/>
      <c r="I9" s="272"/>
      <c r="J9" s="272"/>
      <c r="K9" s="272"/>
      <c r="L9" s="272"/>
      <c r="M9" s="272"/>
      <c r="N9" s="272"/>
      <c r="O9" s="272"/>
      <c r="P9" s="272"/>
      <c r="Q9" s="272"/>
      <c r="R9" s="272"/>
      <c r="S9" s="272"/>
      <c r="T9" s="272"/>
      <c r="U9" s="272"/>
      <c r="V9" s="272"/>
      <c r="W9" s="250"/>
      <c r="X9" s="324"/>
      <c r="Y9" s="327"/>
      <c r="Z9" s="326"/>
      <c r="AA9" s="326"/>
      <c r="AB9" s="351"/>
    </row>
    <row r="10" spans="1:37" ht="24.75" customHeight="1">
      <c r="A10" s="24"/>
      <c r="B10" s="2342" t="s">
        <v>36</v>
      </c>
      <c r="C10" s="2343"/>
      <c r="D10" s="2343"/>
      <c r="E10" s="2344" t="s">
        <v>315</v>
      </c>
      <c r="F10" s="2344"/>
      <c r="G10" s="2344"/>
      <c r="H10" s="2344"/>
      <c r="I10" s="2344"/>
      <c r="J10" s="2344"/>
      <c r="K10" s="2344"/>
      <c r="L10" s="2344"/>
      <c r="M10" s="2344"/>
      <c r="N10" s="2344"/>
      <c r="O10" s="2344"/>
      <c r="P10" s="2344"/>
      <c r="Q10" s="2345" t="s">
        <v>162</v>
      </c>
      <c r="R10" s="2345"/>
      <c r="S10" s="2345"/>
      <c r="T10" s="2347" t="str">
        <f>+PP!E15</f>
        <v>PPF26062026</v>
      </c>
      <c r="U10" s="2347"/>
      <c r="V10" s="2348"/>
      <c r="W10" s="250"/>
      <c r="X10" s="324"/>
      <c r="Y10" s="327"/>
      <c r="Z10" s="326"/>
      <c r="AA10" s="326"/>
      <c r="AB10" s="326"/>
    </row>
    <row r="11" spans="1:37" ht="24.75" customHeight="1" thickBot="1">
      <c r="A11" s="24"/>
      <c r="B11" s="2349" t="s">
        <v>37</v>
      </c>
      <c r="C11" s="2350"/>
      <c r="D11" s="2350"/>
      <c r="E11" s="2357" t="s">
        <v>131</v>
      </c>
      <c r="F11" s="2357"/>
      <c r="G11" s="2357"/>
      <c r="H11" s="2357"/>
      <c r="I11" s="2357"/>
      <c r="J11" s="2357"/>
      <c r="K11" s="2357"/>
      <c r="L11" s="2357"/>
      <c r="M11" s="2357"/>
      <c r="N11" s="2357"/>
      <c r="O11" s="2357"/>
      <c r="P11" s="2357"/>
      <c r="Q11" s="2360" t="s">
        <v>151</v>
      </c>
      <c r="R11" s="2360"/>
      <c r="S11" s="2360"/>
      <c r="T11" s="2358">
        <f>+PP!E10</f>
        <v>46199</v>
      </c>
      <c r="U11" s="2358"/>
      <c r="V11" s="2359"/>
      <c r="X11" s="326"/>
      <c r="Y11" s="323"/>
      <c r="Z11" s="326"/>
      <c r="AA11" s="326"/>
      <c r="AB11" s="326"/>
    </row>
    <row r="12" spans="1:37" ht="16.5" thickBot="1">
      <c r="A12" s="24"/>
      <c r="B12" s="2340"/>
      <c r="C12" s="2340"/>
      <c r="D12" s="2340"/>
      <c r="E12" s="2340"/>
      <c r="F12" s="2340"/>
      <c r="G12" s="2341"/>
      <c r="H12" s="2341"/>
      <c r="I12" s="2341"/>
      <c r="J12" s="2341"/>
      <c r="K12" s="2341"/>
      <c r="L12" s="2341"/>
      <c r="M12" s="2340"/>
      <c r="N12" s="2340"/>
      <c r="O12" s="2340"/>
      <c r="P12" s="2340"/>
      <c r="Q12" s="2340"/>
      <c r="R12" s="2340"/>
      <c r="S12" s="2340"/>
      <c r="T12" s="2340"/>
      <c r="U12" s="2340"/>
      <c r="V12" s="2340"/>
      <c r="X12" s="326"/>
      <c r="Y12" s="323"/>
      <c r="Z12" s="326"/>
      <c r="AA12" s="326"/>
      <c r="AB12" s="326"/>
    </row>
    <row r="13" spans="1:37" ht="27" customHeight="1" thickBot="1">
      <c r="A13" s="24"/>
      <c r="B13" s="338" t="s">
        <v>415</v>
      </c>
      <c r="C13" s="2361" t="s">
        <v>172</v>
      </c>
      <c r="D13" s="2337"/>
      <c r="E13" s="2361" t="s">
        <v>172</v>
      </c>
      <c r="F13" s="2325"/>
      <c r="G13" s="2324" t="s">
        <v>172</v>
      </c>
      <c r="H13" s="2325"/>
      <c r="I13" s="2324" t="s">
        <v>172</v>
      </c>
      <c r="J13" s="2325"/>
      <c r="K13" s="2324" t="s">
        <v>172</v>
      </c>
      <c r="L13" s="2337"/>
      <c r="M13" s="2338" t="s">
        <v>172</v>
      </c>
      <c r="N13" s="2337"/>
      <c r="O13" s="2335" t="s">
        <v>172</v>
      </c>
      <c r="P13" s="2336"/>
      <c r="Q13" s="2335" t="s">
        <v>172</v>
      </c>
      <c r="R13" s="2336"/>
      <c r="S13" s="2335" t="s">
        <v>172</v>
      </c>
      <c r="T13" s="2336"/>
      <c r="U13" s="2335" t="s">
        <v>172</v>
      </c>
      <c r="V13" s="2336"/>
      <c r="W13" s="326"/>
      <c r="X13" s="326"/>
      <c r="Y13" s="323"/>
      <c r="Z13" s="326"/>
      <c r="AA13" s="326"/>
      <c r="AB13" s="326"/>
      <c r="AC13" s="326"/>
    </row>
    <row r="14" spans="1:37" ht="26.25" customHeight="1" thickBot="1">
      <c r="B14" s="1748" t="s">
        <v>144</v>
      </c>
      <c r="C14" s="2322" t="s">
        <v>714</v>
      </c>
      <c r="D14" s="2323"/>
      <c r="E14" s="2322" t="s">
        <v>715</v>
      </c>
      <c r="F14" s="2323"/>
      <c r="G14" s="2322" t="s">
        <v>716</v>
      </c>
      <c r="H14" s="2323"/>
      <c r="I14" s="2322"/>
      <c r="J14" s="2323"/>
      <c r="K14" s="2322"/>
      <c r="L14" s="2323"/>
      <c r="M14" s="2333"/>
      <c r="N14" s="2334"/>
      <c r="O14" s="2328"/>
      <c r="P14" s="2329"/>
      <c r="Q14" s="2330"/>
      <c r="R14" s="2329"/>
      <c r="S14" s="2330"/>
      <c r="T14" s="2329"/>
      <c r="U14" s="2330"/>
      <c r="V14" s="2329"/>
      <c r="W14" s="326"/>
      <c r="X14" s="326"/>
      <c r="Y14" s="321"/>
      <c r="Z14" s="322"/>
      <c r="AA14" s="322"/>
      <c r="AB14" s="322"/>
      <c r="AC14" s="322"/>
      <c r="AD14" s="112"/>
      <c r="AE14" s="112"/>
      <c r="AF14" s="112"/>
      <c r="AG14" s="112"/>
      <c r="AH14" s="112"/>
      <c r="AI14" s="112"/>
      <c r="AJ14" s="112"/>
      <c r="AK14" s="112"/>
    </row>
    <row r="15" spans="1:37" ht="45.75" thickBot="1">
      <c r="B15" s="1747" t="s">
        <v>400</v>
      </c>
      <c r="C15" s="2320">
        <v>1</v>
      </c>
      <c r="D15" s="2321"/>
      <c r="E15" s="2320">
        <v>2</v>
      </c>
      <c r="F15" s="2321"/>
      <c r="G15" s="2320">
        <v>3</v>
      </c>
      <c r="H15" s="2321"/>
      <c r="I15" s="2320"/>
      <c r="J15" s="2321"/>
      <c r="K15" s="2320"/>
      <c r="L15" s="2321"/>
      <c r="M15" s="2320"/>
      <c r="N15" s="2321"/>
      <c r="O15" s="2331"/>
      <c r="P15" s="2332"/>
      <c r="Q15" s="2331">
        <v>8</v>
      </c>
      <c r="R15" s="2332"/>
      <c r="S15" s="2331">
        <v>9</v>
      </c>
      <c r="T15" s="2332"/>
      <c r="U15" s="2331">
        <v>10</v>
      </c>
      <c r="V15" s="2332"/>
      <c r="W15" s="326"/>
      <c r="X15" s="326"/>
      <c r="Y15" s="321"/>
      <c r="Z15" s="322"/>
      <c r="AA15" s="322"/>
      <c r="AB15" s="322"/>
      <c r="AC15" s="322"/>
      <c r="AD15" s="112"/>
      <c r="AE15" s="112"/>
      <c r="AF15" s="112"/>
      <c r="AG15" s="112"/>
      <c r="AH15" s="112"/>
      <c r="AI15" s="112"/>
      <c r="AJ15" s="112"/>
      <c r="AK15" s="112"/>
    </row>
    <row r="16" spans="1:37" ht="45" customHeight="1" thickBot="1">
      <c r="B16" s="1749" t="s">
        <v>401</v>
      </c>
      <c r="C16" s="2068" t="s">
        <v>133</v>
      </c>
      <c r="D16" s="2068" t="s">
        <v>402</v>
      </c>
      <c r="E16" s="2068" t="s">
        <v>133</v>
      </c>
      <c r="F16" s="2068" t="s">
        <v>402</v>
      </c>
      <c r="G16" s="2068" t="s">
        <v>133</v>
      </c>
      <c r="H16" s="2068" t="s">
        <v>402</v>
      </c>
      <c r="I16" s="2068"/>
      <c r="J16" s="2068"/>
      <c r="K16" s="2068"/>
      <c r="L16" s="2068"/>
      <c r="M16" s="2068"/>
      <c r="N16" s="2069"/>
      <c r="O16" s="2067"/>
      <c r="P16" s="2210"/>
      <c r="Q16" s="339"/>
      <c r="R16" s="340"/>
      <c r="S16" s="339"/>
      <c r="T16" s="340"/>
      <c r="U16" s="339"/>
      <c r="V16" s="340"/>
      <c r="W16" s="333"/>
      <c r="X16" s="333"/>
      <c r="Y16" s="334"/>
      <c r="Z16" s="335"/>
      <c r="AA16" s="335"/>
      <c r="AB16" s="335"/>
      <c r="AC16" s="335"/>
      <c r="AD16" s="112"/>
      <c r="AE16" s="112"/>
      <c r="AF16" s="112"/>
      <c r="AG16" s="112"/>
      <c r="AH16" s="112"/>
      <c r="AI16" s="112"/>
      <c r="AJ16" s="112"/>
      <c r="AK16" s="112"/>
    </row>
    <row r="17" spans="2:41" ht="21" customHeight="1">
      <c r="B17" s="1633">
        <v>1</v>
      </c>
      <c r="C17" s="2072"/>
      <c r="D17" s="2073"/>
      <c r="E17" s="2073"/>
      <c r="F17" s="2072"/>
      <c r="G17" s="2072"/>
      <c r="H17" s="2073"/>
      <c r="I17" s="2072"/>
      <c r="J17" s="2073"/>
      <c r="K17" s="2072"/>
      <c r="L17" s="2072"/>
      <c r="M17" s="2072"/>
      <c r="N17" s="2171"/>
      <c r="O17" s="2217"/>
      <c r="P17" s="2211"/>
      <c r="Q17" s="1510"/>
      <c r="R17" s="341"/>
      <c r="S17" s="342"/>
      <c r="T17" s="341"/>
      <c r="U17" s="342"/>
      <c r="V17" s="341"/>
      <c r="W17" s="333"/>
      <c r="X17" s="333"/>
      <c r="Y17" s="334"/>
      <c r="Z17" s="335"/>
      <c r="AA17" s="335"/>
      <c r="AB17" s="335"/>
      <c r="AC17" s="335"/>
      <c r="AD17" s="254"/>
      <c r="AE17" s="254"/>
      <c r="AF17" s="254"/>
      <c r="AG17" s="254"/>
      <c r="AH17" s="254"/>
      <c r="AI17" s="254"/>
      <c r="AJ17" s="254"/>
      <c r="AK17" s="254"/>
      <c r="AL17" s="252"/>
      <c r="AM17" s="252"/>
      <c r="AN17" s="252"/>
      <c r="AO17" s="252"/>
    </row>
    <row r="18" spans="2:41" ht="21" customHeight="1">
      <c r="B18" s="1632">
        <v>2</v>
      </c>
      <c r="C18" s="2074"/>
      <c r="D18" s="2074"/>
      <c r="E18" s="2074"/>
      <c r="F18" s="2074"/>
      <c r="G18" s="2075"/>
      <c r="H18" s="2075"/>
      <c r="I18" s="2074"/>
      <c r="J18" s="2075"/>
      <c r="K18" s="2074"/>
      <c r="L18" s="2074"/>
      <c r="M18" s="2074"/>
      <c r="N18" s="2172"/>
      <c r="O18" s="2074"/>
      <c r="P18" s="2212"/>
      <c r="Q18" s="1511"/>
      <c r="R18" s="343"/>
      <c r="S18" s="344"/>
      <c r="T18" s="343"/>
      <c r="U18" s="344"/>
      <c r="V18" s="343"/>
      <c r="W18" s="333"/>
      <c r="X18" s="333"/>
      <c r="Y18" s="334"/>
      <c r="Z18" s="335"/>
      <c r="AA18" s="335"/>
      <c r="AB18" s="335"/>
      <c r="AC18" s="335"/>
      <c r="AD18" s="254"/>
      <c r="AE18" s="254"/>
      <c r="AF18" s="254"/>
      <c r="AG18" s="254"/>
      <c r="AH18" s="254"/>
      <c r="AI18" s="254"/>
      <c r="AJ18" s="254"/>
      <c r="AK18" s="254"/>
      <c r="AL18" s="252"/>
      <c r="AM18" s="252"/>
      <c r="AN18" s="252"/>
      <c r="AO18" s="252"/>
    </row>
    <row r="19" spans="2:41" ht="21" customHeight="1">
      <c r="B19" s="1632">
        <v>3</v>
      </c>
      <c r="C19" s="2074"/>
      <c r="D19" s="2074"/>
      <c r="E19" s="2074"/>
      <c r="F19" s="2074"/>
      <c r="G19" s="2075"/>
      <c r="H19" s="2075"/>
      <c r="I19" s="2074"/>
      <c r="J19" s="2075"/>
      <c r="K19" s="2074"/>
      <c r="L19" s="2074"/>
      <c r="M19" s="2074"/>
      <c r="N19" s="2172"/>
      <c r="O19" s="2074"/>
      <c r="P19" s="2212"/>
      <c r="Q19" s="1511"/>
      <c r="R19" s="343"/>
      <c r="S19" s="344"/>
      <c r="T19" s="343"/>
      <c r="U19" s="344"/>
      <c r="V19" s="343"/>
      <c r="W19" s="333"/>
      <c r="X19" s="333"/>
      <c r="Y19" s="334"/>
      <c r="Z19" s="335"/>
      <c r="AA19" s="335"/>
      <c r="AB19" s="335"/>
      <c r="AC19" s="335"/>
      <c r="AD19" s="254"/>
      <c r="AE19" s="254"/>
      <c r="AF19" s="254"/>
      <c r="AG19" s="254"/>
      <c r="AH19" s="254"/>
      <c r="AI19" s="254"/>
      <c r="AJ19" s="254"/>
      <c r="AK19" s="254"/>
      <c r="AL19" s="252"/>
      <c r="AM19" s="252"/>
      <c r="AN19" s="252"/>
      <c r="AO19" s="252"/>
    </row>
    <row r="20" spans="2:41" ht="21" customHeight="1">
      <c r="B20" s="1632">
        <v>4</v>
      </c>
      <c r="C20" s="2074"/>
      <c r="D20" s="2074"/>
      <c r="E20" s="2074"/>
      <c r="F20" s="2074"/>
      <c r="G20" s="2075"/>
      <c r="H20" s="2075"/>
      <c r="I20" s="2074"/>
      <c r="J20" s="2075"/>
      <c r="K20" s="2074"/>
      <c r="L20" s="2074"/>
      <c r="M20" s="2074"/>
      <c r="N20" s="2172"/>
      <c r="O20" s="2074"/>
      <c r="P20" s="2212"/>
      <c r="Q20" s="1511"/>
      <c r="R20" s="343"/>
      <c r="S20" s="344"/>
      <c r="T20" s="343"/>
      <c r="U20" s="344"/>
      <c r="V20" s="343"/>
      <c r="W20" s="333"/>
      <c r="X20" s="333"/>
      <c r="Y20" s="334"/>
      <c r="Z20" s="335"/>
      <c r="AA20" s="335"/>
      <c r="AB20" s="335"/>
      <c r="AC20" s="335"/>
      <c r="AD20" s="254"/>
      <c r="AE20" s="254"/>
      <c r="AF20" s="254"/>
      <c r="AG20" s="254"/>
      <c r="AH20" s="254"/>
      <c r="AI20" s="254"/>
      <c r="AJ20" s="254"/>
      <c r="AK20" s="254"/>
      <c r="AL20" s="252"/>
      <c r="AM20" s="252"/>
      <c r="AN20" s="252"/>
      <c r="AO20" s="252"/>
    </row>
    <row r="21" spans="2:41" ht="21" customHeight="1">
      <c r="B21" s="1633">
        <v>5</v>
      </c>
      <c r="C21" s="2074"/>
      <c r="D21" s="2074"/>
      <c r="E21" s="2074"/>
      <c r="F21" s="2074"/>
      <c r="G21" s="2075"/>
      <c r="H21" s="2075"/>
      <c r="I21" s="2074"/>
      <c r="J21" s="2075"/>
      <c r="K21" s="2074"/>
      <c r="L21" s="2074"/>
      <c r="M21" s="2074"/>
      <c r="N21" s="2172"/>
      <c r="O21" s="2074"/>
      <c r="P21" s="2212"/>
      <c r="Q21" s="1511"/>
      <c r="R21" s="343"/>
      <c r="S21" s="344"/>
      <c r="T21" s="343"/>
      <c r="U21" s="344"/>
      <c r="V21" s="343"/>
      <c r="W21" s="333"/>
      <c r="X21" s="333"/>
      <c r="Y21" s="334"/>
      <c r="Z21" s="335"/>
      <c r="AA21" s="335"/>
      <c r="AB21" s="335"/>
      <c r="AC21" s="335"/>
      <c r="AD21" s="254"/>
      <c r="AE21" s="254"/>
      <c r="AF21" s="254"/>
      <c r="AG21" s="254"/>
      <c r="AH21" s="254"/>
      <c r="AI21" s="254"/>
      <c r="AJ21" s="254"/>
      <c r="AK21" s="254"/>
      <c r="AL21" s="252"/>
      <c r="AM21" s="252"/>
      <c r="AN21" s="252"/>
      <c r="AO21" s="252"/>
    </row>
    <row r="22" spans="2:41" ht="21" customHeight="1">
      <c r="B22" s="1632">
        <v>6</v>
      </c>
      <c r="C22" s="2074"/>
      <c r="D22" s="2074"/>
      <c r="E22" s="2074"/>
      <c r="F22" s="2074"/>
      <c r="G22" s="2075"/>
      <c r="H22" s="2075"/>
      <c r="I22" s="2074"/>
      <c r="J22" s="2075"/>
      <c r="K22" s="2074"/>
      <c r="L22" s="2074"/>
      <c r="M22" s="2074"/>
      <c r="N22" s="2172"/>
      <c r="O22" s="2074"/>
      <c r="P22" s="2212"/>
      <c r="Q22" s="1511"/>
      <c r="R22" s="343"/>
      <c r="S22" s="344"/>
      <c r="T22" s="343"/>
      <c r="U22" s="344"/>
      <c r="V22" s="343"/>
      <c r="W22" s="333"/>
      <c r="X22" s="333"/>
      <c r="Y22" s="334"/>
      <c r="Z22" s="335"/>
      <c r="AA22" s="335"/>
      <c r="AB22" s="335"/>
      <c r="AC22" s="335"/>
      <c r="AD22" s="254"/>
      <c r="AE22" s="254"/>
      <c r="AF22" s="254"/>
      <c r="AG22" s="254"/>
      <c r="AH22" s="254"/>
      <c r="AI22" s="254"/>
      <c r="AJ22" s="254"/>
      <c r="AK22" s="254"/>
      <c r="AL22" s="252"/>
      <c r="AM22" s="252"/>
      <c r="AN22" s="252"/>
      <c r="AO22" s="252"/>
    </row>
    <row r="23" spans="2:41" ht="21" customHeight="1">
      <c r="B23" s="1632">
        <v>7</v>
      </c>
      <c r="C23" s="2074"/>
      <c r="D23" s="2074"/>
      <c r="E23" s="2074"/>
      <c r="F23" s="2074"/>
      <c r="G23" s="2075"/>
      <c r="H23" s="2075"/>
      <c r="I23" s="2074"/>
      <c r="J23" s="2075"/>
      <c r="K23" s="2074"/>
      <c r="L23" s="2074"/>
      <c r="M23" s="2074"/>
      <c r="N23" s="2172"/>
      <c r="O23" s="2074"/>
      <c r="P23" s="2212"/>
      <c r="Q23" s="1511"/>
      <c r="R23" s="343"/>
      <c r="S23" s="344"/>
      <c r="T23" s="343"/>
      <c r="U23" s="344"/>
      <c r="V23" s="343"/>
      <c r="W23" s="333"/>
      <c r="X23" s="333"/>
      <c r="Y23" s="334"/>
      <c r="Z23" s="335"/>
      <c r="AA23" s="335"/>
      <c r="AB23" s="335"/>
      <c r="AC23" s="335"/>
      <c r="AD23" s="254"/>
      <c r="AE23" s="254"/>
      <c r="AF23" s="254"/>
      <c r="AG23" s="254"/>
      <c r="AH23" s="254"/>
      <c r="AI23" s="254"/>
      <c r="AJ23" s="254"/>
      <c r="AK23" s="254"/>
      <c r="AL23" s="252"/>
      <c r="AM23" s="252"/>
      <c r="AN23" s="252"/>
      <c r="AO23" s="252"/>
    </row>
    <row r="24" spans="2:41" ht="21" customHeight="1">
      <c r="B24" s="1632">
        <v>8</v>
      </c>
      <c r="C24" s="2074"/>
      <c r="D24" s="2074"/>
      <c r="E24" s="2074"/>
      <c r="F24" s="2074"/>
      <c r="G24" s="2075"/>
      <c r="H24" s="2075"/>
      <c r="I24" s="2074"/>
      <c r="J24" s="2075"/>
      <c r="K24" s="2074"/>
      <c r="L24" s="2074"/>
      <c r="M24" s="2074"/>
      <c r="N24" s="2172"/>
      <c r="O24" s="2074"/>
      <c r="P24" s="2212"/>
      <c r="Q24" s="1511"/>
      <c r="R24" s="343"/>
      <c r="S24" s="344"/>
      <c r="T24" s="343"/>
      <c r="U24" s="344"/>
      <c r="V24" s="343"/>
      <c r="W24" s="333"/>
      <c r="X24" s="333"/>
      <c r="Y24" s="334"/>
      <c r="Z24" s="335"/>
      <c r="AA24" s="335"/>
      <c r="AB24" s="335"/>
      <c r="AC24" s="335"/>
      <c r="AD24" s="254"/>
      <c r="AE24" s="254"/>
      <c r="AF24" s="254"/>
      <c r="AG24" s="254"/>
      <c r="AH24" s="254"/>
      <c r="AI24" s="254"/>
      <c r="AJ24" s="254"/>
      <c r="AK24" s="254"/>
      <c r="AL24" s="252"/>
      <c r="AM24" s="252"/>
      <c r="AN24" s="252"/>
      <c r="AO24" s="252"/>
    </row>
    <row r="25" spans="2:41" ht="21" customHeight="1">
      <c r="B25" s="1633">
        <v>9</v>
      </c>
      <c r="C25" s="2074"/>
      <c r="D25" s="2074"/>
      <c r="E25" s="2074"/>
      <c r="F25" s="2074"/>
      <c r="G25" s="2075"/>
      <c r="H25" s="2074"/>
      <c r="I25" s="2074"/>
      <c r="J25" s="2075"/>
      <c r="K25" s="2074"/>
      <c r="L25" s="2074"/>
      <c r="M25" s="2074"/>
      <c r="N25" s="2172"/>
      <c r="O25" s="2074"/>
      <c r="P25" s="2212"/>
      <c r="Q25" s="1511"/>
      <c r="R25" s="343"/>
      <c r="S25" s="344"/>
      <c r="T25" s="343"/>
      <c r="U25" s="344"/>
      <c r="V25" s="343"/>
      <c r="W25" s="333"/>
      <c r="X25" s="333"/>
      <c r="Y25" s="334"/>
      <c r="Z25" s="335"/>
      <c r="AA25" s="335"/>
      <c r="AB25" s="335"/>
      <c r="AC25" s="335"/>
      <c r="AD25" s="254"/>
      <c r="AE25" s="254"/>
      <c r="AF25" s="254"/>
      <c r="AG25" s="254"/>
      <c r="AH25" s="254"/>
      <c r="AI25" s="254"/>
      <c r="AJ25" s="254"/>
      <c r="AK25" s="254"/>
      <c r="AL25" s="252"/>
      <c r="AM25" s="252"/>
      <c r="AN25" s="252"/>
      <c r="AO25" s="252"/>
    </row>
    <row r="26" spans="2:41" ht="21" customHeight="1">
      <c r="B26" s="1632">
        <v>10</v>
      </c>
      <c r="C26" s="2075"/>
      <c r="D26" s="2075"/>
      <c r="E26" s="2074"/>
      <c r="F26" s="2075"/>
      <c r="G26" s="2075"/>
      <c r="H26" s="2075"/>
      <c r="I26" s="2074"/>
      <c r="J26" s="2075"/>
      <c r="K26" s="2074"/>
      <c r="L26" s="2074"/>
      <c r="M26" s="2074"/>
      <c r="N26" s="2172"/>
      <c r="O26" s="2074"/>
      <c r="P26" s="2212"/>
      <c r="Q26" s="1511"/>
      <c r="R26" s="343"/>
      <c r="S26" s="344"/>
      <c r="T26" s="343"/>
      <c r="U26" s="344"/>
      <c r="V26" s="343"/>
      <c r="W26" s="333"/>
      <c r="X26" s="333"/>
      <c r="Y26" s="334"/>
      <c r="Z26" s="335"/>
      <c r="AA26" s="335"/>
      <c r="AB26" s="335"/>
      <c r="AC26" s="335"/>
      <c r="AD26" s="254"/>
      <c r="AE26" s="254"/>
      <c r="AF26" s="254"/>
      <c r="AG26" s="254"/>
      <c r="AH26" s="254"/>
      <c r="AI26" s="254"/>
      <c r="AJ26" s="254"/>
      <c r="AK26" s="254"/>
      <c r="AL26" s="252"/>
      <c r="AM26" s="252"/>
      <c r="AN26" s="252"/>
      <c r="AO26" s="252"/>
    </row>
    <row r="27" spans="2:41" ht="21" customHeight="1">
      <c r="B27" s="1632">
        <v>11</v>
      </c>
      <c r="C27" s="2074"/>
      <c r="D27" s="2074"/>
      <c r="E27" s="2075"/>
      <c r="F27" s="2074"/>
      <c r="G27" s="2075"/>
      <c r="H27" s="2075"/>
      <c r="I27" s="2074"/>
      <c r="J27" s="2075"/>
      <c r="K27" s="2074"/>
      <c r="L27" s="2074"/>
      <c r="M27" s="2074"/>
      <c r="N27" s="2172"/>
      <c r="O27" s="2074"/>
      <c r="P27" s="2212"/>
      <c r="Q27" s="1511"/>
      <c r="R27" s="343"/>
      <c r="S27" s="344"/>
      <c r="T27" s="343"/>
      <c r="U27" s="344"/>
      <c r="V27" s="343"/>
      <c r="W27" s="333"/>
      <c r="X27" s="333"/>
      <c r="Y27" s="336"/>
      <c r="Z27" s="335"/>
      <c r="AA27" s="335"/>
      <c r="AB27" s="335"/>
      <c r="AC27" s="335"/>
      <c r="AD27" s="254"/>
      <c r="AE27" s="254"/>
      <c r="AF27" s="254"/>
      <c r="AG27" s="254"/>
      <c r="AH27" s="254"/>
      <c r="AI27" s="254"/>
      <c r="AJ27" s="254"/>
      <c r="AK27" s="254"/>
      <c r="AL27" s="252"/>
      <c r="AM27" s="252"/>
      <c r="AN27" s="252"/>
      <c r="AO27" s="252"/>
    </row>
    <row r="28" spans="2:41" ht="21" customHeight="1">
      <c r="B28" s="1632">
        <v>12</v>
      </c>
      <c r="C28" s="2074"/>
      <c r="D28" s="2074"/>
      <c r="E28" s="2074"/>
      <c r="F28" s="2074"/>
      <c r="G28" s="2075"/>
      <c r="H28" s="2075"/>
      <c r="I28" s="2074"/>
      <c r="J28" s="2075"/>
      <c r="K28" s="2074"/>
      <c r="L28" s="2074"/>
      <c r="M28" s="2074"/>
      <c r="N28" s="2172"/>
      <c r="O28" s="2074"/>
      <c r="P28" s="2212"/>
      <c r="Q28" s="1511"/>
      <c r="R28" s="343"/>
      <c r="S28" s="344"/>
      <c r="T28" s="343"/>
      <c r="U28" s="344"/>
      <c r="V28" s="343"/>
      <c r="W28" s="333"/>
      <c r="X28" s="333"/>
      <c r="Y28" s="336"/>
      <c r="Z28" s="335"/>
      <c r="AA28" s="333"/>
      <c r="AB28" s="335"/>
      <c r="AC28" s="333"/>
      <c r="AD28" s="252"/>
      <c r="AE28" s="252"/>
      <c r="AF28" s="252"/>
      <c r="AG28" s="252"/>
      <c r="AH28" s="252"/>
      <c r="AI28" s="254"/>
      <c r="AJ28" s="254"/>
      <c r="AK28" s="252"/>
      <c r="AL28" s="252"/>
      <c r="AM28" s="252"/>
      <c r="AN28" s="252"/>
      <c r="AO28" s="252"/>
    </row>
    <row r="29" spans="2:41" ht="21" customHeight="1">
      <c r="B29" s="1633">
        <v>13</v>
      </c>
      <c r="C29" s="2074"/>
      <c r="D29" s="2074"/>
      <c r="E29" s="2074"/>
      <c r="F29" s="2074"/>
      <c r="G29" s="2075"/>
      <c r="H29" s="2075"/>
      <c r="I29" s="2074"/>
      <c r="J29" s="2075"/>
      <c r="K29" s="2074"/>
      <c r="L29" s="2074"/>
      <c r="M29" s="2074"/>
      <c r="N29" s="2172"/>
      <c r="O29" s="2074"/>
      <c r="P29" s="2212"/>
      <c r="Q29" s="1511"/>
      <c r="R29" s="343"/>
      <c r="S29" s="344"/>
      <c r="T29" s="343"/>
      <c r="U29" s="344"/>
      <c r="V29" s="343"/>
      <c r="W29" s="333"/>
      <c r="X29" s="333"/>
      <c r="Y29" s="336"/>
      <c r="Z29" s="333"/>
      <c r="AA29" s="333"/>
      <c r="AB29" s="335"/>
      <c r="AC29" s="333"/>
      <c r="AD29" s="252"/>
      <c r="AE29" s="252"/>
      <c r="AF29" s="252"/>
      <c r="AG29" s="252"/>
      <c r="AH29" s="252"/>
      <c r="AI29" s="252"/>
      <c r="AJ29" s="252"/>
      <c r="AK29" s="252"/>
      <c r="AL29" s="252"/>
      <c r="AM29" s="252"/>
      <c r="AN29" s="252"/>
      <c r="AO29" s="252"/>
    </row>
    <row r="30" spans="2:41" ht="21" customHeight="1">
      <c r="B30" s="1632">
        <v>14</v>
      </c>
      <c r="C30" s="2074"/>
      <c r="D30" s="2074"/>
      <c r="E30" s="2074"/>
      <c r="F30" s="2074"/>
      <c r="G30" s="2075"/>
      <c r="H30" s="2074"/>
      <c r="I30" s="2074"/>
      <c r="J30" s="2075"/>
      <c r="K30" s="2074"/>
      <c r="L30" s="2074"/>
      <c r="M30" s="2074"/>
      <c r="N30" s="2172"/>
      <c r="O30" s="2074"/>
      <c r="P30" s="2212"/>
      <c r="Q30" s="1511"/>
      <c r="R30" s="343"/>
      <c r="S30" s="344"/>
      <c r="T30" s="343"/>
      <c r="U30" s="344"/>
      <c r="V30" s="343"/>
      <c r="W30" s="333"/>
      <c r="X30" s="333"/>
      <c r="Y30" s="334"/>
      <c r="Z30" s="333"/>
      <c r="AA30" s="333"/>
      <c r="AB30" s="335"/>
      <c r="AC30" s="333"/>
      <c r="AD30" s="252"/>
      <c r="AE30" s="252"/>
      <c r="AF30" s="252"/>
      <c r="AG30" s="252"/>
      <c r="AH30" s="252"/>
      <c r="AI30" s="252"/>
      <c r="AJ30" s="252"/>
      <c r="AK30" s="252"/>
      <c r="AL30" s="252"/>
      <c r="AM30" s="252"/>
      <c r="AN30" s="252"/>
      <c r="AO30" s="252"/>
    </row>
    <row r="31" spans="2:41" ht="21" customHeight="1">
      <c r="B31" s="1632">
        <v>15</v>
      </c>
      <c r="C31" s="2074"/>
      <c r="D31" s="2074"/>
      <c r="E31" s="2074"/>
      <c r="F31" s="2074"/>
      <c r="G31" s="2075"/>
      <c r="H31" s="2075"/>
      <c r="I31" s="2074"/>
      <c r="J31" s="2075"/>
      <c r="K31" s="2074"/>
      <c r="L31" s="2074"/>
      <c r="M31" s="2074"/>
      <c r="N31" s="2172"/>
      <c r="O31" s="2074"/>
      <c r="P31" s="2212"/>
      <c r="Q31" s="1511"/>
      <c r="R31" s="343"/>
      <c r="S31" s="344"/>
      <c r="T31" s="343"/>
      <c r="U31" s="344"/>
      <c r="V31" s="343"/>
      <c r="W31" s="333"/>
      <c r="X31" s="333"/>
      <c r="Y31" s="334"/>
      <c r="Z31" s="333"/>
      <c r="AA31" s="333"/>
      <c r="AB31" s="335"/>
      <c r="AC31" s="333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  <c r="AO31" s="252"/>
    </row>
    <row r="32" spans="2:41" ht="21" customHeight="1">
      <c r="B32" s="1632">
        <v>16</v>
      </c>
      <c r="C32" s="2074"/>
      <c r="D32" s="2074"/>
      <c r="E32" s="2074"/>
      <c r="F32" s="2074"/>
      <c r="G32" s="2074"/>
      <c r="H32" s="2075"/>
      <c r="I32" s="2074"/>
      <c r="J32" s="2075"/>
      <c r="K32" s="2074"/>
      <c r="L32" s="2074"/>
      <c r="M32" s="2074"/>
      <c r="N32" s="2172"/>
      <c r="O32" s="2074"/>
      <c r="P32" s="2212"/>
      <c r="Q32" s="1511"/>
      <c r="R32" s="343"/>
      <c r="S32" s="344"/>
      <c r="T32" s="343"/>
      <c r="U32" s="344"/>
      <c r="V32" s="343"/>
      <c r="W32" s="333"/>
      <c r="X32" s="333"/>
      <c r="Y32" s="334"/>
      <c r="Z32" s="333"/>
      <c r="AA32" s="333"/>
      <c r="AB32" s="335"/>
      <c r="AC32" s="333"/>
      <c r="AD32" s="252"/>
      <c r="AE32" s="252"/>
      <c r="AF32" s="252"/>
      <c r="AG32" s="252"/>
      <c r="AH32" s="252"/>
      <c r="AI32" s="252"/>
      <c r="AJ32" s="252"/>
      <c r="AK32" s="252"/>
      <c r="AL32" s="252"/>
      <c r="AM32" s="252"/>
      <c r="AN32" s="252"/>
      <c r="AO32" s="252"/>
    </row>
    <row r="33" spans="2:41" ht="21" customHeight="1">
      <c r="B33" s="1633">
        <v>17</v>
      </c>
      <c r="C33" s="2074"/>
      <c r="D33" s="2074"/>
      <c r="E33" s="2074"/>
      <c r="F33" s="2074"/>
      <c r="G33" s="2075"/>
      <c r="H33" s="2075"/>
      <c r="I33" s="2074"/>
      <c r="J33" s="2075"/>
      <c r="K33" s="2074"/>
      <c r="L33" s="2074"/>
      <c r="M33" s="2074"/>
      <c r="N33" s="2172"/>
      <c r="O33" s="2074"/>
      <c r="P33" s="2212"/>
      <c r="Q33" s="1511"/>
      <c r="R33" s="343"/>
      <c r="S33" s="344"/>
      <c r="T33" s="343"/>
      <c r="U33" s="344"/>
      <c r="V33" s="343"/>
      <c r="W33" s="333"/>
      <c r="X33" s="333"/>
      <c r="Y33" s="334"/>
      <c r="Z33" s="333"/>
      <c r="AA33" s="333"/>
      <c r="AB33" s="335"/>
      <c r="AC33" s="333"/>
      <c r="AD33" s="252"/>
      <c r="AE33" s="252"/>
      <c r="AF33" s="252"/>
      <c r="AG33" s="252"/>
      <c r="AH33" s="252"/>
      <c r="AI33" s="252"/>
      <c r="AJ33" s="252"/>
      <c r="AK33" s="252"/>
      <c r="AL33" s="252"/>
      <c r="AM33" s="252"/>
      <c r="AN33" s="252"/>
      <c r="AO33" s="252"/>
    </row>
    <row r="34" spans="2:41" ht="21" customHeight="1">
      <c r="B34" s="1632">
        <v>18</v>
      </c>
      <c r="C34" s="2074"/>
      <c r="D34" s="2074"/>
      <c r="E34" s="2074"/>
      <c r="F34" s="2074"/>
      <c r="G34" s="2075"/>
      <c r="H34" s="2075"/>
      <c r="I34" s="2074"/>
      <c r="J34" s="2075"/>
      <c r="K34" s="2074"/>
      <c r="L34" s="2074"/>
      <c r="M34" s="2074"/>
      <c r="N34" s="2172"/>
      <c r="O34" s="2074"/>
      <c r="P34" s="2212"/>
      <c r="Q34" s="1511"/>
      <c r="R34" s="343"/>
      <c r="S34" s="344"/>
      <c r="T34" s="343"/>
      <c r="U34" s="344"/>
      <c r="V34" s="343"/>
      <c r="W34" s="333"/>
      <c r="X34" s="333"/>
      <c r="Y34" s="334"/>
      <c r="Z34" s="333"/>
      <c r="AA34" s="333"/>
      <c r="AB34" s="337"/>
      <c r="AC34" s="333"/>
      <c r="AD34" s="252"/>
      <c r="AE34" s="252"/>
      <c r="AF34" s="252"/>
      <c r="AG34" s="252"/>
      <c r="AH34" s="252"/>
      <c r="AI34" s="252"/>
      <c r="AJ34" s="252"/>
      <c r="AK34" s="252"/>
      <c r="AL34" s="252"/>
      <c r="AM34" s="252"/>
      <c r="AN34" s="252"/>
      <c r="AO34" s="252"/>
    </row>
    <row r="35" spans="2:41" ht="21" customHeight="1">
      <c r="B35" s="1632">
        <v>19</v>
      </c>
      <c r="C35" s="2074"/>
      <c r="D35" s="2074"/>
      <c r="E35" s="2074"/>
      <c r="F35" s="2074"/>
      <c r="G35" s="2075"/>
      <c r="H35" s="2075"/>
      <c r="I35" s="2074"/>
      <c r="J35" s="2075"/>
      <c r="K35" s="2074"/>
      <c r="L35" s="2074"/>
      <c r="M35" s="2074"/>
      <c r="N35" s="2172"/>
      <c r="O35" s="2074"/>
      <c r="P35" s="2212"/>
      <c r="Q35" s="1511"/>
      <c r="R35" s="343"/>
      <c r="S35" s="344"/>
      <c r="T35" s="343"/>
      <c r="U35" s="344"/>
      <c r="V35" s="343"/>
      <c r="W35" s="333"/>
      <c r="X35" s="333"/>
      <c r="Y35" s="334"/>
      <c r="Z35" s="333"/>
      <c r="AA35" s="333"/>
      <c r="AB35" s="333"/>
      <c r="AC35" s="333"/>
      <c r="AD35" s="252"/>
      <c r="AE35" s="252"/>
      <c r="AF35" s="252"/>
      <c r="AG35" s="252"/>
      <c r="AH35" s="252"/>
      <c r="AI35" s="252"/>
      <c r="AJ35" s="252"/>
      <c r="AK35" s="252"/>
      <c r="AL35" s="252"/>
      <c r="AM35" s="252"/>
      <c r="AN35" s="252"/>
      <c r="AO35" s="252"/>
    </row>
    <row r="36" spans="2:41" ht="21" customHeight="1">
      <c r="B36" s="1632">
        <v>20</v>
      </c>
      <c r="C36" s="2074"/>
      <c r="D36" s="2075"/>
      <c r="E36" s="2074"/>
      <c r="F36" s="2075"/>
      <c r="G36" s="2075"/>
      <c r="H36" s="2075"/>
      <c r="I36" s="2074"/>
      <c r="J36" s="2075"/>
      <c r="K36" s="2074"/>
      <c r="L36" s="2074"/>
      <c r="M36" s="2074"/>
      <c r="N36" s="2172"/>
      <c r="O36" s="2074"/>
      <c r="P36" s="2212"/>
      <c r="Q36" s="1511"/>
      <c r="R36" s="343"/>
      <c r="S36" s="344"/>
      <c r="T36" s="343"/>
      <c r="U36" s="344"/>
      <c r="V36" s="343"/>
      <c r="W36" s="326"/>
      <c r="X36" s="326"/>
      <c r="Y36" s="321"/>
      <c r="Z36" s="326"/>
      <c r="AA36" s="326"/>
      <c r="AB36" s="326"/>
      <c r="AC36" s="326"/>
      <c r="AD36" s="252"/>
      <c r="AE36" s="252"/>
      <c r="AF36" s="252"/>
      <c r="AG36" s="252"/>
      <c r="AH36" s="252"/>
      <c r="AI36" s="252"/>
      <c r="AJ36" s="252"/>
      <c r="AK36" s="252"/>
      <c r="AL36" s="252"/>
      <c r="AM36" s="252"/>
      <c r="AN36" s="252"/>
      <c r="AO36" s="252"/>
    </row>
    <row r="37" spans="2:41" ht="21" customHeight="1">
      <c r="B37" s="1633">
        <v>21</v>
      </c>
      <c r="C37" s="2074"/>
      <c r="D37" s="2074"/>
      <c r="E37" s="2075"/>
      <c r="F37" s="2074"/>
      <c r="G37" s="2075"/>
      <c r="H37" s="2075"/>
      <c r="I37" s="2074"/>
      <c r="J37" s="2075"/>
      <c r="K37" s="2074"/>
      <c r="L37" s="2074"/>
      <c r="M37" s="2074"/>
      <c r="N37" s="2172"/>
      <c r="O37" s="2074"/>
      <c r="P37" s="2212"/>
      <c r="Q37" s="1511"/>
      <c r="R37" s="343"/>
      <c r="S37" s="344"/>
      <c r="T37" s="343"/>
      <c r="U37" s="344"/>
      <c r="V37" s="343"/>
      <c r="W37" s="326"/>
      <c r="X37" s="326"/>
      <c r="Y37" s="321"/>
      <c r="Z37" s="326"/>
      <c r="AA37" s="326"/>
      <c r="AB37" s="326"/>
      <c r="AC37" s="326"/>
      <c r="AD37" s="252"/>
      <c r="AE37" s="252"/>
      <c r="AF37" s="252"/>
      <c r="AG37" s="252"/>
      <c r="AH37" s="252"/>
      <c r="AI37" s="252"/>
      <c r="AJ37" s="252"/>
      <c r="AK37" s="252"/>
      <c r="AL37" s="252"/>
      <c r="AM37" s="252"/>
      <c r="AN37" s="252"/>
      <c r="AO37" s="252"/>
    </row>
    <row r="38" spans="2:41" ht="21" customHeight="1">
      <c r="B38" s="1632">
        <v>22</v>
      </c>
      <c r="C38" s="2074"/>
      <c r="D38" s="2074"/>
      <c r="E38" s="2074"/>
      <c r="F38" s="2074"/>
      <c r="G38" s="2075"/>
      <c r="H38" s="2075"/>
      <c r="I38" s="2074"/>
      <c r="J38" s="2074"/>
      <c r="K38" s="2074"/>
      <c r="L38" s="2074"/>
      <c r="M38" s="2074"/>
      <c r="N38" s="2172"/>
      <c r="O38" s="2074"/>
      <c r="P38" s="2213"/>
      <c r="Q38" s="1511"/>
      <c r="R38" s="343"/>
      <c r="S38" s="344"/>
      <c r="T38" s="343"/>
      <c r="U38" s="344"/>
      <c r="V38" s="343"/>
      <c r="W38" s="326"/>
      <c r="X38" s="326"/>
      <c r="Y38" s="321"/>
      <c r="Z38" s="326"/>
      <c r="AA38" s="326"/>
      <c r="AB38" s="326"/>
      <c r="AC38" s="326"/>
      <c r="AD38" s="252"/>
      <c r="AE38" s="252"/>
      <c r="AF38" s="252"/>
      <c r="AG38" s="252"/>
      <c r="AH38" s="252"/>
      <c r="AI38" s="252"/>
      <c r="AJ38" s="252"/>
      <c r="AK38" s="252"/>
      <c r="AL38" s="252"/>
      <c r="AM38" s="252"/>
      <c r="AN38" s="252"/>
      <c r="AO38" s="252"/>
    </row>
    <row r="39" spans="2:41" ht="21" customHeight="1">
      <c r="B39" s="1632">
        <v>23</v>
      </c>
      <c r="C39" s="2074"/>
      <c r="D39" s="2074"/>
      <c r="E39" s="2074"/>
      <c r="F39" s="2074"/>
      <c r="G39" s="2074"/>
      <c r="H39" s="2075"/>
      <c r="I39" s="2074"/>
      <c r="J39" s="2075"/>
      <c r="K39" s="2074"/>
      <c r="L39" s="2074"/>
      <c r="M39" s="2074"/>
      <c r="N39" s="2172"/>
      <c r="O39" s="2074"/>
      <c r="P39" s="2213"/>
      <c r="Q39" s="1511"/>
      <c r="R39" s="343"/>
      <c r="S39" s="344"/>
      <c r="T39" s="343"/>
      <c r="U39" s="344"/>
      <c r="V39" s="343"/>
      <c r="W39" s="326"/>
      <c r="X39" s="326"/>
      <c r="Y39" s="321"/>
      <c r="Z39" s="326"/>
      <c r="AA39" s="326"/>
      <c r="AB39" s="326"/>
      <c r="AC39" s="326"/>
      <c r="AD39" s="252"/>
      <c r="AE39" s="252"/>
      <c r="AF39" s="252"/>
      <c r="AG39" s="252"/>
      <c r="AH39" s="252"/>
      <c r="AI39" s="252"/>
      <c r="AJ39" s="252"/>
      <c r="AK39" s="252"/>
      <c r="AL39" s="252"/>
      <c r="AM39" s="252"/>
      <c r="AN39" s="252"/>
      <c r="AO39" s="252"/>
    </row>
    <row r="40" spans="2:41" ht="21" customHeight="1">
      <c r="B40" s="1632">
        <v>24</v>
      </c>
      <c r="C40" s="2074"/>
      <c r="D40" s="2074"/>
      <c r="E40" s="2074"/>
      <c r="F40" s="2074"/>
      <c r="G40" s="2075"/>
      <c r="H40" s="2074"/>
      <c r="I40" s="2075"/>
      <c r="J40" s="2075"/>
      <c r="K40" s="2074"/>
      <c r="L40" s="2074"/>
      <c r="M40" s="2074"/>
      <c r="N40" s="2172"/>
      <c r="O40" s="2074"/>
      <c r="P40" s="2213"/>
      <c r="Q40" s="1511"/>
      <c r="R40" s="343"/>
      <c r="S40" s="344"/>
      <c r="T40" s="343"/>
      <c r="U40" s="344"/>
      <c r="V40" s="343"/>
      <c r="W40" s="326"/>
      <c r="X40" s="326"/>
      <c r="Y40" s="321"/>
      <c r="Z40" s="326"/>
      <c r="AA40" s="326"/>
      <c r="AB40" s="326"/>
      <c r="AC40" s="326"/>
      <c r="AD40" s="252"/>
      <c r="AE40" s="252"/>
      <c r="AF40" s="252"/>
      <c r="AG40" s="252"/>
      <c r="AH40" s="252"/>
      <c r="AI40" s="252"/>
      <c r="AJ40" s="252"/>
      <c r="AK40" s="252"/>
      <c r="AL40" s="252"/>
      <c r="AM40" s="252"/>
      <c r="AN40" s="252"/>
      <c r="AO40" s="252"/>
    </row>
    <row r="41" spans="2:41" ht="21" customHeight="1">
      <c r="B41" s="1633">
        <v>25</v>
      </c>
      <c r="C41" s="2074"/>
      <c r="D41" s="2074"/>
      <c r="E41" s="2074"/>
      <c r="F41" s="2074"/>
      <c r="G41" s="2075"/>
      <c r="H41" s="2075"/>
      <c r="I41" s="2075"/>
      <c r="J41" s="2075"/>
      <c r="K41" s="2074"/>
      <c r="L41" s="2074"/>
      <c r="M41" s="2074"/>
      <c r="N41" s="2172"/>
      <c r="O41" s="2074"/>
      <c r="P41" s="2213"/>
      <c r="Q41" s="1511"/>
      <c r="R41" s="343"/>
      <c r="S41" s="344"/>
      <c r="T41" s="343"/>
      <c r="U41" s="344"/>
      <c r="V41" s="343"/>
      <c r="W41" s="326"/>
      <c r="X41" s="326"/>
      <c r="Y41" s="321"/>
      <c r="Z41" s="326"/>
      <c r="AA41" s="326"/>
      <c r="AB41" s="326"/>
      <c r="AC41" s="326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2"/>
    </row>
    <row r="42" spans="2:41" ht="21" customHeight="1">
      <c r="B42" s="1632">
        <v>26</v>
      </c>
      <c r="C42" s="2074"/>
      <c r="D42" s="2074"/>
      <c r="E42" s="2074"/>
      <c r="F42" s="2075"/>
      <c r="G42" s="2074"/>
      <c r="H42" s="2075"/>
      <c r="I42" s="2075"/>
      <c r="J42" s="2075"/>
      <c r="K42" s="2074"/>
      <c r="L42" s="2074"/>
      <c r="M42" s="2074"/>
      <c r="N42" s="2172"/>
      <c r="O42" s="2074"/>
      <c r="P42" s="2213"/>
      <c r="Q42" s="1511"/>
      <c r="R42" s="343"/>
      <c r="S42" s="344"/>
      <c r="T42" s="343"/>
      <c r="U42" s="344"/>
      <c r="V42" s="343"/>
      <c r="W42" s="326"/>
      <c r="X42" s="326"/>
      <c r="Y42" s="321"/>
      <c r="Z42" s="326"/>
      <c r="AA42" s="326"/>
      <c r="AB42" s="326"/>
      <c r="AC42" s="326"/>
      <c r="AD42" s="252"/>
      <c r="AE42" s="252"/>
      <c r="AF42" s="252"/>
      <c r="AG42" s="252"/>
      <c r="AH42" s="252"/>
      <c r="AI42" s="252"/>
      <c r="AJ42" s="252"/>
      <c r="AK42" s="252"/>
      <c r="AL42" s="252"/>
      <c r="AM42" s="252"/>
      <c r="AN42" s="252"/>
      <c r="AO42" s="252"/>
    </row>
    <row r="43" spans="2:41" ht="21" customHeight="1">
      <c r="B43" s="1632">
        <v>27</v>
      </c>
      <c r="C43" s="2074"/>
      <c r="D43" s="2074"/>
      <c r="E43" s="2075"/>
      <c r="F43" s="2075"/>
      <c r="G43" s="2075"/>
      <c r="H43" s="2075"/>
      <c r="I43" s="2075"/>
      <c r="J43" s="2075"/>
      <c r="K43" s="2074"/>
      <c r="L43" s="2074"/>
      <c r="M43" s="2074"/>
      <c r="N43" s="2172"/>
      <c r="O43" s="2074"/>
      <c r="P43" s="2213"/>
      <c r="Q43" s="1511"/>
      <c r="R43" s="343"/>
      <c r="S43" s="344"/>
      <c r="T43" s="343"/>
      <c r="U43" s="344"/>
      <c r="V43" s="343"/>
      <c r="W43" s="326"/>
      <c r="X43" s="326"/>
      <c r="Y43" s="321"/>
      <c r="Z43" s="326"/>
      <c r="AA43" s="326"/>
      <c r="AB43" s="326"/>
      <c r="AC43" s="326"/>
      <c r="AD43" s="252"/>
      <c r="AE43" s="252"/>
      <c r="AF43" s="252"/>
      <c r="AG43" s="252"/>
      <c r="AH43" s="252"/>
      <c r="AI43" s="252"/>
      <c r="AJ43" s="252"/>
      <c r="AK43" s="252"/>
      <c r="AL43" s="252"/>
      <c r="AM43" s="252"/>
      <c r="AN43" s="252"/>
      <c r="AO43" s="252"/>
    </row>
    <row r="44" spans="2:41" ht="21" customHeight="1">
      <c r="B44" s="1632">
        <v>28</v>
      </c>
      <c r="C44" s="2075"/>
      <c r="D44" s="2074"/>
      <c r="E44" s="2075"/>
      <c r="F44" s="2075"/>
      <c r="G44" s="2075"/>
      <c r="H44" s="2075"/>
      <c r="I44" s="2075"/>
      <c r="J44" s="2075"/>
      <c r="K44" s="2074"/>
      <c r="L44" s="2074"/>
      <c r="M44" s="2074"/>
      <c r="N44" s="2172"/>
      <c r="O44" s="2074"/>
      <c r="P44" s="2213"/>
      <c r="Q44" s="1511"/>
      <c r="R44" s="343"/>
      <c r="S44" s="344"/>
      <c r="T44" s="343"/>
      <c r="U44" s="344"/>
      <c r="V44" s="343"/>
      <c r="W44" s="326"/>
      <c r="X44" s="326"/>
      <c r="Y44" s="321"/>
      <c r="Z44" s="326"/>
      <c r="AA44" s="326"/>
      <c r="AB44" s="326"/>
      <c r="AC44" s="326"/>
      <c r="AD44" s="252"/>
      <c r="AE44" s="252"/>
      <c r="AF44" s="252"/>
      <c r="AG44" s="252"/>
      <c r="AH44" s="252"/>
      <c r="AI44" s="252"/>
      <c r="AJ44" s="252"/>
      <c r="AK44" s="252"/>
      <c r="AL44" s="252"/>
      <c r="AM44" s="252"/>
      <c r="AN44" s="252"/>
      <c r="AO44" s="252"/>
    </row>
    <row r="45" spans="2:41" ht="21" customHeight="1">
      <c r="B45" s="1633">
        <v>29</v>
      </c>
      <c r="C45" s="2074"/>
      <c r="D45" s="2074"/>
      <c r="E45" s="2075"/>
      <c r="F45" s="2075"/>
      <c r="G45" s="2074"/>
      <c r="H45" s="2075"/>
      <c r="I45" s="2074"/>
      <c r="J45" s="2075"/>
      <c r="K45" s="2074"/>
      <c r="L45" s="2074"/>
      <c r="M45" s="2074"/>
      <c r="N45" s="2172"/>
      <c r="O45" s="2074"/>
      <c r="P45" s="2213"/>
      <c r="Q45" s="1511"/>
      <c r="R45" s="343"/>
      <c r="S45" s="344"/>
      <c r="T45" s="343"/>
      <c r="U45" s="344"/>
      <c r="V45" s="343"/>
      <c r="W45" s="326"/>
      <c r="X45" s="326"/>
      <c r="Y45" s="321"/>
      <c r="Z45" s="326"/>
      <c r="AA45" s="326"/>
      <c r="AB45" s="326"/>
      <c r="AC45" s="326"/>
      <c r="AD45" s="252"/>
      <c r="AE45" s="252"/>
      <c r="AF45" s="252"/>
      <c r="AG45" s="252"/>
      <c r="AH45" s="252"/>
      <c r="AI45" s="252"/>
      <c r="AJ45" s="252"/>
      <c r="AK45" s="252"/>
      <c r="AL45" s="252"/>
      <c r="AM45" s="252"/>
      <c r="AN45" s="252"/>
      <c r="AO45" s="252"/>
    </row>
    <row r="46" spans="2:41" ht="21" customHeight="1">
      <c r="B46" s="1632">
        <v>30</v>
      </c>
      <c r="C46" s="2074"/>
      <c r="D46" s="2075"/>
      <c r="E46" s="2075"/>
      <c r="F46" s="2075"/>
      <c r="G46" s="2075"/>
      <c r="H46" s="2075"/>
      <c r="I46" s="2075"/>
      <c r="J46" s="2075"/>
      <c r="K46" s="2074"/>
      <c r="L46" s="2074"/>
      <c r="M46" s="2074"/>
      <c r="N46" s="2172"/>
      <c r="O46" s="2074"/>
      <c r="P46" s="2213"/>
      <c r="Q46" s="1511"/>
      <c r="R46" s="343"/>
      <c r="S46" s="344"/>
      <c r="T46" s="343"/>
      <c r="U46" s="344"/>
      <c r="V46" s="343"/>
      <c r="W46" s="326"/>
      <c r="X46" s="326"/>
      <c r="Y46" s="328"/>
      <c r="Z46" s="329"/>
      <c r="AA46" s="326"/>
      <c r="AB46" s="326"/>
      <c r="AC46" s="326"/>
      <c r="AD46" s="252"/>
      <c r="AE46" s="252"/>
      <c r="AF46" s="252"/>
      <c r="AG46" s="252"/>
      <c r="AH46" s="252"/>
      <c r="AI46" s="252"/>
      <c r="AJ46" s="252"/>
      <c r="AK46" s="252"/>
      <c r="AL46" s="252"/>
      <c r="AM46" s="252"/>
      <c r="AN46" s="252"/>
      <c r="AO46" s="252"/>
    </row>
    <row r="47" spans="2:41" ht="21" customHeight="1">
      <c r="B47" s="1632">
        <v>31</v>
      </c>
      <c r="C47" s="2074"/>
      <c r="D47" s="2074"/>
      <c r="E47" s="2075"/>
      <c r="F47" s="2075"/>
      <c r="G47" s="2075"/>
      <c r="H47" s="2075"/>
      <c r="I47" s="2074"/>
      <c r="J47" s="2075"/>
      <c r="K47" s="2074"/>
      <c r="L47" s="2074"/>
      <c r="M47" s="2075"/>
      <c r="N47" s="2172"/>
      <c r="O47" s="2074"/>
      <c r="P47" s="2213"/>
      <c r="Q47" s="1511"/>
      <c r="R47" s="343"/>
      <c r="S47" s="344"/>
      <c r="T47" s="343"/>
      <c r="U47" s="344"/>
      <c r="V47" s="343"/>
      <c r="W47" s="326"/>
      <c r="X47" s="326"/>
      <c r="Y47" s="328"/>
      <c r="Z47" s="329"/>
      <c r="AA47" s="326"/>
      <c r="AB47" s="326"/>
      <c r="AC47" s="326"/>
      <c r="AD47" s="252"/>
      <c r="AE47" s="252"/>
      <c r="AF47" s="252"/>
      <c r="AG47" s="252"/>
      <c r="AH47" s="252"/>
      <c r="AI47" s="252"/>
      <c r="AJ47" s="252"/>
      <c r="AK47" s="252"/>
      <c r="AL47" s="252"/>
      <c r="AM47" s="252"/>
      <c r="AN47" s="252"/>
      <c r="AO47" s="252"/>
    </row>
    <row r="48" spans="2:41" ht="21" customHeight="1">
      <c r="B48" s="1632">
        <v>32</v>
      </c>
      <c r="C48" s="2074"/>
      <c r="D48" s="2074"/>
      <c r="E48" s="2075"/>
      <c r="F48" s="2075"/>
      <c r="G48" s="2075"/>
      <c r="H48" s="2075"/>
      <c r="I48" s="2075"/>
      <c r="J48" s="2074"/>
      <c r="K48" s="2074"/>
      <c r="L48" s="2074"/>
      <c r="M48" s="2074"/>
      <c r="N48" s="2172"/>
      <c r="O48" s="2074"/>
      <c r="P48" s="2213"/>
      <c r="Q48" s="1511"/>
      <c r="R48" s="343"/>
      <c r="S48" s="344"/>
      <c r="T48" s="343"/>
      <c r="U48" s="344"/>
      <c r="V48" s="343"/>
      <c r="W48" s="326"/>
      <c r="X48" s="326"/>
      <c r="Y48" s="328"/>
      <c r="Z48" s="329"/>
      <c r="AA48" s="326"/>
      <c r="AB48" s="326"/>
      <c r="AC48" s="326"/>
      <c r="AD48" s="252"/>
      <c r="AE48" s="252"/>
      <c r="AF48" s="252"/>
      <c r="AG48" s="252"/>
      <c r="AH48" s="252"/>
      <c r="AI48" s="252"/>
      <c r="AJ48" s="252"/>
      <c r="AK48" s="252"/>
      <c r="AL48" s="252"/>
      <c r="AM48" s="252"/>
      <c r="AN48" s="252"/>
      <c r="AO48" s="252"/>
    </row>
    <row r="49" spans="2:41" ht="21" customHeight="1">
      <c r="B49" s="1633">
        <v>33</v>
      </c>
      <c r="C49" s="2074"/>
      <c r="D49" s="2074"/>
      <c r="E49" s="2075"/>
      <c r="F49" s="2075"/>
      <c r="G49" s="2075"/>
      <c r="H49" s="2075"/>
      <c r="I49" s="2074"/>
      <c r="J49" s="2075"/>
      <c r="K49" s="2074"/>
      <c r="L49" s="2074"/>
      <c r="M49" s="2074"/>
      <c r="N49" s="2172"/>
      <c r="O49" s="2074"/>
      <c r="P49" s="2213"/>
      <c r="Q49" s="1511"/>
      <c r="R49" s="343"/>
      <c r="S49" s="344"/>
      <c r="T49" s="343"/>
      <c r="U49" s="344"/>
      <c r="V49" s="343"/>
      <c r="W49" s="326"/>
      <c r="X49" s="326"/>
      <c r="Y49" s="328"/>
      <c r="Z49" s="329"/>
      <c r="AA49" s="326"/>
      <c r="AB49" s="326"/>
      <c r="AC49" s="326"/>
      <c r="AD49" s="252"/>
      <c r="AE49" s="252"/>
      <c r="AF49" s="252"/>
      <c r="AG49" s="252"/>
      <c r="AH49" s="252"/>
      <c r="AI49" s="252"/>
      <c r="AJ49" s="252"/>
      <c r="AK49" s="252"/>
      <c r="AL49" s="252"/>
      <c r="AM49" s="252"/>
      <c r="AN49" s="252"/>
      <c r="AO49" s="252"/>
    </row>
    <row r="50" spans="2:41" ht="21" customHeight="1">
      <c r="B50" s="1632">
        <v>34</v>
      </c>
      <c r="C50" s="2074"/>
      <c r="D50" s="2074"/>
      <c r="E50" s="2075"/>
      <c r="F50" s="2075"/>
      <c r="G50" s="2075"/>
      <c r="H50" s="2075"/>
      <c r="I50" s="2075"/>
      <c r="J50" s="2074"/>
      <c r="K50" s="2074"/>
      <c r="L50" s="2074"/>
      <c r="M50" s="2074"/>
      <c r="N50" s="2172"/>
      <c r="O50" s="2074"/>
      <c r="P50" s="2213"/>
      <c r="Q50" s="1511"/>
      <c r="R50" s="343"/>
      <c r="S50" s="344"/>
      <c r="T50" s="343"/>
      <c r="U50" s="344"/>
      <c r="V50" s="343"/>
      <c r="W50" s="326"/>
      <c r="X50" s="326"/>
      <c r="Y50" s="330"/>
      <c r="Z50" s="329"/>
      <c r="AA50" s="326"/>
      <c r="AB50" s="326"/>
      <c r="AC50" s="326"/>
      <c r="AD50" s="252"/>
      <c r="AE50" s="252"/>
      <c r="AF50" s="252"/>
      <c r="AG50" s="252"/>
      <c r="AH50" s="252"/>
      <c r="AI50" s="252"/>
      <c r="AJ50" s="252"/>
      <c r="AK50" s="252"/>
      <c r="AL50" s="252"/>
      <c r="AM50" s="252"/>
      <c r="AN50" s="252"/>
      <c r="AO50" s="252"/>
    </row>
    <row r="51" spans="2:41" ht="21" customHeight="1">
      <c r="B51" s="1632">
        <v>35</v>
      </c>
      <c r="C51" s="2074"/>
      <c r="D51" s="2074"/>
      <c r="E51" s="2075"/>
      <c r="F51" s="2075"/>
      <c r="G51" s="2075"/>
      <c r="H51" s="2075"/>
      <c r="I51" s="2075"/>
      <c r="J51" s="2075"/>
      <c r="K51" s="2074"/>
      <c r="L51" s="2074"/>
      <c r="M51" s="2074"/>
      <c r="N51" s="2172"/>
      <c r="O51" s="2218"/>
      <c r="P51" s="2213"/>
      <c r="Q51" s="1511"/>
      <c r="R51" s="343"/>
      <c r="S51" s="344"/>
      <c r="T51" s="343"/>
      <c r="U51" s="344"/>
      <c r="V51" s="343"/>
      <c r="W51" s="326"/>
      <c r="X51" s="326"/>
      <c r="Y51" s="330"/>
      <c r="Z51" s="329"/>
      <c r="AA51" s="326"/>
      <c r="AB51" s="326"/>
      <c r="AC51" s="326"/>
      <c r="AD51" s="252"/>
      <c r="AE51" s="252"/>
      <c r="AF51" s="252"/>
      <c r="AG51" s="252"/>
      <c r="AH51" s="252"/>
      <c r="AI51" s="252"/>
      <c r="AJ51" s="252"/>
      <c r="AK51" s="252"/>
      <c r="AL51" s="252"/>
      <c r="AM51" s="252"/>
      <c r="AN51" s="252"/>
      <c r="AO51" s="252"/>
    </row>
    <row r="52" spans="2:41" ht="21" customHeight="1">
      <c r="B52" s="1632">
        <v>36</v>
      </c>
      <c r="C52" s="2076"/>
      <c r="D52" s="2074"/>
      <c r="E52" s="2075"/>
      <c r="F52" s="2075"/>
      <c r="G52" s="2075"/>
      <c r="H52" s="2075"/>
      <c r="I52" s="2075"/>
      <c r="J52" s="2074"/>
      <c r="K52" s="2074"/>
      <c r="L52" s="2074"/>
      <c r="M52" s="2074"/>
      <c r="N52" s="2172"/>
      <c r="O52" s="2074"/>
      <c r="P52" s="2214"/>
      <c r="Q52" s="1511"/>
      <c r="R52" s="343"/>
      <c r="S52" s="344"/>
      <c r="T52" s="343"/>
      <c r="U52" s="344"/>
      <c r="V52" s="343"/>
      <c r="W52" s="326"/>
      <c r="X52" s="326"/>
      <c r="Y52" s="328"/>
      <c r="Z52" s="329"/>
      <c r="AA52" s="326"/>
      <c r="AB52" s="326"/>
      <c r="AC52" s="326"/>
      <c r="AD52" s="252"/>
      <c r="AE52" s="252"/>
      <c r="AF52" s="252"/>
      <c r="AG52" s="252"/>
      <c r="AH52" s="252"/>
      <c r="AI52" s="252"/>
      <c r="AJ52" s="252"/>
      <c r="AK52" s="252"/>
      <c r="AL52" s="252"/>
      <c r="AM52" s="252"/>
      <c r="AN52" s="252"/>
      <c r="AO52" s="252"/>
    </row>
    <row r="53" spans="2:41" ht="21" customHeight="1">
      <c r="B53" s="1633">
        <v>37</v>
      </c>
      <c r="C53" s="2074"/>
      <c r="D53" s="2074"/>
      <c r="E53" s="2075"/>
      <c r="F53" s="2075"/>
      <c r="G53" s="2075"/>
      <c r="H53" s="2075"/>
      <c r="I53" s="2075"/>
      <c r="J53" s="2075"/>
      <c r="K53" s="2074"/>
      <c r="L53" s="2074"/>
      <c r="M53" s="2074"/>
      <c r="N53" s="2172"/>
      <c r="O53" s="2218"/>
      <c r="P53" s="2213"/>
      <c r="Q53" s="1511"/>
      <c r="R53" s="343"/>
      <c r="S53" s="344"/>
      <c r="T53" s="343"/>
      <c r="U53" s="344"/>
      <c r="V53" s="343"/>
      <c r="W53" s="326"/>
      <c r="X53" s="326"/>
      <c r="Y53" s="328"/>
      <c r="Z53" s="329"/>
      <c r="AA53" s="326"/>
      <c r="AB53" s="326"/>
      <c r="AC53" s="326"/>
      <c r="AD53" s="252"/>
      <c r="AE53" s="252"/>
      <c r="AF53" s="252"/>
      <c r="AG53" s="252"/>
      <c r="AH53" s="252"/>
      <c r="AI53" s="252"/>
      <c r="AJ53" s="252"/>
      <c r="AK53" s="252"/>
      <c r="AL53" s="252"/>
      <c r="AM53" s="252"/>
      <c r="AN53" s="252"/>
      <c r="AO53" s="252"/>
    </row>
    <row r="54" spans="2:41" ht="21" customHeight="1">
      <c r="B54" s="1632">
        <v>38</v>
      </c>
      <c r="C54" s="2074"/>
      <c r="D54" s="2076"/>
      <c r="E54" s="2075"/>
      <c r="F54" s="2075"/>
      <c r="G54" s="2075"/>
      <c r="H54" s="2075"/>
      <c r="I54" s="2075"/>
      <c r="J54" s="2074"/>
      <c r="K54" s="2074"/>
      <c r="L54" s="2074"/>
      <c r="M54" s="2074"/>
      <c r="N54" s="2172"/>
      <c r="O54" s="2074"/>
      <c r="P54" s="2214"/>
      <c r="Q54" s="1511"/>
      <c r="R54" s="343"/>
      <c r="S54" s="344"/>
      <c r="T54" s="343"/>
      <c r="U54" s="344"/>
      <c r="V54" s="343"/>
      <c r="W54" s="326"/>
      <c r="X54" s="326"/>
      <c r="Y54" s="328"/>
      <c r="Z54" s="329"/>
      <c r="AA54" s="326"/>
      <c r="AB54" s="326"/>
      <c r="AC54" s="326"/>
      <c r="AD54" s="252"/>
      <c r="AE54" s="252"/>
      <c r="AF54" s="252"/>
      <c r="AG54" s="252"/>
      <c r="AH54" s="252"/>
      <c r="AI54" s="252"/>
      <c r="AJ54" s="252"/>
      <c r="AK54" s="252"/>
      <c r="AL54" s="252"/>
      <c r="AM54" s="252"/>
      <c r="AN54" s="252"/>
      <c r="AO54" s="252"/>
    </row>
    <row r="55" spans="2:41" ht="21" customHeight="1">
      <c r="B55" s="1632">
        <v>39</v>
      </c>
      <c r="C55" s="2074"/>
      <c r="D55" s="2074"/>
      <c r="E55" s="2075"/>
      <c r="F55" s="2075"/>
      <c r="G55" s="2075"/>
      <c r="H55" s="2075"/>
      <c r="I55" s="2075"/>
      <c r="J55" s="2075"/>
      <c r="K55" s="2074"/>
      <c r="L55" s="2074"/>
      <c r="M55" s="2075"/>
      <c r="N55" s="2172"/>
      <c r="O55" s="2218"/>
      <c r="P55" s="2213"/>
      <c r="Q55" s="1512"/>
      <c r="R55" s="345"/>
      <c r="S55" s="346"/>
      <c r="T55" s="345"/>
      <c r="U55" s="346"/>
      <c r="V55" s="345"/>
      <c r="W55" s="326"/>
      <c r="X55" s="326"/>
      <c r="Y55" s="328"/>
      <c r="Z55" s="329"/>
      <c r="AA55" s="326"/>
      <c r="AB55" s="326"/>
      <c r="AC55" s="326"/>
      <c r="AD55" s="252"/>
      <c r="AE55" s="252"/>
      <c r="AF55" s="252"/>
      <c r="AG55" s="252"/>
      <c r="AH55" s="252"/>
      <c r="AI55" s="252"/>
      <c r="AJ55" s="252"/>
      <c r="AK55" s="252"/>
      <c r="AL55" s="252"/>
      <c r="AM55" s="252"/>
      <c r="AN55" s="252"/>
      <c r="AO55" s="252"/>
    </row>
    <row r="56" spans="2:41" ht="21" customHeight="1">
      <c r="B56" s="1632">
        <v>40</v>
      </c>
      <c r="C56" s="2074"/>
      <c r="D56" s="2074"/>
      <c r="E56" s="2075"/>
      <c r="F56" s="2075"/>
      <c r="G56" s="2075"/>
      <c r="H56" s="2075"/>
      <c r="I56" s="2075"/>
      <c r="J56" s="2075"/>
      <c r="K56" s="2074"/>
      <c r="L56" s="2074"/>
      <c r="M56" s="2074"/>
      <c r="N56" s="2172"/>
      <c r="O56" s="2074"/>
      <c r="P56" s="2214"/>
      <c r="Q56" s="1512"/>
      <c r="R56" s="345"/>
      <c r="S56" s="346"/>
      <c r="T56" s="345"/>
      <c r="U56" s="346"/>
      <c r="V56" s="345"/>
      <c r="W56" s="326"/>
      <c r="X56" s="326"/>
      <c r="Y56" s="328"/>
      <c r="Z56" s="329"/>
      <c r="AA56" s="326"/>
      <c r="AB56" s="326"/>
      <c r="AC56" s="326"/>
      <c r="AD56" s="252"/>
      <c r="AE56" s="252"/>
      <c r="AF56" s="252"/>
      <c r="AG56" s="252"/>
      <c r="AH56" s="252"/>
      <c r="AI56" s="252"/>
      <c r="AJ56" s="252"/>
      <c r="AK56" s="252"/>
      <c r="AL56" s="252"/>
      <c r="AM56" s="252"/>
      <c r="AN56" s="252"/>
      <c r="AO56" s="252"/>
    </row>
    <row r="57" spans="2:41" ht="21" customHeight="1">
      <c r="B57" s="1632">
        <v>41</v>
      </c>
      <c r="C57" s="2074"/>
      <c r="D57" s="2076"/>
      <c r="E57" s="2075"/>
      <c r="F57" s="2075"/>
      <c r="G57" s="2075"/>
      <c r="H57" s="2075"/>
      <c r="I57" s="2075"/>
      <c r="J57" s="2075"/>
      <c r="K57" s="2074"/>
      <c r="L57" s="2074"/>
      <c r="M57" s="2074"/>
      <c r="N57" s="2172"/>
      <c r="O57" s="2218"/>
      <c r="P57" s="2213"/>
      <c r="Q57" s="1512"/>
      <c r="R57" s="345"/>
      <c r="S57" s="346"/>
      <c r="T57" s="345"/>
      <c r="U57" s="346"/>
      <c r="V57" s="345"/>
      <c r="W57" s="326"/>
      <c r="X57" s="326"/>
      <c r="Y57" s="328"/>
      <c r="Z57" s="329"/>
      <c r="AA57" s="326"/>
      <c r="AB57" s="326"/>
      <c r="AC57" s="326"/>
      <c r="AD57" s="252"/>
      <c r="AE57" s="252"/>
      <c r="AF57" s="252"/>
      <c r="AG57" s="252"/>
      <c r="AH57" s="252"/>
      <c r="AI57" s="252"/>
      <c r="AJ57" s="252"/>
      <c r="AK57" s="252"/>
      <c r="AL57" s="252"/>
      <c r="AM57" s="252"/>
      <c r="AN57" s="252"/>
      <c r="AO57" s="252"/>
    </row>
    <row r="58" spans="2:41" ht="21" customHeight="1">
      <c r="B58" s="1632">
        <v>42</v>
      </c>
      <c r="C58" s="2074"/>
      <c r="D58" s="2074"/>
      <c r="E58" s="2075"/>
      <c r="F58" s="2075"/>
      <c r="G58" s="2075"/>
      <c r="H58" s="2075"/>
      <c r="I58" s="2075"/>
      <c r="J58" s="2075"/>
      <c r="K58" s="2074"/>
      <c r="L58" s="2075"/>
      <c r="M58" s="2074"/>
      <c r="N58" s="2172"/>
      <c r="O58" s="2074"/>
      <c r="P58" s="2214"/>
      <c r="Q58" s="1512"/>
      <c r="R58" s="345"/>
      <c r="S58" s="346"/>
      <c r="T58" s="345"/>
      <c r="U58" s="346"/>
      <c r="V58" s="345"/>
      <c r="W58" s="326"/>
      <c r="X58" s="326"/>
      <c r="Y58" s="328"/>
      <c r="Z58" s="329"/>
      <c r="AA58" s="326"/>
      <c r="AB58" s="326"/>
      <c r="AC58" s="326"/>
      <c r="AD58" s="252"/>
      <c r="AE58" s="252"/>
      <c r="AF58" s="252"/>
      <c r="AG58" s="252"/>
      <c r="AH58" s="252"/>
      <c r="AI58" s="252"/>
      <c r="AJ58" s="252"/>
      <c r="AK58" s="252"/>
      <c r="AL58" s="252"/>
      <c r="AM58" s="252"/>
      <c r="AN58" s="252"/>
      <c r="AO58" s="252"/>
    </row>
    <row r="59" spans="2:41" ht="21" customHeight="1">
      <c r="B59" s="1632">
        <v>43</v>
      </c>
      <c r="C59" s="2074"/>
      <c r="D59" s="2074"/>
      <c r="E59" s="2075"/>
      <c r="F59" s="2075"/>
      <c r="G59" s="2075"/>
      <c r="H59" s="2075"/>
      <c r="I59" s="2074"/>
      <c r="J59" s="2075"/>
      <c r="K59" s="2074"/>
      <c r="L59" s="2075"/>
      <c r="M59" s="2074"/>
      <c r="N59" s="2172"/>
      <c r="O59" s="2218"/>
      <c r="P59" s="2213"/>
      <c r="Q59" s="1512"/>
      <c r="R59" s="345"/>
      <c r="S59" s="346"/>
      <c r="T59" s="345"/>
      <c r="U59" s="346"/>
      <c r="V59" s="345"/>
      <c r="W59" s="326"/>
      <c r="X59" s="326"/>
      <c r="Y59" s="328"/>
      <c r="Z59" s="329"/>
      <c r="AA59" s="326"/>
      <c r="AB59" s="326"/>
      <c r="AC59" s="326"/>
      <c r="AD59" s="252"/>
      <c r="AE59" s="252"/>
      <c r="AF59" s="252"/>
      <c r="AG59" s="252"/>
      <c r="AH59" s="252"/>
      <c r="AI59" s="252"/>
      <c r="AJ59" s="252"/>
      <c r="AK59" s="252"/>
      <c r="AL59" s="252"/>
      <c r="AM59" s="252"/>
      <c r="AN59" s="252"/>
      <c r="AO59" s="252"/>
    </row>
    <row r="60" spans="2:41" ht="21" customHeight="1">
      <c r="B60" s="1632">
        <v>44</v>
      </c>
      <c r="C60" s="2074"/>
      <c r="D60" s="2074"/>
      <c r="E60" s="2075"/>
      <c r="F60" s="2075"/>
      <c r="G60" s="2075"/>
      <c r="H60" s="2075"/>
      <c r="I60" s="2075"/>
      <c r="J60" s="2075"/>
      <c r="K60" s="2074"/>
      <c r="L60" s="2075"/>
      <c r="M60" s="2074"/>
      <c r="N60" s="2173"/>
      <c r="O60" s="2074"/>
      <c r="P60" s="2214"/>
      <c r="Q60" s="1512"/>
      <c r="R60" s="345"/>
      <c r="S60" s="346"/>
      <c r="T60" s="345"/>
      <c r="U60" s="346"/>
      <c r="V60" s="345"/>
      <c r="W60" s="326"/>
      <c r="X60" s="326"/>
      <c r="Y60" s="328"/>
      <c r="Z60" s="329"/>
      <c r="AA60" s="326"/>
      <c r="AB60" s="326"/>
      <c r="AC60" s="326"/>
      <c r="AD60" s="252"/>
      <c r="AE60" s="252"/>
      <c r="AF60" s="252"/>
      <c r="AG60" s="252"/>
      <c r="AH60" s="252"/>
      <c r="AI60" s="252"/>
      <c r="AJ60" s="252"/>
      <c r="AK60" s="252"/>
      <c r="AL60" s="252"/>
      <c r="AM60" s="252"/>
      <c r="AN60" s="252"/>
      <c r="AO60" s="252"/>
    </row>
    <row r="61" spans="2:41" ht="21" customHeight="1">
      <c r="B61" s="1632">
        <v>45</v>
      </c>
      <c r="C61" s="2074"/>
      <c r="D61" s="2074"/>
      <c r="E61" s="2075"/>
      <c r="F61" s="2075"/>
      <c r="G61" s="2075"/>
      <c r="H61" s="2075"/>
      <c r="I61" s="2075"/>
      <c r="J61" s="2075"/>
      <c r="K61" s="2074"/>
      <c r="L61" s="2075"/>
      <c r="M61" s="2075"/>
      <c r="N61" s="2173"/>
      <c r="O61" s="2218"/>
      <c r="P61" s="2213"/>
      <c r="Q61" s="1512"/>
      <c r="R61" s="345"/>
      <c r="S61" s="346"/>
      <c r="T61" s="345"/>
      <c r="U61" s="346"/>
      <c r="V61" s="345"/>
      <c r="W61" s="326"/>
      <c r="X61" s="326"/>
      <c r="Y61" s="328"/>
      <c r="Z61" s="329"/>
      <c r="AA61" s="326"/>
      <c r="AB61" s="326"/>
      <c r="AC61" s="326"/>
      <c r="AD61" s="252"/>
      <c r="AE61" s="252"/>
      <c r="AF61" s="252"/>
      <c r="AG61" s="252"/>
      <c r="AH61" s="252"/>
      <c r="AI61" s="252"/>
      <c r="AJ61" s="252"/>
      <c r="AK61" s="252"/>
      <c r="AL61" s="252"/>
      <c r="AM61" s="252"/>
      <c r="AN61" s="252"/>
      <c r="AO61" s="252"/>
    </row>
    <row r="62" spans="2:41" ht="21" customHeight="1">
      <c r="B62" s="1632">
        <v>46</v>
      </c>
      <c r="C62" s="2074"/>
      <c r="D62" s="2074"/>
      <c r="E62" s="2075"/>
      <c r="F62" s="2075"/>
      <c r="G62" s="2075"/>
      <c r="H62" s="2075"/>
      <c r="I62" s="2075"/>
      <c r="J62" s="2075"/>
      <c r="K62" s="2074"/>
      <c r="L62" s="2075"/>
      <c r="M62" s="2074"/>
      <c r="N62" s="2173"/>
      <c r="O62" s="2074"/>
      <c r="P62" s="2214"/>
      <c r="Q62" s="1512"/>
      <c r="R62" s="345"/>
      <c r="S62" s="346"/>
      <c r="T62" s="345"/>
      <c r="U62" s="346"/>
      <c r="V62" s="345"/>
      <c r="W62" s="326"/>
      <c r="X62" s="326"/>
      <c r="Y62" s="328"/>
      <c r="Z62" s="329"/>
      <c r="AA62" s="326"/>
      <c r="AB62" s="326"/>
      <c r="AC62" s="326"/>
      <c r="AD62" s="252"/>
      <c r="AE62" s="252"/>
      <c r="AF62" s="252"/>
      <c r="AG62" s="252"/>
      <c r="AH62" s="252"/>
      <c r="AI62" s="252"/>
      <c r="AJ62" s="252"/>
      <c r="AK62" s="252"/>
      <c r="AL62" s="252"/>
      <c r="AM62" s="252"/>
      <c r="AN62" s="252"/>
      <c r="AO62" s="252"/>
    </row>
    <row r="63" spans="2:41" ht="21" customHeight="1">
      <c r="B63" s="1632">
        <v>47</v>
      </c>
      <c r="C63" s="2074"/>
      <c r="D63" s="2074"/>
      <c r="E63" s="2075"/>
      <c r="F63" s="2075"/>
      <c r="G63" s="2075"/>
      <c r="H63" s="2075"/>
      <c r="I63" s="2075"/>
      <c r="J63" s="2075"/>
      <c r="K63" s="2074"/>
      <c r="L63" s="2075"/>
      <c r="M63" s="2074"/>
      <c r="N63" s="2173"/>
      <c r="O63" s="2074"/>
      <c r="P63" s="2213"/>
      <c r="Q63" s="1512"/>
      <c r="R63" s="345"/>
      <c r="S63" s="346"/>
      <c r="T63" s="345"/>
      <c r="U63" s="346"/>
      <c r="V63" s="345"/>
      <c r="W63" s="326"/>
      <c r="X63" s="326"/>
      <c r="Y63" s="328"/>
      <c r="Z63" s="329"/>
      <c r="AA63" s="326"/>
      <c r="AB63" s="326"/>
      <c r="AC63" s="326"/>
      <c r="AD63" s="252"/>
      <c r="AE63" s="252"/>
      <c r="AF63" s="252"/>
      <c r="AG63" s="252"/>
      <c r="AH63" s="252"/>
      <c r="AI63" s="252"/>
      <c r="AJ63" s="252"/>
      <c r="AK63" s="252"/>
      <c r="AL63" s="252"/>
      <c r="AM63" s="252"/>
      <c r="AN63" s="252"/>
      <c r="AO63" s="252"/>
    </row>
    <row r="64" spans="2:41" ht="21" customHeight="1">
      <c r="B64" s="1632">
        <v>48</v>
      </c>
      <c r="C64" s="2074"/>
      <c r="D64" s="2074"/>
      <c r="E64" s="2075"/>
      <c r="F64" s="2075"/>
      <c r="G64" s="2075"/>
      <c r="H64" s="2075"/>
      <c r="I64" s="2075"/>
      <c r="J64" s="2075"/>
      <c r="K64" s="2074"/>
      <c r="L64" s="2075"/>
      <c r="M64" s="2074"/>
      <c r="N64" s="2173"/>
      <c r="O64" s="2074"/>
      <c r="P64" s="2213"/>
      <c r="Q64" s="1512"/>
      <c r="R64" s="345"/>
      <c r="S64" s="346"/>
      <c r="T64" s="345"/>
      <c r="U64" s="346"/>
      <c r="V64" s="345"/>
      <c r="W64" s="326"/>
      <c r="X64" s="326"/>
      <c r="Y64" s="328"/>
      <c r="Z64" s="329"/>
      <c r="AA64" s="326"/>
      <c r="AB64" s="326"/>
      <c r="AC64" s="326"/>
      <c r="AD64" s="252"/>
      <c r="AE64" s="252"/>
      <c r="AF64" s="252"/>
      <c r="AG64" s="252"/>
      <c r="AH64" s="252"/>
      <c r="AI64" s="252"/>
      <c r="AJ64" s="252"/>
      <c r="AK64" s="252"/>
      <c r="AL64" s="252"/>
      <c r="AM64" s="252"/>
      <c r="AN64" s="252"/>
      <c r="AO64" s="252"/>
    </row>
    <row r="65" spans="2:41" ht="21" customHeight="1">
      <c r="B65" s="1632">
        <v>49</v>
      </c>
      <c r="C65" s="2081"/>
      <c r="D65" s="2081"/>
      <c r="E65" s="2081"/>
      <c r="F65" s="2081"/>
      <c r="G65" s="2081"/>
      <c r="H65" s="2081"/>
      <c r="I65" s="2081"/>
      <c r="J65" s="2081"/>
      <c r="K65" s="2082"/>
      <c r="L65" s="2082"/>
      <c r="M65" s="2082"/>
      <c r="N65" s="2174"/>
      <c r="O65" s="2074"/>
      <c r="P65" s="2213"/>
      <c r="Q65" s="1512"/>
      <c r="R65" s="345"/>
      <c r="S65" s="346"/>
      <c r="T65" s="345"/>
      <c r="U65" s="346"/>
      <c r="V65" s="345"/>
      <c r="W65" s="326"/>
      <c r="X65" s="326"/>
      <c r="Y65" s="328"/>
      <c r="Z65" s="329"/>
      <c r="AA65" s="326"/>
      <c r="AB65" s="326"/>
      <c r="AC65" s="326"/>
      <c r="AD65" s="252"/>
      <c r="AE65" s="252"/>
      <c r="AF65" s="252"/>
      <c r="AG65" s="252"/>
      <c r="AH65" s="252"/>
      <c r="AI65" s="252"/>
      <c r="AJ65" s="252"/>
      <c r="AK65" s="252"/>
      <c r="AL65" s="252"/>
      <c r="AM65" s="252"/>
      <c r="AN65" s="252"/>
      <c r="AO65" s="252"/>
    </row>
    <row r="66" spans="2:41" ht="21" customHeight="1">
      <c r="B66" s="1632">
        <v>50</v>
      </c>
      <c r="C66" s="2081"/>
      <c r="D66" s="2081"/>
      <c r="E66" s="2081"/>
      <c r="F66" s="2081"/>
      <c r="G66" s="2081"/>
      <c r="H66" s="2081"/>
      <c r="I66" s="2081"/>
      <c r="J66" s="2081"/>
      <c r="K66" s="2082"/>
      <c r="L66" s="2082"/>
      <c r="M66" s="2082"/>
      <c r="N66" s="2174"/>
      <c r="O66" s="2074"/>
      <c r="P66" s="2213"/>
      <c r="Q66" s="1512"/>
      <c r="R66" s="345"/>
      <c r="S66" s="346"/>
      <c r="T66" s="345"/>
      <c r="U66" s="346"/>
      <c r="V66" s="345"/>
      <c r="W66" s="326"/>
      <c r="X66" s="326"/>
      <c r="Y66" s="328"/>
      <c r="Z66" s="329"/>
      <c r="AA66" s="326"/>
      <c r="AB66" s="326"/>
      <c r="AC66" s="326"/>
      <c r="AD66" s="252"/>
      <c r="AE66" s="252"/>
      <c r="AF66" s="252"/>
      <c r="AG66" s="252"/>
      <c r="AH66" s="252"/>
      <c r="AI66" s="252"/>
      <c r="AJ66" s="252"/>
      <c r="AK66" s="252"/>
      <c r="AL66" s="252"/>
      <c r="AM66" s="252"/>
      <c r="AN66" s="252"/>
      <c r="AO66" s="252"/>
    </row>
    <row r="67" spans="2:41" ht="21" customHeight="1">
      <c r="B67" s="1632">
        <v>51</v>
      </c>
      <c r="C67" s="2081"/>
      <c r="D67" s="2081"/>
      <c r="E67" s="2081"/>
      <c r="F67" s="2081"/>
      <c r="G67" s="2081"/>
      <c r="H67" s="2081"/>
      <c r="I67" s="2081"/>
      <c r="J67" s="2081"/>
      <c r="K67" s="2082"/>
      <c r="L67" s="2082"/>
      <c r="M67" s="2082"/>
      <c r="N67" s="2174"/>
      <c r="O67" s="2074"/>
      <c r="P67" s="2213"/>
      <c r="Q67" s="1512"/>
      <c r="R67" s="345"/>
      <c r="S67" s="346"/>
      <c r="T67" s="345"/>
      <c r="U67" s="346"/>
      <c r="V67" s="345"/>
      <c r="W67" s="326"/>
      <c r="X67" s="326"/>
      <c r="Y67" s="328"/>
      <c r="Z67" s="329"/>
      <c r="AA67" s="326"/>
      <c r="AB67" s="326"/>
      <c r="AC67" s="326"/>
      <c r="AD67" s="252"/>
      <c r="AE67" s="252"/>
      <c r="AF67" s="252"/>
      <c r="AG67" s="252"/>
      <c r="AH67" s="252"/>
      <c r="AI67" s="252"/>
      <c r="AJ67" s="252"/>
      <c r="AK67" s="252"/>
      <c r="AL67" s="252"/>
      <c r="AM67" s="252"/>
      <c r="AN67" s="252"/>
      <c r="AO67" s="252"/>
    </row>
    <row r="68" spans="2:41" ht="21" customHeight="1">
      <c r="B68" s="1632">
        <v>52</v>
      </c>
      <c r="C68" s="2081"/>
      <c r="D68" s="2081"/>
      <c r="E68" s="2081"/>
      <c r="F68" s="2081"/>
      <c r="G68" s="2081"/>
      <c r="H68" s="2081"/>
      <c r="I68" s="2081"/>
      <c r="J68" s="2081"/>
      <c r="K68" s="2082"/>
      <c r="L68" s="2082"/>
      <c r="M68" s="2082"/>
      <c r="N68" s="2174"/>
      <c r="O68" s="2074"/>
      <c r="P68" s="2213"/>
      <c r="Q68" s="1512"/>
      <c r="R68" s="345"/>
      <c r="S68" s="346"/>
      <c r="T68" s="345"/>
      <c r="U68" s="346"/>
      <c r="V68" s="345"/>
      <c r="W68" s="326"/>
      <c r="X68" s="326"/>
      <c r="Y68" s="328"/>
      <c r="Z68" s="329"/>
      <c r="AA68" s="326"/>
      <c r="AB68" s="326"/>
      <c r="AC68" s="326"/>
      <c r="AD68" s="252"/>
      <c r="AE68" s="252"/>
      <c r="AF68" s="252"/>
      <c r="AG68" s="252"/>
      <c r="AH68" s="252"/>
      <c r="AI68" s="252"/>
      <c r="AJ68" s="252"/>
      <c r="AK68" s="252"/>
      <c r="AL68" s="252"/>
      <c r="AM68" s="252"/>
      <c r="AN68" s="252"/>
      <c r="AO68" s="252"/>
    </row>
    <row r="69" spans="2:41" ht="21" customHeight="1">
      <c r="B69" s="1632">
        <v>53</v>
      </c>
      <c r="C69" s="2081"/>
      <c r="D69" s="2081"/>
      <c r="E69" s="2081"/>
      <c r="F69" s="2081"/>
      <c r="G69" s="2081"/>
      <c r="H69" s="2081"/>
      <c r="I69" s="2081"/>
      <c r="J69" s="2081"/>
      <c r="K69" s="2082"/>
      <c r="L69" s="2082"/>
      <c r="M69" s="2082"/>
      <c r="N69" s="2174"/>
      <c r="O69" s="2074"/>
      <c r="P69" s="2213"/>
      <c r="Q69" s="1512"/>
      <c r="R69" s="345"/>
      <c r="S69" s="346"/>
      <c r="T69" s="345"/>
      <c r="U69" s="346"/>
      <c r="V69" s="345"/>
      <c r="W69" s="326"/>
      <c r="X69" s="326"/>
      <c r="Y69" s="328"/>
      <c r="Z69" s="329"/>
      <c r="AA69" s="326"/>
      <c r="AB69" s="326"/>
      <c r="AC69" s="326"/>
      <c r="AD69" s="252"/>
      <c r="AE69" s="252"/>
      <c r="AF69" s="252"/>
      <c r="AG69" s="252"/>
      <c r="AH69" s="252"/>
      <c r="AI69" s="252"/>
      <c r="AJ69" s="252"/>
      <c r="AK69" s="252"/>
      <c r="AL69" s="252"/>
      <c r="AM69" s="252"/>
      <c r="AN69" s="252"/>
      <c r="AO69" s="252"/>
    </row>
    <row r="70" spans="2:41" ht="21" customHeight="1">
      <c r="B70" s="1632">
        <v>54</v>
      </c>
      <c r="C70" s="2081"/>
      <c r="D70" s="2081"/>
      <c r="E70" s="2081"/>
      <c r="F70" s="2081"/>
      <c r="G70" s="2081"/>
      <c r="H70" s="2081"/>
      <c r="I70" s="2081"/>
      <c r="J70" s="2081"/>
      <c r="K70" s="2082"/>
      <c r="L70" s="2082"/>
      <c r="M70" s="2082"/>
      <c r="N70" s="2174"/>
      <c r="O70" s="2074"/>
      <c r="P70" s="2213"/>
      <c r="Q70" s="1512"/>
      <c r="R70" s="345"/>
      <c r="S70" s="346"/>
      <c r="T70" s="345"/>
      <c r="U70" s="346"/>
      <c r="V70" s="345"/>
      <c r="W70" s="326"/>
      <c r="X70" s="326"/>
      <c r="Y70" s="328"/>
      <c r="Z70" s="329"/>
      <c r="AA70" s="326"/>
      <c r="AB70" s="326"/>
      <c r="AC70" s="326"/>
      <c r="AD70" s="252"/>
      <c r="AE70" s="252"/>
      <c r="AF70" s="252"/>
      <c r="AG70" s="252"/>
      <c r="AH70" s="252"/>
      <c r="AI70" s="252"/>
      <c r="AJ70" s="252"/>
      <c r="AK70" s="252"/>
      <c r="AL70" s="252"/>
      <c r="AM70" s="252"/>
      <c r="AN70" s="252"/>
      <c r="AO70" s="252"/>
    </row>
    <row r="71" spans="2:41" ht="21" customHeight="1">
      <c r="B71" s="1632">
        <v>55</v>
      </c>
      <c r="C71" s="2081"/>
      <c r="D71" s="2081"/>
      <c r="E71" s="2081"/>
      <c r="F71" s="2081"/>
      <c r="G71" s="2081"/>
      <c r="H71" s="2081"/>
      <c r="I71" s="2081"/>
      <c r="J71" s="2081"/>
      <c r="K71" s="2082"/>
      <c r="L71" s="2082"/>
      <c r="M71" s="2082"/>
      <c r="N71" s="2174"/>
      <c r="O71" s="2074"/>
      <c r="P71" s="2213"/>
      <c r="Q71" s="347"/>
      <c r="R71" s="345"/>
      <c r="S71" s="346"/>
      <c r="T71" s="345"/>
      <c r="U71" s="346"/>
      <c r="V71" s="345"/>
      <c r="W71" s="326"/>
      <c r="X71" s="326"/>
      <c r="Y71" s="328"/>
      <c r="Z71" s="329"/>
      <c r="AA71" s="326"/>
      <c r="AB71" s="326"/>
      <c r="AC71" s="326"/>
      <c r="AD71" s="252"/>
      <c r="AE71" s="252"/>
      <c r="AF71" s="252"/>
      <c r="AG71" s="252"/>
      <c r="AH71" s="252"/>
      <c r="AI71" s="252"/>
      <c r="AJ71" s="252"/>
      <c r="AK71" s="252"/>
      <c r="AL71" s="252"/>
      <c r="AM71" s="252"/>
      <c r="AN71" s="252"/>
      <c r="AO71" s="252"/>
    </row>
    <row r="72" spans="2:41" ht="21" customHeight="1">
      <c r="B72" s="1632">
        <v>56</v>
      </c>
      <c r="C72" s="2081"/>
      <c r="D72" s="2081"/>
      <c r="E72" s="2081"/>
      <c r="F72" s="2081"/>
      <c r="G72" s="2081"/>
      <c r="H72" s="2081"/>
      <c r="I72" s="2081"/>
      <c r="J72" s="2081"/>
      <c r="K72" s="2082"/>
      <c r="L72" s="2082"/>
      <c r="M72" s="2082"/>
      <c r="N72" s="2174"/>
      <c r="O72" s="2074"/>
      <c r="P72" s="2213"/>
      <c r="Q72" s="347"/>
      <c r="R72" s="345"/>
      <c r="S72" s="346"/>
      <c r="T72" s="345"/>
      <c r="U72" s="346"/>
      <c r="V72" s="345"/>
      <c r="W72" s="326"/>
      <c r="X72" s="326"/>
      <c r="Y72" s="328"/>
      <c r="Z72" s="329"/>
      <c r="AA72" s="326"/>
      <c r="AB72" s="326"/>
      <c r="AC72" s="326"/>
      <c r="AD72" s="252"/>
      <c r="AE72" s="252"/>
      <c r="AF72" s="252"/>
      <c r="AG72" s="252"/>
      <c r="AH72" s="252"/>
      <c r="AI72" s="252"/>
      <c r="AJ72" s="252"/>
      <c r="AK72" s="252"/>
      <c r="AL72" s="252"/>
      <c r="AM72" s="252"/>
      <c r="AN72" s="252"/>
      <c r="AO72" s="252"/>
    </row>
    <row r="73" spans="2:41" ht="21" customHeight="1">
      <c r="B73" s="1632">
        <v>57</v>
      </c>
      <c r="C73" s="2081"/>
      <c r="D73" s="2081"/>
      <c r="E73" s="2081"/>
      <c r="F73" s="2081"/>
      <c r="G73" s="2081"/>
      <c r="H73" s="2081"/>
      <c r="I73" s="2081"/>
      <c r="J73" s="2081"/>
      <c r="K73" s="2082"/>
      <c r="L73" s="2082"/>
      <c r="M73" s="2082"/>
      <c r="N73" s="2174"/>
      <c r="O73" s="2074"/>
      <c r="P73" s="2213"/>
      <c r="Q73" s="347"/>
      <c r="R73" s="345"/>
      <c r="S73" s="346"/>
      <c r="T73" s="345"/>
      <c r="U73" s="346"/>
      <c r="V73" s="345"/>
      <c r="W73" s="326"/>
      <c r="X73" s="326"/>
      <c r="Y73" s="328"/>
      <c r="Z73" s="329"/>
      <c r="AA73" s="326"/>
      <c r="AB73" s="326"/>
      <c r="AC73" s="326"/>
      <c r="AD73" s="252"/>
      <c r="AE73" s="252"/>
      <c r="AF73" s="252"/>
      <c r="AG73" s="252"/>
      <c r="AH73" s="252"/>
      <c r="AI73" s="252"/>
      <c r="AJ73" s="252"/>
      <c r="AK73" s="252"/>
      <c r="AL73" s="252"/>
      <c r="AM73" s="252"/>
      <c r="AN73" s="252"/>
      <c r="AO73" s="252"/>
    </row>
    <row r="74" spans="2:41" ht="21" customHeight="1">
      <c r="B74" s="1632">
        <v>58</v>
      </c>
      <c r="C74" s="2081"/>
      <c r="D74" s="2081"/>
      <c r="E74" s="2081"/>
      <c r="F74" s="2081"/>
      <c r="G74" s="2081"/>
      <c r="H74" s="2081"/>
      <c r="I74" s="2081"/>
      <c r="J74" s="2081"/>
      <c r="K74" s="2082"/>
      <c r="L74" s="2082"/>
      <c r="M74" s="2082"/>
      <c r="N74" s="2174"/>
      <c r="O74" s="2074"/>
      <c r="P74" s="2213"/>
      <c r="Q74" s="347"/>
      <c r="R74" s="345"/>
      <c r="S74" s="346"/>
      <c r="T74" s="345"/>
      <c r="U74" s="346"/>
      <c r="V74" s="345"/>
      <c r="W74" s="326"/>
      <c r="X74" s="326"/>
      <c r="Y74" s="328"/>
      <c r="Z74" s="329"/>
      <c r="AA74" s="326"/>
      <c r="AB74" s="326"/>
      <c r="AC74" s="326"/>
      <c r="AD74" s="252"/>
      <c r="AE74" s="252"/>
      <c r="AF74" s="252"/>
      <c r="AG74" s="252"/>
      <c r="AH74" s="252"/>
      <c r="AI74" s="252"/>
      <c r="AJ74" s="252"/>
      <c r="AK74" s="252"/>
      <c r="AL74" s="252"/>
      <c r="AM74" s="252"/>
      <c r="AN74" s="252"/>
      <c r="AO74" s="252"/>
    </row>
    <row r="75" spans="2:41" ht="21" customHeight="1">
      <c r="B75" s="1632">
        <v>59</v>
      </c>
      <c r="C75" s="2081"/>
      <c r="D75" s="2081"/>
      <c r="E75" s="2081"/>
      <c r="F75" s="2081"/>
      <c r="G75" s="2081"/>
      <c r="H75" s="2081"/>
      <c r="I75" s="2081"/>
      <c r="J75" s="2081"/>
      <c r="K75" s="2082"/>
      <c r="L75" s="2082"/>
      <c r="M75" s="2082"/>
      <c r="N75" s="2174"/>
      <c r="O75" s="2074"/>
      <c r="P75" s="2213"/>
      <c r="Q75" s="347"/>
      <c r="R75" s="345"/>
      <c r="S75" s="346"/>
      <c r="T75" s="345"/>
      <c r="U75" s="346"/>
      <c r="V75" s="345"/>
      <c r="W75" s="326"/>
      <c r="X75" s="326"/>
      <c r="Y75" s="328"/>
      <c r="Z75" s="329"/>
      <c r="AA75" s="326"/>
      <c r="AB75" s="326"/>
      <c r="AC75" s="326"/>
      <c r="AD75" s="252"/>
      <c r="AE75" s="252"/>
      <c r="AF75" s="252"/>
      <c r="AG75" s="252"/>
      <c r="AH75" s="252"/>
      <c r="AI75" s="252"/>
      <c r="AJ75" s="252"/>
      <c r="AK75" s="252"/>
      <c r="AL75" s="252"/>
      <c r="AM75" s="252"/>
      <c r="AN75" s="252"/>
      <c r="AO75" s="252"/>
    </row>
    <row r="76" spans="2:41" ht="21" customHeight="1">
      <c r="B76" s="1632">
        <v>60</v>
      </c>
      <c r="C76" s="2081"/>
      <c r="D76" s="2081"/>
      <c r="E76" s="2081"/>
      <c r="F76" s="2081"/>
      <c r="G76" s="2081"/>
      <c r="H76" s="2081"/>
      <c r="I76" s="2081"/>
      <c r="J76" s="2081"/>
      <c r="K76" s="2082"/>
      <c r="L76" s="2082"/>
      <c r="M76" s="2082"/>
      <c r="N76" s="2174"/>
      <c r="O76" s="2074"/>
      <c r="P76" s="2213"/>
      <c r="Q76" s="347"/>
      <c r="R76" s="345"/>
      <c r="S76" s="346"/>
      <c r="T76" s="345"/>
      <c r="U76" s="346"/>
      <c r="V76" s="345"/>
      <c r="W76" s="326"/>
      <c r="X76" s="326"/>
      <c r="Y76" s="328"/>
      <c r="Z76" s="329"/>
      <c r="AA76" s="326"/>
      <c r="AB76" s="326"/>
      <c r="AC76" s="326"/>
      <c r="AD76" s="252"/>
      <c r="AE76" s="252"/>
      <c r="AF76" s="252"/>
      <c r="AG76" s="252"/>
      <c r="AH76" s="252"/>
      <c r="AI76" s="252"/>
      <c r="AJ76" s="252"/>
      <c r="AK76" s="252"/>
      <c r="AL76" s="252"/>
      <c r="AM76" s="252"/>
      <c r="AN76" s="252"/>
      <c r="AO76" s="252"/>
    </row>
    <row r="77" spans="2:41" ht="21" customHeight="1">
      <c r="B77" s="1632">
        <v>61</v>
      </c>
      <c r="C77" s="2081"/>
      <c r="D77" s="2081"/>
      <c r="E77" s="2081"/>
      <c r="F77" s="2081"/>
      <c r="G77" s="2081"/>
      <c r="H77" s="2081"/>
      <c r="I77" s="2081"/>
      <c r="J77" s="2081"/>
      <c r="K77" s="2082"/>
      <c r="L77" s="2082"/>
      <c r="M77" s="2082"/>
      <c r="N77" s="2174"/>
      <c r="O77" s="2074"/>
      <c r="P77" s="2213"/>
      <c r="Q77" s="347"/>
      <c r="R77" s="345"/>
      <c r="S77" s="346"/>
      <c r="T77" s="345"/>
      <c r="U77" s="346"/>
      <c r="V77" s="345"/>
      <c r="W77" s="326"/>
      <c r="X77" s="326"/>
      <c r="Y77" s="328"/>
      <c r="Z77" s="329"/>
      <c r="AA77" s="326"/>
      <c r="AB77" s="326"/>
      <c r="AC77" s="326"/>
      <c r="AD77" s="252"/>
      <c r="AE77" s="252"/>
      <c r="AF77" s="252"/>
      <c r="AG77" s="252"/>
      <c r="AH77" s="252"/>
      <c r="AI77" s="252"/>
      <c r="AJ77" s="252"/>
      <c r="AK77" s="252"/>
      <c r="AL77" s="252"/>
      <c r="AM77" s="252"/>
      <c r="AN77" s="252"/>
      <c r="AO77" s="252"/>
    </row>
    <row r="78" spans="2:41" ht="21" customHeight="1">
      <c r="B78" s="1632">
        <v>62</v>
      </c>
      <c r="C78" s="2081"/>
      <c r="D78" s="2081"/>
      <c r="E78" s="2081"/>
      <c r="F78" s="2081"/>
      <c r="G78" s="2081"/>
      <c r="H78" s="2081"/>
      <c r="I78" s="2081"/>
      <c r="J78" s="2081"/>
      <c r="K78" s="2082"/>
      <c r="L78" s="2082"/>
      <c r="M78" s="2082"/>
      <c r="N78" s="2174"/>
      <c r="O78" s="2074"/>
      <c r="P78" s="2213"/>
      <c r="Q78" s="347"/>
      <c r="R78" s="345"/>
      <c r="S78" s="346"/>
      <c r="T78" s="345"/>
      <c r="U78" s="346"/>
      <c r="V78" s="345"/>
      <c r="W78" s="326"/>
      <c r="X78" s="326"/>
      <c r="Y78" s="328"/>
      <c r="Z78" s="329"/>
      <c r="AA78" s="326"/>
      <c r="AB78" s="326"/>
      <c r="AC78" s="326"/>
      <c r="AD78" s="252"/>
      <c r="AE78" s="252"/>
      <c r="AF78" s="252"/>
      <c r="AG78" s="252"/>
      <c r="AH78" s="252"/>
      <c r="AI78" s="252"/>
      <c r="AJ78" s="252"/>
      <c r="AK78" s="252"/>
      <c r="AL78" s="252"/>
      <c r="AM78" s="252"/>
      <c r="AN78" s="252"/>
      <c r="AO78" s="252"/>
    </row>
    <row r="79" spans="2:41" ht="21" customHeight="1">
      <c r="B79" s="1632">
        <v>63</v>
      </c>
      <c r="C79" s="2081"/>
      <c r="D79" s="2081"/>
      <c r="E79" s="2081"/>
      <c r="F79" s="2081"/>
      <c r="G79" s="2081"/>
      <c r="H79" s="2081"/>
      <c r="I79" s="2081"/>
      <c r="J79" s="2081"/>
      <c r="K79" s="2082"/>
      <c r="L79" s="2082"/>
      <c r="M79" s="2082"/>
      <c r="N79" s="2174"/>
      <c r="O79" s="2074"/>
      <c r="P79" s="2213"/>
      <c r="Q79" s="347"/>
      <c r="R79" s="345"/>
      <c r="S79" s="346"/>
      <c r="T79" s="345"/>
      <c r="U79" s="346"/>
      <c r="V79" s="345"/>
      <c r="W79" s="326"/>
      <c r="X79" s="326"/>
      <c r="Y79" s="328"/>
      <c r="Z79" s="329"/>
      <c r="AA79" s="326"/>
      <c r="AB79" s="326"/>
      <c r="AC79" s="326"/>
      <c r="AD79" s="252"/>
      <c r="AE79" s="252"/>
      <c r="AF79" s="252"/>
      <c r="AG79" s="252"/>
      <c r="AH79" s="252"/>
      <c r="AI79" s="252"/>
      <c r="AJ79" s="252"/>
      <c r="AK79" s="252"/>
      <c r="AL79" s="252"/>
      <c r="AM79" s="252"/>
      <c r="AN79" s="252"/>
      <c r="AO79" s="252"/>
    </row>
    <row r="80" spans="2:41" ht="21" customHeight="1">
      <c r="B80" s="1632">
        <v>64</v>
      </c>
      <c r="C80" s="2081"/>
      <c r="D80" s="2081"/>
      <c r="E80" s="2081"/>
      <c r="F80" s="2081"/>
      <c r="G80" s="2081"/>
      <c r="H80" s="2081"/>
      <c r="I80" s="2081"/>
      <c r="J80" s="2081"/>
      <c r="K80" s="2082"/>
      <c r="L80" s="2082"/>
      <c r="M80" s="2082"/>
      <c r="N80" s="2174"/>
      <c r="O80" s="2219"/>
      <c r="P80" s="2215"/>
      <c r="Q80" s="347"/>
      <c r="R80" s="345"/>
      <c r="S80" s="346"/>
      <c r="T80" s="345"/>
      <c r="U80" s="346"/>
      <c r="V80" s="345"/>
      <c r="W80" s="326"/>
      <c r="X80" s="326"/>
      <c r="Y80" s="328"/>
      <c r="Z80" s="329"/>
      <c r="AA80" s="326"/>
      <c r="AB80" s="326"/>
      <c r="AC80" s="326"/>
      <c r="AD80" s="252"/>
      <c r="AE80" s="252"/>
      <c r="AF80" s="252"/>
      <c r="AG80" s="252"/>
      <c r="AH80" s="252"/>
      <c r="AI80" s="252"/>
      <c r="AJ80" s="252"/>
      <c r="AK80" s="252"/>
      <c r="AL80" s="252"/>
      <c r="AM80" s="252"/>
      <c r="AN80" s="252"/>
      <c r="AO80" s="252"/>
    </row>
    <row r="81" spans="2:41" ht="21" customHeight="1">
      <c r="B81" s="1632">
        <v>65</v>
      </c>
      <c r="C81" s="2081"/>
      <c r="D81" s="2081"/>
      <c r="E81" s="2081"/>
      <c r="F81" s="2081"/>
      <c r="G81" s="2081"/>
      <c r="H81" s="2081"/>
      <c r="I81" s="2081"/>
      <c r="J81" s="2081"/>
      <c r="K81" s="2082"/>
      <c r="L81" s="2082"/>
      <c r="M81" s="2082"/>
      <c r="N81" s="2174"/>
      <c r="O81" s="2219"/>
      <c r="P81" s="2215"/>
      <c r="Q81" s="347"/>
      <c r="R81" s="345"/>
      <c r="S81" s="346"/>
      <c r="T81" s="345"/>
      <c r="U81" s="346"/>
      <c r="V81" s="345"/>
      <c r="W81" s="326"/>
      <c r="X81" s="326"/>
      <c r="Y81" s="328"/>
      <c r="Z81" s="329"/>
      <c r="AA81" s="326"/>
      <c r="AB81" s="326"/>
      <c r="AC81" s="326"/>
      <c r="AD81" s="252"/>
      <c r="AE81" s="252"/>
      <c r="AF81" s="252"/>
      <c r="AG81" s="252"/>
      <c r="AH81" s="252"/>
      <c r="AI81" s="252"/>
      <c r="AJ81" s="252"/>
      <c r="AK81" s="252"/>
      <c r="AL81" s="252"/>
      <c r="AM81" s="252"/>
      <c r="AN81" s="252"/>
      <c r="AO81" s="252"/>
    </row>
    <row r="82" spans="2:41" ht="21" customHeight="1">
      <c r="B82" s="1632">
        <v>66</v>
      </c>
      <c r="C82" s="2081"/>
      <c r="D82" s="2081"/>
      <c r="E82" s="2081"/>
      <c r="F82" s="2081"/>
      <c r="G82" s="2081"/>
      <c r="H82" s="2081"/>
      <c r="I82" s="2081"/>
      <c r="J82" s="2081"/>
      <c r="K82" s="2082"/>
      <c r="L82" s="2082"/>
      <c r="M82" s="2082"/>
      <c r="N82" s="2174"/>
      <c r="O82" s="2219"/>
      <c r="P82" s="2215"/>
      <c r="Q82" s="347"/>
      <c r="R82" s="345"/>
      <c r="S82" s="346"/>
      <c r="T82" s="345"/>
      <c r="U82" s="346"/>
      <c r="V82" s="345"/>
      <c r="W82" s="326"/>
      <c r="X82" s="326"/>
      <c r="Y82" s="328"/>
      <c r="Z82" s="329"/>
      <c r="AA82" s="326"/>
      <c r="AB82" s="326"/>
      <c r="AC82" s="326"/>
      <c r="AD82" s="252"/>
      <c r="AE82" s="252"/>
      <c r="AF82" s="252"/>
      <c r="AG82" s="252"/>
      <c r="AH82" s="252"/>
      <c r="AI82" s="252"/>
      <c r="AJ82" s="252"/>
      <c r="AK82" s="252"/>
      <c r="AL82" s="252"/>
      <c r="AM82" s="252"/>
      <c r="AN82" s="252"/>
      <c r="AO82" s="252"/>
    </row>
    <row r="83" spans="2:41" ht="21" customHeight="1" thickBot="1">
      <c r="B83" s="1632">
        <v>67</v>
      </c>
      <c r="C83" s="2077"/>
      <c r="D83" s="2078"/>
      <c r="E83" s="2079"/>
      <c r="F83" s="2079"/>
      <c r="G83" s="2079"/>
      <c r="H83" s="2079"/>
      <c r="I83" s="2079"/>
      <c r="J83" s="2079"/>
      <c r="K83" s="2080"/>
      <c r="L83" s="2080"/>
      <c r="M83" s="2071"/>
      <c r="N83" s="2070"/>
      <c r="O83" s="2220"/>
      <c r="P83" s="2216"/>
      <c r="Q83" s="347"/>
      <c r="R83" s="345"/>
      <c r="S83" s="346"/>
      <c r="T83" s="345"/>
      <c r="U83" s="346"/>
      <c r="V83" s="345"/>
      <c r="W83" s="326"/>
      <c r="X83" s="326"/>
      <c r="Y83" s="321"/>
      <c r="Z83" s="326"/>
      <c r="AA83" s="326"/>
      <c r="AB83" s="326"/>
      <c r="AC83" s="326"/>
      <c r="AD83" s="252"/>
      <c r="AE83" s="252"/>
      <c r="AF83" s="252"/>
      <c r="AG83" s="252"/>
      <c r="AH83" s="252"/>
      <c r="AI83" s="252"/>
      <c r="AJ83" s="252"/>
      <c r="AK83" s="252"/>
      <c r="AL83" s="252"/>
      <c r="AM83" s="252"/>
      <c r="AN83" s="252"/>
      <c r="AO83" s="252"/>
    </row>
    <row r="84" spans="2:41" ht="45.75" thickBot="1">
      <c r="B84" s="348" t="s">
        <v>416</v>
      </c>
      <c r="C84" s="367">
        <f t="shared" ref="C84:V84" si="0">SUM(C17:C83)</f>
        <v>0</v>
      </c>
      <c r="D84" s="366">
        <f t="shared" si="0"/>
        <v>0</v>
      </c>
      <c r="E84" s="366">
        <f t="shared" si="0"/>
        <v>0</v>
      </c>
      <c r="F84" s="366">
        <f t="shared" si="0"/>
        <v>0</v>
      </c>
      <c r="G84" s="366">
        <f t="shared" si="0"/>
        <v>0</v>
      </c>
      <c r="H84" s="367">
        <f t="shared" si="0"/>
        <v>0</v>
      </c>
      <c r="I84" s="366">
        <f t="shared" si="0"/>
        <v>0</v>
      </c>
      <c r="J84" s="366">
        <f t="shared" si="0"/>
        <v>0</v>
      </c>
      <c r="K84" s="366">
        <f t="shared" si="0"/>
        <v>0</v>
      </c>
      <c r="L84" s="366">
        <f>SUM(L17:L83)</f>
        <v>0</v>
      </c>
      <c r="M84" s="349">
        <f>SUM(M17:M83)</f>
        <v>0</v>
      </c>
      <c r="N84" s="349">
        <f t="shared" si="0"/>
        <v>0</v>
      </c>
      <c r="O84" s="367">
        <f t="shared" si="0"/>
        <v>0</v>
      </c>
      <c r="P84" s="366">
        <f t="shared" si="0"/>
        <v>0</v>
      </c>
      <c r="Q84" s="349">
        <f t="shared" si="0"/>
        <v>0</v>
      </c>
      <c r="R84" s="349">
        <f t="shared" si="0"/>
        <v>0</v>
      </c>
      <c r="S84" s="349">
        <f t="shared" si="0"/>
        <v>0</v>
      </c>
      <c r="T84" s="349">
        <f t="shared" si="0"/>
        <v>0</v>
      </c>
      <c r="U84" s="349">
        <f t="shared" si="0"/>
        <v>0</v>
      </c>
      <c r="V84" s="349">
        <f t="shared" si="0"/>
        <v>0</v>
      </c>
      <c r="W84" s="326"/>
      <c r="X84" s="326"/>
      <c r="Y84" s="321"/>
      <c r="Z84" s="326"/>
      <c r="AA84" s="326"/>
      <c r="AB84" s="326"/>
      <c r="AC84" s="326"/>
      <c r="AD84" s="252"/>
      <c r="AE84" s="252"/>
      <c r="AF84" s="252"/>
      <c r="AG84" s="252"/>
      <c r="AH84" s="252"/>
      <c r="AI84" s="252"/>
      <c r="AJ84" s="252"/>
      <c r="AK84" s="252"/>
      <c r="AL84" s="252"/>
      <c r="AM84" s="252"/>
      <c r="AN84" s="252"/>
      <c r="AO84" s="252"/>
    </row>
    <row r="85" spans="2:41" ht="54.75" customHeight="1" thickBot="1">
      <c r="B85" s="350" t="s">
        <v>417</v>
      </c>
      <c r="C85" s="2326">
        <f>SUM(C84:D84)</f>
        <v>0</v>
      </c>
      <c r="D85" s="2327"/>
      <c r="E85" s="2326">
        <f>SUM(E84:F84)</f>
        <v>0</v>
      </c>
      <c r="F85" s="2327"/>
      <c r="G85" s="2326">
        <f>SUM(G84:H84)</f>
        <v>0</v>
      </c>
      <c r="H85" s="2327"/>
      <c r="I85" s="2326">
        <f>SUM(I84:J84)</f>
        <v>0</v>
      </c>
      <c r="J85" s="2327"/>
      <c r="K85" s="2326">
        <f>SUM(K84:L84)</f>
        <v>0</v>
      </c>
      <c r="L85" s="2327"/>
      <c r="M85" s="2364">
        <f>SUM(M84:N84)</f>
        <v>0</v>
      </c>
      <c r="N85" s="2365"/>
      <c r="O85" s="2366">
        <f>SUM(O84:P84)</f>
        <v>0</v>
      </c>
      <c r="P85" s="2367"/>
      <c r="Q85" s="2366">
        <f>SUM(Q84:R84)</f>
        <v>0</v>
      </c>
      <c r="R85" s="2367"/>
      <c r="S85" s="2366">
        <f>SUM(S84:T84)</f>
        <v>0</v>
      </c>
      <c r="T85" s="2367"/>
      <c r="U85" s="2366">
        <f>SUM(U84:V84)</f>
        <v>0</v>
      </c>
      <c r="V85" s="2367"/>
      <c r="W85" s="326"/>
      <c r="X85" s="326"/>
      <c r="Y85" s="321"/>
      <c r="Z85" s="332"/>
      <c r="AA85" s="326"/>
      <c r="AB85" s="326"/>
      <c r="AC85" s="326"/>
      <c r="AD85" s="252"/>
      <c r="AE85" s="252"/>
      <c r="AF85" s="252"/>
      <c r="AG85" s="252"/>
      <c r="AH85" s="252"/>
      <c r="AI85" s="252"/>
      <c r="AJ85" s="252"/>
      <c r="AK85" s="252"/>
      <c r="AL85" s="252"/>
      <c r="AM85" s="252"/>
      <c r="AN85" s="252"/>
      <c r="AO85" s="252"/>
    </row>
    <row r="86" spans="2:41" ht="28.5" customHeight="1">
      <c r="B86" s="2374" t="str">
        <f>CONCATENATE("CUADRILLA ", C16)</f>
        <v>CUADRILLA LUIS</v>
      </c>
      <c r="C86" s="2375"/>
      <c r="D86" s="2375"/>
      <c r="E86" s="2375"/>
      <c r="F86" s="2375"/>
      <c r="G86" s="2376"/>
      <c r="H86" s="2368">
        <f>+C84+E84+G84+I84+K84+M84+O84+Q84+S84+U84</f>
        <v>0</v>
      </c>
      <c r="I86" s="2369"/>
      <c r="J86" s="2369"/>
      <c r="K86" s="2370"/>
      <c r="L86" s="2380" t="str">
        <f>CONCATENATE("CUADRILLA ", D16)</f>
        <v>CUADRILLA CHARLES</v>
      </c>
      <c r="M86" s="2381"/>
      <c r="N86" s="2381"/>
      <c r="O86" s="2381"/>
      <c r="P86" s="2381"/>
      <c r="Q86" s="2381"/>
      <c r="R86" s="2382"/>
      <c r="S86" s="2368">
        <f>+D84+F84+H84+J84+L84+N84+P84+R84+T84+V84</f>
        <v>0</v>
      </c>
      <c r="T86" s="2369"/>
      <c r="U86" s="2369"/>
      <c r="V86" s="2370"/>
      <c r="W86" s="326"/>
      <c r="X86" s="326"/>
      <c r="Y86" s="321"/>
      <c r="Z86" s="326"/>
      <c r="AA86" s="326"/>
      <c r="AB86" s="326"/>
      <c r="AC86" s="326"/>
      <c r="AD86" s="252"/>
      <c r="AE86" s="252"/>
      <c r="AF86" s="252"/>
      <c r="AG86" s="252"/>
      <c r="AH86" s="252"/>
      <c r="AI86" s="252"/>
      <c r="AJ86" s="252"/>
      <c r="AK86" s="252"/>
      <c r="AL86" s="252"/>
      <c r="AM86" s="252"/>
      <c r="AN86" s="252"/>
      <c r="AO86" s="252"/>
    </row>
    <row r="87" spans="2:41" ht="28.5" customHeight="1" thickBot="1">
      <c r="B87" s="2377"/>
      <c r="C87" s="2378"/>
      <c r="D87" s="2378"/>
      <c r="E87" s="2378"/>
      <c r="F87" s="2378"/>
      <c r="G87" s="2379"/>
      <c r="H87" s="2371"/>
      <c r="I87" s="2372"/>
      <c r="J87" s="2372"/>
      <c r="K87" s="2373"/>
      <c r="L87" s="2383"/>
      <c r="M87" s="2384"/>
      <c r="N87" s="2384"/>
      <c r="O87" s="2384"/>
      <c r="P87" s="2384"/>
      <c r="Q87" s="2384"/>
      <c r="R87" s="2385"/>
      <c r="S87" s="2371"/>
      <c r="T87" s="2372"/>
      <c r="U87" s="2372"/>
      <c r="V87" s="2373"/>
      <c r="W87" s="252"/>
      <c r="X87" s="252"/>
      <c r="Y87" s="253"/>
      <c r="Z87" s="332"/>
      <c r="AA87" s="252"/>
      <c r="AB87" s="252"/>
      <c r="AC87" s="252"/>
      <c r="AD87" s="252"/>
      <c r="AE87" s="252"/>
      <c r="AF87" s="252"/>
      <c r="AG87" s="252"/>
      <c r="AH87" s="252"/>
      <c r="AI87" s="252"/>
      <c r="AJ87" s="252"/>
      <c r="AK87" s="252"/>
      <c r="AL87" s="252"/>
      <c r="AM87" s="252"/>
      <c r="AN87" s="252"/>
      <c r="AO87" s="252"/>
    </row>
    <row r="88" spans="2:41" ht="28.5" customHeight="1">
      <c r="B88" s="2362">
        <f>SUM(H86+S86)</f>
        <v>0</v>
      </c>
      <c r="C88" s="2362"/>
      <c r="D88" s="2362"/>
      <c r="E88" s="2362"/>
      <c r="F88" s="2362"/>
      <c r="G88" s="2362"/>
      <c r="H88" s="2362"/>
      <c r="I88" s="2362"/>
      <c r="J88" s="2362"/>
      <c r="K88" s="2362"/>
      <c r="L88" s="2362"/>
      <c r="M88" s="2362"/>
      <c r="N88" s="2362"/>
      <c r="O88" s="2362"/>
      <c r="P88" s="2362"/>
      <c r="Q88" s="2362"/>
      <c r="R88" s="2362"/>
      <c r="S88" s="2362"/>
      <c r="T88" s="2362"/>
      <c r="U88" s="2362"/>
      <c r="V88" s="2362"/>
      <c r="W88" s="252"/>
      <c r="X88" s="252"/>
      <c r="Y88" s="253"/>
      <c r="Z88" s="332"/>
      <c r="AA88" s="252"/>
      <c r="AB88" s="252"/>
      <c r="AC88" s="252"/>
      <c r="AD88" s="252"/>
      <c r="AE88" s="252"/>
      <c r="AF88" s="252"/>
      <c r="AG88" s="252"/>
      <c r="AH88" s="252"/>
      <c r="AI88" s="252"/>
      <c r="AJ88" s="252"/>
      <c r="AK88" s="252"/>
      <c r="AL88" s="252"/>
      <c r="AM88" s="252"/>
      <c r="AN88" s="252"/>
      <c r="AO88" s="252"/>
    </row>
    <row r="89" spans="2:41" ht="28.5" customHeight="1">
      <c r="B89" s="2363"/>
      <c r="C89" s="2363"/>
      <c r="D89" s="2363"/>
      <c r="E89" s="2363"/>
      <c r="F89" s="2363"/>
      <c r="G89" s="2363"/>
      <c r="H89" s="2363"/>
      <c r="I89" s="2363"/>
      <c r="J89" s="2363"/>
      <c r="K89" s="2363"/>
      <c r="L89" s="2363"/>
      <c r="M89" s="2363"/>
      <c r="N89" s="2363"/>
      <c r="O89" s="2363"/>
      <c r="P89" s="2363"/>
      <c r="Q89" s="2363"/>
      <c r="R89" s="2363"/>
      <c r="S89" s="2363"/>
      <c r="T89" s="2363"/>
      <c r="U89" s="2363"/>
      <c r="V89" s="2363"/>
      <c r="W89" s="252"/>
      <c r="X89" s="252"/>
      <c r="Y89" s="253"/>
      <c r="Z89" s="332"/>
      <c r="AA89" s="252"/>
      <c r="AB89" s="252"/>
      <c r="AC89" s="252"/>
      <c r="AD89" s="252"/>
      <c r="AE89" s="252"/>
      <c r="AF89" s="252"/>
      <c r="AG89" s="252"/>
      <c r="AH89" s="252"/>
      <c r="AI89" s="252"/>
      <c r="AJ89" s="252"/>
      <c r="AK89" s="252"/>
      <c r="AL89" s="252"/>
      <c r="AM89" s="252"/>
      <c r="AN89" s="252"/>
      <c r="AO89" s="252"/>
    </row>
    <row r="90" spans="2:41" ht="28.5" customHeight="1">
      <c r="B90" s="320"/>
      <c r="C90" s="320"/>
      <c r="D90" s="320"/>
      <c r="E90" s="320"/>
      <c r="F90" s="320"/>
      <c r="G90" s="320"/>
      <c r="H90" s="320"/>
      <c r="I90" s="320"/>
      <c r="J90" s="320"/>
      <c r="K90" s="320"/>
      <c r="L90" s="320"/>
      <c r="M90" s="320"/>
      <c r="N90" s="320"/>
      <c r="O90" s="320"/>
      <c r="P90" s="320"/>
      <c r="Q90" s="320"/>
      <c r="R90" s="320"/>
      <c r="S90" s="320"/>
      <c r="T90" s="320"/>
      <c r="U90" s="320"/>
      <c r="V90" s="302"/>
      <c r="W90" s="252"/>
      <c r="X90" s="252"/>
      <c r="Y90" s="253"/>
      <c r="Z90" s="252"/>
      <c r="AA90" s="252"/>
      <c r="AB90" s="252"/>
      <c r="AC90" s="252"/>
      <c r="AD90" s="252"/>
      <c r="AE90" s="252"/>
      <c r="AF90" s="252"/>
      <c r="AG90" s="252"/>
      <c r="AH90" s="252"/>
      <c r="AI90" s="252"/>
      <c r="AJ90" s="252"/>
      <c r="AK90" s="252"/>
      <c r="AL90" s="252"/>
      <c r="AM90" s="252"/>
      <c r="AN90" s="252"/>
      <c r="AO90" s="252"/>
    </row>
    <row r="91" spans="2:41" ht="28.5" customHeight="1">
      <c r="B91" s="320"/>
      <c r="C91" s="320"/>
      <c r="D91" s="320"/>
      <c r="E91" s="320"/>
      <c r="F91" s="320"/>
      <c r="G91" s="320"/>
      <c r="H91" s="1201"/>
      <c r="I91" s="1201"/>
      <c r="J91" s="1201"/>
      <c r="K91" s="1201"/>
      <c r="L91" s="1201"/>
      <c r="M91" s="1201"/>
      <c r="N91" s="1201"/>
      <c r="O91" s="320"/>
      <c r="P91" s="320"/>
      <c r="Q91" s="320"/>
      <c r="R91" s="320"/>
      <c r="S91" s="320"/>
      <c r="T91" s="320"/>
      <c r="U91" s="320"/>
      <c r="V91" s="302"/>
      <c r="W91" s="252"/>
      <c r="X91" s="252"/>
      <c r="Y91" s="253"/>
      <c r="Z91" s="252"/>
      <c r="AA91" s="252"/>
      <c r="AB91" s="252"/>
      <c r="AC91" s="252"/>
      <c r="AD91" s="252"/>
      <c r="AE91" s="252"/>
      <c r="AF91" s="252"/>
      <c r="AG91" s="252"/>
      <c r="AH91" s="252"/>
      <c r="AI91" s="252"/>
      <c r="AJ91" s="252"/>
      <c r="AK91" s="252"/>
      <c r="AL91" s="252"/>
      <c r="AM91" s="252"/>
      <c r="AN91" s="252"/>
      <c r="AO91" s="252"/>
    </row>
    <row r="92" spans="2:41" ht="28.5" customHeight="1">
      <c r="B92" s="320"/>
      <c r="C92" s="320"/>
      <c r="D92" s="320"/>
      <c r="E92" s="320"/>
      <c r="F92" s="320"/>
      <c r="G92" s="320"/>
      <c r="H92" s="1201"/>
      <c r="I92" s="1201"/>
      <c r="J92" s="1201"/>
      <c r="K92" s="1201"/>
      <c r="L92" s="1201"/>
      <c r="M92" s="1201"/>
      <c r="N92" s="1201"/>
      <c r="O92" s="320"/>
      <c r="P92" s="320"/>
      <c r="Q92" s="320"/>
      <c r="R92" s="320"/>
      <c r="S92" s="320"/>
      <c r="T92" s="320"/>
      <c r="U92" s="320"/>
      <c r="V92" s="302"/>
      <c r="W92" s="252"/>
      <c r="X92" s="252"/>
      <c r="Y92" s="253"/>
      <c r="Z92" s="252"/>
      <c r="AA92" s="252"/>
      <c r="AB92" s="252"/>
      <c r="AC92" s="252"/>
      <c r="AD92" s="252"/>
      <c r="AE92" s="252"/>
      <c r="AF92" s="252"/>
      <c r="AG92" s="252"/>
      <c r="AH92" s="252"/>
      <c r="AI92" s="252"/>
      <c r="AJ92" s="252"/>
      <c r="AK92" s="252"/>
      <c r="AL92" s="252"/>
      <c r="AM92" s="252"/>
      <c r="AN92" s="252"/>
      <c r="AO92" s="252"/>
    </row>
    <row r="93" spans="2:41" ht="28.5" customHeight="1">
      <c r="B93" s="320"/>
      <c r="C93" s="320"/>
      <c r="D93" s="320"/>
      <c r="E93" s="320"/>
      <c r="F93" s="320"/>
      <c r="G93" s="320"/>
      <c r="H93" s="1201"/>
      <c r="I93" s="1201"/>
      <c r="J93" s="1201"/>
      <c r="K93" s="1201"/>
      <c r="L93" s="1201"/>
      <c r="M93" s="1201"/>
      <c r="N93" s="1201"/>
      <c r="O93" s="320"/>
      <c r="P93" s="320"/>
      <c r="Q93" s="320"/>
      <c r="R93" s="320"/>
      <c r="S93" s="320"/>
      <c r="T93" s="320"/>
      <c r="U93" s="320"/>
      <c r="V93" s="302"/>
      <c r="W93" s="252"/>
      <c r="X93" s="252"/>
      <c r="Y93" s="253"/>
      <c r="Z93" s="252"/>
      <c r="AA93" s="252"/>
      <c r="AB93" s="252"/>
      <c r="AC93" s="252"/>
      <c r="AD93" s="252"/>
      <c r="AE93" s="252"/>
      <c r="AF93" s="252"/>
      <c r="AG93" s="252"/>
      <c r="AH93" s="252"/>
      <c r="AI93" s="252"/>
      <c r="AJ93" s="252"/>
      <c r="AK93" s="252"/>
      <c r="AL93" s="252"/>
      <c r="AM93" s="252"/>
      <c r="AN93" s="252"/>
      <c r="AO93" s="252"/>
    </row>
    <row r="94" spans="2:41" ht="28.5" customHeight="1">
      <c r="B94" s="320"/>
      <c r="C94" s="320"/>
      <c r="D94" s="320"/>
      <c r="E94" s="320"/>
      <c r="F94" s="320"/>
      <c r="G94" s="320"/>
      <c r="H94" s="1201"/>
      <c r="I94" s="1201"/>
      <c r="J94" s="1201"/>
      <c r="K94" s="1201"/>
      <c r="L94" s="1201"/>
      <c r="M94" s="1201"/>
      <c r="N94" s="1201"/>
      <c r="O94" s="320"/>
      <c r="P94" s="320"/>
      <c r="Q94" s="320"/>
      <c r="R94" s="320"/>
      <c r="S94" s="320"/>
      <c r="T94" s="320"/>
      <c r="U94" s="320"/>
      <c r="V94" s="302"/>
      <c r="W94" s="252"/>
      <c r="X94" s="252"/>
      <c r="Y94" s="253"/>
      <c r="Z94" s="252"/>
      <c r="AA94" s="252"/>
      <c r="AB94" s="252"/>
      <c r="AC94" s="252"/>
      <c r="AD94" s="252"/>
      <c r="AE94" s="252"/>
      <c r="AF94" s="252"/>
      <c r="AG94" s="252"/>
      <c r="AH94" s="252"/>
      <c r="AI94" s="252"/>
      <c r="AJ94" s="252"/>
      <c r="AK94" s="252"/>
      <c r="AL94" s="252"/>
      <c r="AM94" s="252"/>
      <c r="AN94" s="252"/>
      <c r="AO94" s="252"/>
    </row>
    <row r="95" spans="2:41" ht="28.5" customHeight="1">
      <c r="B95" s="320"/>
      <c r="C95" s="320"/>
      <c r="D95" s="320"/>
      <c r="E95" s="320"/>
      <c r="F95" s="320"/>
      <c r="G95" s="320"/>
      <c r="H95" s="1201"/>
      <c r="I95" s="1201"/>
      <c r="J95" s="1201"/>
      <c r="K95" s="1201"/>
      <c r="L95" s="1201"/>
      <c r="M95" s="1201"/>
      <c r="N95" s="1201"/>
      <c r="O95" s="320"/>
      <c r="P95" s="320"/>
      <c r="Q95" s="320"/>
      <c r="R95" s="320"/>
      <c r="S95" s="320"/>
      <c r="T95" s="320"/>
      <c r="U95" s="320"/>
      <c r="V95" s="302"/>
      <c r="W95" s="252"/>
      <c r="X95" s="252"/>
      <c r="Y95" s="253"/>
      <c r="Z95" s="252"/>
      <c r="AA95" s="252"/>
      <c r="AB95" s="252"/>
      <c r="AC95" s="252"/>
      <c r="AD95" s="252"/>
      <c r="AE95" s="252"/>
      <c r="AF95" s="252"/>
      <c r="AG95" s="252"/>
      <c r="AH95" s="252"/>
      <c r="AI95" s="252"/>
      <c r="AJ95" s="252"/>
      <c r="AK95" s="252"/>
      <c r="AL95" s="252"/>
      <c r="AM95" s="252"/>
      <c r="AN95" s="252"/>
      <c r="AO95" s="252"/>
    </row>
    <row r="96" spans="2:41" ht="28.5" customHeight="1">
      <c r="B96" s="320"/>
      <c r="C96" s="320"/>
      <c r="D96" s="320"/>
      <c r="E96" s="320"/>
      <c r="F96" s="320"/>
      <c r="G96" s="320"/>
      <c r="H96" s="1201"/>
      <c r="I96" s="1201"/>
      <c r="J96" s="1201"/>
      <c r="K96" s="1201"/>
      <c r="L96" s="1201"/>
      <c r="M96" s="1201"/>
      <c r="N96" s="1201"/>
      <c r="O96" s="320"/>
      <c r="P96" s="320"/>
      <c r="Q96" s="320"/>
      <c r="R96" s="320"/>
      <c r="S96" s="320"/>
      <c r="T96" s="320"/>
      <c r="U96" s="320"/>
      <c r="V96" s="302"/>
      <c r="W96" s="252"/>
      <c r="X96" s="252"/>
      <c r="Y96" s="253"/>
      <c r="Z96" s="252"/>
      <c r="AA96" s="252"/>
      <c r="AB96" s="252"/>
      <c r="AC96" s="252"/>
      <c r="AD96" s="252"/>
      <c r="AE96" s="252"/>
      <c r="AF96" s="252"/>
      <c r="AG96" s="252"/>
      <c r="AH96" s="252"/>
      <c r="AI96" s="252"/>
      <c r="AJ96" s="252"/>
      <c r="AK96" s="252"/>
      <c r="AL96" s="252"/>
      <c r="AM96" s="252"/>
      <c r="AN96" s="252"/>
      <c r="AO96" s="252"/>
    </row>
    <row r="97" spans="2:41" ht="28.5" customHeight="1">
      <c r="B97" s="320"/>
      <c r="C97" s="320"/>
      <c r="D97" s="320"/>
      <c r="E97" s="320"/>
      <c r="F97" s="320"/>
      <c r="G97" s="320"/>
      <c r="H97" s="1201"/>
      <c r="I97" s="1201"/>
      <c r="J97" s="1201"/>
      <c r="K97" s="1201"/>
      <c r="L97" s="1201"/>
      <c r="M97" s="1201"/>
      <c r="N97" s="1201"/>
      <c r="O97" s="320"/>
      <c r="P97" s="320"/>
      <c r="Q97" s="320"/>
      <c r="R97" s="320"/>
      <c r="S97" s="320"/>
      <c r="T97" s="320"/>
      <c r="U97" s="320"/>
      <c r="V97" s="302"/>
      <c r="W97" s="252"/>
      <c r="X97" s="252"/>
      <c r="Y97" s="253"/>
      <c r="Z97" s="252"/>
      <c r="AA97" s="252"/>
      <c r="AB97" s="252"/>
      <c r="AC97" s="252"/>
      <c r="AD97" s="252"/>
      <c r="AE97" s="252"/>
      <c r="AF97" s="252"/>
      <c r="AG97" s="252"/>
      <c r="AH97" s="252"/>
      <c r="AI97" s="252"/>
      <c r="AJ97" s="252"/>
      <c r="AK97" s="252"/>
      <c r="AL97" s="252"/>
      <c r="AM97" s="252"/>
      <c r="AN97" s="252"/>
      <c r="AO97" s="252"/>
    </row>
    <row r="98" spans="2:41" ht="28.5" customHeight="1">
      <c r="B98" s="320"/>
      <c r="C98" s="320"/>
      <c r="D98" s="320"/>
      <c r="E98" s="320"/>
      <c r="F98" s="320"/>
      <c r="G98" s="320"/>
      <c r="H98" s="320"/>
      <c r="I98" s="320"/>
      <c r="J98" s="320"/>
      <c r="K98" s="320"/>
      <c r="L98" s="320"/>
      <c r="M98" s="320"/>
      <c r="N98" s="320"/>
      <c r="O98" s="320"/>
      <c r="P98" s="320"/>
      <c r="Q98" s="320"/>
      <c r="R98" s="320"/>
      <c r="S98" s="320"/>
      <c r="T98" s="320"/>
      <c r="U98" s="320"/>
      <c r="V98" s="302"/>
      <c r="W98" s="252"/>
      <c r="X98" s="252"/>
      <c r="Y98" s="253"/>
      <c r="Z98" s="252"/>
      <c r="AA98" s="252"/>
      <c r="AB98" s="252"/>
      <c r="AC98" s="252"/>
      <c r="AD98" s="252"/>
      <c r="AE98" s="252"/>
      <c r="AF98" s="252"/>
      <c r="AG98" s="252"/>
      <c r="AH98" s="252"/>
      <c r="AI98" s="252"/>
      <c r="AJ98" s="252"/>
      <c r="AK98" s="252"/>
      <c r="AL98" s="252"/>
      <c r="AM98" s="252"/>
      <c r="AN98" s="252"/>
      <c r="AO98" s="252"/>
    </row>
    <row r="99" spans="2:41" ht="28.5" customHeight="1">
      <c r="B99" s="320"/>
      <c r="C99" s="320"/>
      <c r="D99" s="320"/>
      <c r="E99" s="320"/>
      <c r="F99" s="320"/>
      <c r="G99" s="320"/>
      <c r="H99" s="320"/>
      <c r="I99" s="320"/>
      <c r="J99" s="320"/>
      <c r="K99" s="320"/>
      <c r="L99" s="320"/>
      <c r="M99" s="320"/>
      <c r="N99" s="320"/>
      <c r="O99" s="320"/>
      <c r="P99" s="320"/>
      <c r="Q99" s="320"/>
      <c r="R99" s="320"/>
      <c r="S99" s="320"/>
      <c r="T99" s="320"/>
      <c r="U99" s="320"/>
      <c r="V99" s="302"/>
      <c r="W99" s="252"/>
      <c r="X99" s="252"/>
      <c r="Y99" s="253"/>
      <c r="Z99" s="252"/>
      <c r="AA99" s="252"/>
      <c r="AB99" s="252"/>
      <c r="AC99" s="252"/>
      <c r="AD99" s="252"/>
      <c r="AE99" s="252"/>
      <c r="AF99" s="252"/>
      <c r="AG99" s="252"/>
      <c r="AH99" s="252"/>
      <c r="AI99" s="252"/>
      <c r="AJ99" s="252"/>
      <c r="AK99" s="252"/>
      <c r="AL99" s="252"/>
      <c r="AM99" s="252"/>
      <c r="AN99" s="252"/>
      <c r="AO99" s="252"/>
    </row>
    <row r="100" spans="2:41" ht="28.5" customHeight="1">
      <c r="B100" s="320"/>
      <c r="C100" s="320"/>
      <c r="D100" s="320"/>
      <c r="E100" s="320"/>
      <c r="F100" s="320"/>
      <c r="G100" s="320"/>
      <c r="H100" s="320"/>
      <c r="I100" s="320"/>
      <c r="J100" s="320"/>
      <c r="K100" s="320"/>
      <c r="L100" s="320"/>
      <c r="M100" s="320"/>
      <c r="N100" s="320"/>
      <c r="O100" s="320"/>
      <c r="P100" s="320"/>
      <c r="Q100" s="320"/>
      <c r="R100" s="320"/>
      <c r="S100" s="320"/>
      <c r="T100" s="320"/>
      <c r="U100" s="320"/>
      <c r="V100" s="302"/>
      <c r="W100" s="252"/>
      <c r="X100" s="252"/>
      <c r="Y100" s="253"/>
      <c r="Z100" s="252"/>
      <c r="AA100" s="252"/>
      <c r="AB100" s="252"/>
      <c r="AC100" s="252"/>
      <c r="AD100" s="252"/>
      <c r="AE100" s="252"/>
      <c r="AF100" s="252"/>
      <c r="AG100" s="252"/>
      <c r="AH100" s="252"/>
      <c r="AI100" s="252"/>
      <c r="AJ100" s="252"/>
      <c r="AK100" s="252"/>
      <c r="AL100" s="252"/>
      <c r="AM100" s="252"/>
      <c r="AN100" s="252"/>
      <c r="AO100" s="252"/>
    </row>
    <row r="101" spans="2:41" ht="28.5" customHeight="1">
      <c r="B101" s="320"/>
      <c r="C101" s="320"/>
      <c r="D101" s="320"/>
      <c r="E101" s="320"/>
      <c r="F101" s="320"/>
      <c r="G101" s="320"/>
      <c r="H101" s="320"/>
      <c r="I101" s="320"/>
      <c r="J101" s="320"/>
      <c r="K101" s="320"/>
      <c r="L101" s="320"/>
      <c r="M101" s="320"/>
      <c r="N101" s="320"/>
      <c r="O101" s="320"/>
      <c r="P101" s="320"/>
      <c r="Q101" s="320"/>
      <c r="R101" s="320"/>
      <c r="S101" s="320"/>
      <c r="T101" s="320"/>
      <c r="U101" s="320"/>
      <c r="V101" s="302"/>
      <c r="W101" s="252"/>
      <c r="X101" s="252"/>
      <c r="Y101" s="253"/>
      <c r="Z101" s="252"/>
      <c r="AA101" s="252"/>
      <c r="AB101" s="252"/>
      <c r="AC101" s="252"/>
      <c r="AD101" s="252"/>
      <c r="AE101" s="252"/>
      <c r="AF101" s="252"/>
      <c r="AG101" s="252"/>
      <c r="AH101" s="252"/>
      <c r="AI101" s="252"/>
      <c r="AJ101" s="252"/>
      <c r="AK101" s="252"/>
      <c r="AL101" s="252"/>
      <c r="AM101" s="252"/>
      <c r="AN101" s="252"/>
      <c r="AO101" s="252"/>
    </row>
    <row r="102" spans="2:41" ht="28.5" customHeight="1">
      <c r="B102" s="320"/>
      <c r="C102" s="320"/>
      <c r="D102" s="320"/>
      <c r="E102" s="320"/>
      <c r="F102" s="320"/>
      <c r="G102" s="320"/>
      <c r="H102" s="320"/>
      <c r="I102" s="320"/>
      <c r="J102" s="320"/>
      <c r="K102" s="320"/>
      <c r="L102" s="320"/>
      <c r="M102" s="320"/>
      <c r="N102" s="320"/>
      <c r="O102" s="320"/>
      <c r="P102" s="320"/>
      <c r="Q102" s="320"/>
      <c r="R102" s="320"/>
      <c r="S102" s="320"/>
      <c r="T102" s="320"/>
      <c r="U102" s="320"/>
      <c r="V102" s="302"/>
      <c r="W102" s="252"/>
      <c r="X102" s="252"/>
      <c r="Y102" s="253"/>
      <c r="Z102" s="252"/>
      <c r="AA102" s="252"/>
      <c r="AB102" s="252"/>
      <c r="AC102" s="252"/>
      <c r="AD102" s="252"/>
      <c r="AE102" s="252"/>
      <c r="AF102" s="252"/>
      <c r="AG102" s="252"/>
      <c r="AH102" s="252"/>
      <c r="AI102" s="252"/>
      <c r="AJ102" s="252"/>
      <c r="AK102" s="252"/>
      <c r="AL102" s="252"/>
      <c r="AM102" s="252"/>
      <c r="AN102" s="252"/>
      <c r="AO102" s="252"/>
    </row>
    <row r="103" spans="2:41" ht="28.5" customHeight="1">
      <c r="B103" s="320"/>
      <c r="C103" s="320"/>
      <c r="D103" s="320"/>
      <c r="E103" s="320"/>
      <c r="F103" s="320"/>
      <c r="G103" s="320"/>
      <c r="H103" s="320"/>
      <c r="I103" s="320"/>
      <c r="J103" s="320"/>
      <c r="K103" s="320"/>
      <c r="L103" s="320"/>
      <c r="M103" s="320"/>
      <c r="N103" s="320"/>
      <c r="O103" s="320"/>
      <c r="P103" s="320"/>
      <c r="Q103" s="320"/>
      <c r="R103" s="320"/>
      <c r="S103" s="320"/>
      <c r="T103" s="320"/>
      <c r="U103" s="320"/>
      <c r="V103" s="302"/>
      <c r="W103" s="252"/>
      <c r="X103" s="252"/>
      <c r="Y103" s="253"/>
      <c r="Z103" s="252"/>
      <c r="AA103" s="252"/>
      <c r="AB103" s="252"/>
      <c r="AC103" s="252"/>
      <c r="AD103" s="252"/>
      <c r="AE103" s="252"/>
      <c r="AF103" s="252"/>
      <c r="AG103" s="252"/>
      <c r="AH103" s="252"/>
      <c r="AI103" s="252"/>
      <c r="AJ103" s="252"/>
      <c r="AK103" s="252"/>
      <c r="AL103" s="252"/>
      <c r="AM103" s="252"/>
      <c r="AN103" s="252"/>
      <c r="AO103" s="252"/>
    </row>
    <row r="104" spans="2:41" ht="28.5" customHeight="1">
      <c r="B104" s="320"/>
      <c r="C104" s="320"/>
      <c r="D104" s="320"/>
      <c r="E104" s="320"/>
      <c r="F104" s="320"/>
      <c r="G104" s="320"/>
      <c r="H104" s="320"/>
      <c r="I104" s="320"/>
      <c r="J104" s="320"/>
      <c r="K104" s="320"/>
      <c r="L104" s="320"/>
      <c r="M104" s="320"/>
      <c r="N104" s="320"/>
      <c r="O104" s="320"/>
      <c r="P104" s="320"/>
      <c r="Q104" s="320"/>
      <c r="R104" s="320"/>
      <c r="S104" s="320"/>
      <c r="T104" s="320"/>
      <c r="U104" s="320"/>
      <c r="V104" s="302"/>
      <c r="W104" s="252"/>
      <c r="X104" s="252"/>
      <c r="Y104" s="253"/>
      <c r="Z104" s="252"/>
      <c r="AA104" s="252"/>
      <c r="AB104" s="252"/>
      <c r="AC104" s="252"/>
      <c r="AD104" s="252"/>
      <c r="AE104" s="252"/>
      <c r="AF104" s="252"/>
      <c r="AG104" s="252"/>
      <c r="AH104" s="252"/>
      <c r="AI104" s="252"/>
      <c r="AJ104" s="252"/>
      <c r="AK104" s="252"/>
      <c r="AL104" s="252"/>
      <c r="AM104" s="252"/>
      <c r="AN104" s="252"/>
      <c r="AO104" s="252"/>
    </row>
    <row r="105" spans="2:41" ht="28.5" customHeight="1">
      <c r="B105" s="320"/>
      <c r="C105" s="320"/>
      <c r="D105" s="320"/>
      <c r="E105" s="320"/>
      <c r="F105" s="320"/>
      <c r="G105" s="320"/>
      <c r="H105" s="320"/>
      <c r="I105" s="320"/>
      <c r="J105" s="320"/>
      <c r="K105" s="320"/>
      <c r="L105" s="320"/>
      <c r="M105" s="320"/>
      <c r="N105" s="320"/>
      <c r="O105" s="320"/>
      <c r="P105" s="320"/>
      <c r="Q105" s="320"/>
      <c r="R105" s="320"/>
      <c r="S105" s="320"/>
      <c r="T105" s="320"/>
      <c r="U105" s="320"/>
      <c r="V105" s="302"/>
      <c r="W105" s="252"/>
      <c r="X105" s="252"/>
      <c r="Y105" s="253"/>
      <c r="Z105" s="252"/>
      <c r="AA105" s="252"/>
      <c r="AB105" s="252"/>
      <c r="AC105" s="252"/>
      <c r="AD105" s="252"/>
      <c r="AE105" s="252"/>
      <c r="AF105" s="252"/>
      <c r="AG105" s="252"/>
      <c r="AH105" s="252"/>
      <c r="AI105" s="252"/>
      <c r="AJ105" s="252"/>
      <c r="AK105" s="252"/>
      <c r="AL105" s="252"/>
      <c r="AM105" s="252"/>
      <c r="AN105" s="252"/>
      <c r="AO105" s="252"/>
    </row>
    <row r="106" spans="2:41" ht="28.5" customHeight="1">
      <c r="B106" s="320"/>
      <c r="C106" s="320"/>
      <c r="D106" s="320"/>
      <c r="E106" s="320"/>
      <c r="F106" s="320"/>
      <c r="G106" s="320"/>
      <c r="H106" s="320"/>
      <c r="I106" s="320"/>
      <c r="J106" s="320"/>
      <c r="K106" s="320"/>
      <c r="L106" s="320"/>
      <c r="M106" s="320"/>
      <c r="N106" s="320"/>
      <c r="O106" s="320"/>
      <c r="P106" s="320"/>
      <c r="Q106" s="320"/>
      <c r="R106" s="320"/>
      <c r="S106" s="320"/>
      <c r="T106" s="320"/>
      <c r="U106" s="320"/>
      <c r="V106" s="302"/>
      <c r="W106" s="252"/>
      <c r="X106" s="252"/>
      <c r="Y106" s="253"/>
      <c r="Z106" s="252"/>
      <c r="AA106" s="252"/>
      <c r="AB106" s="252"/>
      <c r="AC106" s="252"/>
      <c r="AD106" s="252"/>
      <c r="AE106" s="252"/>
      <c r="AF106" s="252"/>
      <c r="AG106" s="252"/>
      <c r="AH106" s="252"/>
      <c r="AI106" s="252"/>
      <c r="AJ106" s="252"/>
      <c r="AK106" s="252"/>
      <c r="AL106" s="252"/>
      <c r="AM106" s="252"/>
      <c r="AN106" s="252"/>
      <c r="AO106" s="252"/>
    </row>
    <row r="107" spans="2:41" ht="28.5" customHeight="1">
      <c r="B107" s="320"/>
      <c r="C107" s="320"/>
      <c r="D107" s="320"/>
      <c r="E107" s="320"/>
      <c r="F107" s="320"/>
      <c r="G107" s="320"/>
      <c r="H107" s="320"/>
      <c r="I107" s="320"/>
      <c r="J107" s="320"/>
      <c r="K107" s="320"/>
      <c r="L107" s="320"/>
      <c r="M107" s="320"/>
      <c r="N107" s="320"/>
      <c r="O107" s="320"/>
      <c r="P107" s="320"/>
      <c r="Q107" s="320"/>
      <c r="R107" s="320"/>
      <c r="S107" s="320"/>
      <c r="T107" s="320"/>
      <c r="U107" s="320"/>
      <c r="V107" s="302"/>
      <c r="W107" s="252"/>
      <c r="X107" s="252"/>
      <c r="Y107" s="253"/>
      <c r="Z107" s="252"/>
      <c r="AA107" s="252"/>
      <c r="AB107" s="252"/>
      <c r="AC107" s="252"/>
      <c r="AD107" s="252"/>
      <c r="AE107" s="252"/>
      <c r="AF107" s="252"/>
      <c r="AG107" s="252"/>
      <c r="AH107" s="252"/>
      <c r="AI107" s="252"/>
      <c r="AJ107" s="252"/>
      <c r="AK107" s="252"/>
      <c r="AL107" s="252"/>
      <c r="AM107" s="252"/>
      <c r="AN107" s="252"/>
      <c r="AO107" s="252"/>
    </row>
    <row r="108" spans="2:41" ht="28.5" customHeight="1">
      <c r="B108" s="320"/>
      <c r="C108" s="320"/>
      <c r="D108" s="320"/>
      <c r="E108" s="320"/>
      <c r="F108" s="320"/>
      <c r="G108" s="320"/>
      <c r="H108" s="320"/>
      <c r="I108" s="320"/>
      <c r="J108" s="320"/>
      <c r="K108" s="320"/>
      <c r="L108" s="320"/>
      <c r="M108" s="320"/>
      <c r="N108" s="320"/>
      <c r="O108" s="320"/>
      <c r="P108" s="320"/>
      <c r="Q108" s="320"/>
      <c r="R108" s="320"/>
      <c r="S108" s="320"/>
      <c r="T108" s="320"/>
      <c r="U108" s="320"/>
      <c r="V108" s="302"/>
      <c r="W108" s="252"/>
      <c r="X108" s="252"/>
      <c r="Y108" s="253"/>
      <c r="Z108" s="252"/>
      <c r="AA108" s="252"/>
      <c r="AB108" s="252"/>
      <c r="AC108" s="252"/>
      <c r="AD108" s="252"/>
      <c r="AE108" s="252"/>
      <c r="AF108" s="252"/>
      <c r="AG108" s="252"/>
      <c r="AH108" s="252"/>
      <c r="AI108" s="252"/>
      <c r="AJ108" s="252"/>
      <c r="AK108" s="252"/>
      <c r="AL108" s="252"/>
      <c r="AM108" s="252"/>
      <c r="AN108" s="252"/>
      <c r="AO108" s="252"/>
    </row>
    <row r="109" spans="2:41" ht="28.5" customHeight="1">
      <c r="B109" s="320"/>
      <c r="C109" s="320"/>
      <c r="D109" s="320"/>
      <c r="E109" s="320"/>
      <c r="F109" s="320"/>
      <c r="G109" s="320"/>
      <c r="H109" s="320"/>
      <c r="I109" s="320"/>
      <c r="J109" s="320"/>
      <c r="K109" s="320"/>
      <c r="L109" s="320"/>
      <c r="M109" s="320"/>
      <c r="N109" s="320"/>
      <c r="O109" s="320"/>
      <c r="P109" s="320"/>
      <c r="Q109" s="320"/>
      <c r="R109" s="320"/>
      <c r="S109" s="320"/>
      <c r="T109" s="320"/>
      <c r="U109" s="320"/>
      <c r="V109" s="302"/>
      <c r="W109" s="252"/>
      <c r="X109" s="252"/>
      <c r="Y109" s="253"/>
      <c r="Z109" s="252"/>
      <c r="AA109" s="252"/>
      <c r="AB109" s="252"/>
      <c r="AC109" s="252"/>
      <c r="AD109" s="252"/>
      <c r="AE109" s="252"/>
      <c r="AF109" s="252"/>
      <c r="AG109" s="252"/>
      <c r="AH109" s="252"/>
      <c r="AI109" s="252"/>
      <c r="AJ109" s="252"/>
      <c r="AK109" s="252"/>
      <c r="AL109" s="252"/>
      <c r="AM109" s="252"/>
      <c r="AN109" s="252"/>
      <c r="AO109" s="252"/>
    </row>
    <row r="110" spans="2:41" ht="28.5" customHeight="1">
      <c r="B110" s="320"/>
      <c r="C110" s="320"/>
      <c r="D110" s="320"/>
      <c r="E110" s="320"/>
      <c r="F110" s="320"/>
      <c r="G110" s="320"/>
      <c r="H110" s="320"/>
      <c r="I110" s="320"/>
      <c r="J110" s="320"/>
      <c r="K110" s="320"/>
      <c r="L110" s="320"/>
      <c r="M110" s="320"/>
      <c r="N110" s="320"/>
      <c r="O110" s="320"/>
      <c r="P110" s="320"/>
      <c r="Q110" s="320"/>
      <c r="R110" s="320"/>
      <c r="S110" s="320"/>
      <c r="T110" s="320"/>
      <c r="U110" s="320"/>
      <c r="V110" s="302"/>
      <c r="W110" s="252"/>
      <c r="X110" s="252"/>
      <c r="Y110" s="253"/>
      <c r="Z110" s="252"/>
      <c r="AA110" s="252"/>
      <c r="AB110" s="252"/>
      <c r="AC110" s="252"/>
      <c r="AD110" s="252"/>
      <c r="AE110" s="252"/>
      <c r="AF110" s="252"/>
      <c r="AG110" s="252"/>
      <c r="AH110" s="252"/>
      <c r="AI110" s="252"/>
      <c r="AJ110" s="252"/>
      <c r="AK110" s="252"/>
      <c r="AL110" s="252"/>
      <c r="AM110" s="252"/>
      <c r="AN110" s="252"/>
      <c r="AO110" s="252"/>
    </row>
    <row r="111" spans="2:41" ht="28.5" customHeight="1">
      <c r="B111" s="320"/>
      <c r="C111" s="320"/>
      <c r="D111" s="320"/>
      <c r="E111" s="320"/>
      <c r="F111" s="320"/>
      <c r="G111" s="320"/>
      <c r="H111" s="320"/>
      <c r="I111" s="320"/>
      <c r="J111" s="320"/>
      <c r="K111" s="320"/>
      <c r="L111" s="320"/>
      <c r="M111" s="320"/>
      <c r="N111" s="320"/>
      <c r="O111" s="320"/>
      <c r="P111" s="320"/>
      <c r="Q111" s="320"/>
      <c r="R111" s="320"/>
      <c r="S111" s="320"/>
      <c r="T111" s="320"/>
      <c r="U111" s="320"/>
      <c r="V111" s="302"/>
      <c r="W111" s="252"/>
      <c r="X111" s="252"/>
      <c r="Y111" s="253"/>
      <c r="Z111" s="252"/>
      <c r="AA111" s="252"/>
      <c r="AB111" s="252"/>
      <c r="AC111" s="252"/>
      <c r="AD111" s="252"/>
      <c r="AE111" s="252"/>
      <c r="AF111" s="252"/>
      <c r="AG111" s="252"/>
      <c r="AH111" s="252"/>
      <c r="AI111" s="252"/>
      <c r="AJ111" s="252"/>
      <c r="AK111" s="252"/>
      <c r="AL111" s="252"/>
      <c r="AM111" s="252"/>
      <c r="AN111" s="252"/>
      <c r="AO111" s="252"/>
    </row>
    <row r="112" spans="2:41" ht="28.5" customHeight="1">
      <c r="B112" s="320"/>
      <c r="C112" s="320"/>
      <c r="D112" s="320"/>
      <c r="E112" s="320"/>
      <c r="F112" s="320"/>
      <c r="G112" s="320"/>
      <c r="H112" s="320"/>
      <c r="I112" s="320"/>
      <c r="J112" s="320"/>
      <c r="K112" s="320"/>
      <c r="L112" s="320"/>
      <c r="M112" s="320"/>
      <c r="N112" s="320"/>
      <c r="O112" s="320"/>
      <c r="P112" s="320"/>
      <c r="Q112" s="320"/>
      <c r="R112" s="320"/>
      <c r="S112" s="320"/>
      <c r="T112" s="320"/>
      <c r="U112" s="320"/>
      <c r="V112" s="302"/>
      <c r="W112" s="252"/>
      <c r="X112" s="252"/>
      <c r="Y112" s="253"/>
      <c r="Z112" s="252"/>
      <c r="AA112" s="252"/>
      <c r="AB112" s="252"/>
      <c r="AC112" s="252"/>
      <c r="AD112" s="252"/>
      <c r="AE112" s="252"/>
      <c r="AF112" s="252"/>
      <c r="AG112" s="252"/>
      <c r="AH112" s="252"/>
      <c r="AI112" s="252"/>
      <c r="AJ112" s="252"/>
      <c r="AK112" s="252"/>
      <c r="AL112" s="252"/>
      <c r="AM112" s="252"/>
      <c r="AN112" s="252"/>
      <c r="AO112" s="252"/>
    </row>
    <row r="113" ht="22.5" customHeight="1"/>
    <row r="114" ht="22.5" customHeight="1"/>
    <row r="115" ht="22.5" customHeight="1"/>
    <row r="116" ht="22.5" customHeight="1"/>
  </sheetData>
  <dataConsolidate link="1"/>
  <mergeCells count="72">
    <mergeCell ref="L86:R87"/>
    <mergeCell ref="K15:L15"/>
    <mergeCell ref="M15:N15"/>
    <mergeCell ref="A2:A8"/>
    <mergeCell ref="B2:D4"/>
    <mergeCell ref="E2:S4"/>
    <mergeCell ref="B7:D7"/>
    <mergeCell ref="E7:F7"/>
    <mergeCell ref="G7:R7"/>
    <mergeCell ref="S7:V7"/>
    <mergeCell ref="B8:D8"/>
    <mergeCell ref="E8:F8"/>
    <mergeCell ref="G8:R8"/>
    <mergeCell ref="S8:V8"/>
    <mergeCell ref="U2:V2"/>
    <mergeCell ref="U3:V3"/>
    <mergeCell ref="C13:D13"/>
    <mergeCell ref="E13:F13"/>
    <mergeCell ref="K14:L14"/>
    <mergeCell ref="B88:V89"/>
    <mergeCell ref="M85:N85"/>
    <mergeCell ref="O85:P85"/>
    <mergeCell ref="Q85:R85"/>
    <mergeCell ref="S85:T85"/>
    <mergeCell ref="U85:V85"/>
    <mergeCell ref="C85:D85"/>
    <mergeCell ref="E85:F85"/>
    <mergeCell ref="G85:H85"/>
    <mergeCell ref="I85:J85"/>
    <mergeCell ref="S86:V87"/>
    <mergeCell ref="B86:G87"/>
    <mergeCell ref="H86:K87"/>
    <mergeCell ref="AB4:AC4"/>
    <mergeCell ref="B12:V12"/>
    <mergeCell ref="B10:D10"/>
    <mergeCell ref="E10:P10"/>
    <mergeCell ref="Q10:S10"/>
    <mergeCell ref="AA5:AA6"/>
    <mergeCell ref="T10:V10"/>
    <mergeCell ref="B11:D11"/>
    <mergeCell ref="U4:V4"/>
    <mergeCell ref="B5:V5"/>
    <mergeCell ref="B6:V6"/>
    <mergeCell ref="E11:P11"/>
    <mergeCell ref="T11:V11"/>
    <mergeCell ref="Q11:S11"/>
    <mergeCell ref="S15:T15"/>
    <mergeCell ref="U15:V15"/>
    <mergeCell ref="Q13:R13"/>
    <mergeCell ref="S13:T13"/>
    <mergeCell ref="U13:V13"/>
    <mergeCell ref="S14:T14"/>
    <mergeCell ref="U14:V14"/>
    <mergeCell ref="G13:H13"/>
    <mergeCell ref="I13:J13"/>
    <mergeCell ref="K85:L85"/>
    <mergeCell ref="O14:P14"/>
    <mergeCell ref="Q14:R14"/>
    <mergeCell ref="O15:P15"/>
    <mergeCell ref="Q15:R15"/>
    <mergeCell ref="M14:N14"/>
    <mergeCell ref="O13:P13"/>
    <mergeCell ref="K13:L13"/>
    <mergeCell ref="M13:N13"/>
    <mergeCell ref="C15:D15"/>
    <mergeCell ref="E14:F14"/>
    <mergeCell ref="E15:F15"/>
    <mergeCell ref="G15:H15"/>
    <mergeCell ref="I15:J15"/>
    <mergeCell ref="G14:H14"/>
    <mergeCell ref="I14:J14"/>
    <mergeCell ref="C14:D14"/>
  </mergeCells>
  <dataValidations disablePrompts="1" count="4">
    <dataValidation type="list" allowBlank="1" showInputMessage="1" showErrorMessage="1" sqref="AA4" xr:uid="{D7E002F9-E6D2-4B36-A685-083A914B2B38}">
      <formula1>LISTA</formula1>
    </dataValidation>
    <dataValidation type="list" allowBlank="1" showInputMessage="1" showErrorMessage="1" sqref="O88:O89 I88:I89 C88:C89 S88:S89 U88:U89 G88:G89 E88:E89 Q88:Q89 M88:M89 K88:K89 I113:I1048576 E113:E1048576 G113:G1048576 K113:K1048576 M113:M1048576 O113:O1048576 Q113:Q1048576 S113:S1048576 U113:U1048576 C113:C1048576" xr:uid="{608C8E02-6831-4AF5-BC67-C4DD8CE4A0E0}">
      <formula1>$C$16:$V$16</formula1>
    </dataValidation>
    <dataValidation type="list" allowBlank="1" showInputMessage="1" showErrorMessage="1" sqref="C16:V16" xr:uid="{CA6AF329-057F-43BA-A6EF-F4CA50F23D3F}">
      <formula1>$Z$2:$Z$4</formula1>
    </dataValidation>
    <dataValidation type="list" allowBlank="1" showInputMessage="1" showErrorMessage="1" sqref="C13:V13" xr:uid="{F61AE28E-5CE0-4731-83D7-9F5FA136E0BC}">
      <formula1>$AB$7:$AB$8</formula1>
    </dataValidation>
  </dataValidations>
  <pageMargins left="0.24" right="0.25" top="0.18" bottom="0.17" header="0.12" footer="0.12"/>
  <pageSetup paperSize="9" scale="3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71CD6-02C7-41E0-BCAB-61400F652494}">
  <sheetPr codeName="Hoja5">
    <pageSetUpPr fitToPage="1"/>
  </sheetPr>
  <dimension ref="A2:AH93"/>
  <sheetViews>
    <sheetView showGridLines="0" zoomScale="70" zoomScaleNormal="70" workbookViewId="0">
      <selection activeCell="C12" sqref="C12:T12"/>
    </sheetView>
  </sheetViews>
  <sheetFormatPr baseColWidth="10" defaultColWidth="11.42578125" defaultRowHeight="15"/>
  <cols>
    <col min="1" max="1" width="6.5703125" style="17" customWidth="1"/>
    <col min="2" max="3" width="13.5703125" style="17" customWidth="1"/>
    <col min="4" max="4" width="6.42578125" style="17" customWidth="1"/>
    <col min="5" max="5" width="13.42578125" style="17" customWidth="1"/>
    <col min="6" max="6" width="6.28515625" style="17" customWidth="1"/>
    <col min="7" max="7" width="13.42578125" style="17" customWidth="1"/>
    <col min="8" max="8" width="6.85546875" style="17" customWidth="1"/>
    <col min="9" max="9" width="13.5703125" style="17" customWidth="1"/>
    <col min="10" max="10" width="6.7109375" style="17" customWidth="1"/>
    <col min="11" max="11" width="13.7109375" style="17" customWidth="1"/>
    <col min="12" max="12" width="9.42578125" style="17" customWidth="1"/>
    <col min="13" max="13" width="6.28515625" style="17" customWidth="1"/>
    <col min="14" max="14" width="13.5703125" style="17" customWidth="1"/>
    <col min="15" max="15" width="6.7109375" style="17" customWidth="1"/>
    <col min="16" max="16" width="13.7109375" style="17" customWidth="1"/>
    <col min="17" max="17" width="8.140625" style="17" customWidth="1"/>
    <col min="18" max="18" width="13.42578125" style="17" customWidth="1"/>
    <col min="19" max="19" width="6" style="17" customWidth="1"/>
    <col min="20" max="20" width="13.42578125" style="17" customWidth="1"/>
    <col min="21" max="21" width="5.85546875" style="17" customWidth="1"/>
    <col min="22" max="22" width="13.5703125" style="17" customWidth="1"/>
    <col min="23" max="23" width="6.85546875" style="17" customWidth="1"/>
    <col min="24" max="24" width="11.42578125" style="17"/>
    <col min="25" max="25" width="12.42578125" style="17" bestFit="1" customWidth="1"/>
    <col min="26" max="30" width="12.7109375" style="17" customWidth="1"/>
    <col min="31" max="31" width="21.140625" style="17" bestFit="1" customWidth="1"/>
    <col min="32" max="32" width="14.140625" style="17" customWidth="1"/>
    <col min="33" max="33" width="13.28515625" style="17" customWidth="1"/>
    <col min="34" max="16384" width="11.42578125" style="17"/>
  </cols>
  <sheetData>
    <row r="2" spans="1:34" ht="23.25" customHeight="1">
      <c r="A2" s="2386"/>
      <c r="B2" s="2425"/>
      <c r="C2" s="2425"/>
      <c r="D2" s="2425"/>
      <c r="E2" s="2426" t="s">
        <v>169</v>
      </c>
      <c r="F2" s="2427"/>
      <c r="G2" s="2427"/>
      <c r="H2" s="2427"/>
      <c r="I2" s="2427"/>
      <c r="J2" s="2427"/>
      <c r="K2" s="2427"/>
      <c r="L2" s="2427"/>
      <c r="M2" s="2427"/>
      <c r="N2" s="2427"/>
      <c r="O2" s="2427"/>
      <c r="P2" s="2427"/>
      <c r="Q2" s="2427"/>
      <c r="R2" s="2427"/>
      <c r="S2" s="2428"/>
      <c r="T2" s="2435" t="s">
        <v>163</v>
      </c>
      <c r="U2" s="2435"/>
      <c r="V2" s="99" t="s">
        <v>164</v>
      </c>
      <c r="W2" s="110"/>
    </row>
    <row r="3" spans="1:34" ht="23.25" customHeight="1">
      <c r="A3" s="2386"/>
      <c r="B3" s="2425"/>
      <c r="C3" s="2425"/>
      <c r="D3" s="2425"/>
      <c r="E3" s="2429"/>
      <c r="F3" s="2430"/>
      <c r="G3" s="2430"/>
      <c r="H3" s="2430"/>
      <c r="I3" s="2430"/>
      <c r="J3" s="2430"/>
      <c r="K3" s="2430"/>
      <c r="L3" s="2430"/>
      <c r="M3" s="2430"/>
      <c r="N3" s="2430"/>
      <c r="O3" s="2430"/>
      <c r="P3" s="2430"/>
      <c r="Q3" s="2430"/>
      <c r="R3" s="2430"/>
      <c r="S3" s="2431"/>
      <c r="T3" s="2435" t="s">
        <v>165</v>
      </c>
      <c r="U3" s="2435"/>
      <c r="V3" s="99">
        <v>1</v>
      </c>
      <c r="W3" s="110"/>
    </row>
    <row r="4" spans="1:34" ht="23.25" customHeight="1">
      <c r="A4" s="2386"/>
      <c r="B4" s="2425"/>
      <c r="C4" s="2425"/>
      <c r="D4" s="2425"/>
      <c r="E4" s="2429"/>
      <c r="F4" s="2430"/>
      <c r="G4" s="2430"/>
      <c r="H4" s="2430"/>
      <c r="I4" s="2430"/>
      <c r="J4" s="2430"/>
      <c r="K4" s="2430"/>
      <c r="L4" s="2430"/>
      <c r="M4" s="2430"/>
      <c r="N4" s="2430"/>
      <c r="O4" s="2430"/>
      <c r="P4" s="2430"/>
      <c r="Q4" s="2430"/>
      <c r="R4" s="2430"/>
      <c r="S4" s="2431"/>
      <c r="T4" s="2435" t="s">
        <v>166</v>
      </c>
      <c r="U4" s="2435"/>
      <c r="V4" s="100" t="s">
        <v>167</v>
      </c>
      <c r="W4" s="111"/>
    </row>
    <row r="5" spans="1:34" ht="23.25" customHeight="1">
      <c r="A5" s="2386"/>
      <c r="B5" s="2425"/>
      <c r="C5" s="2425"/>
      <c r="D5" s="2425"/>
      <c r="E5" s="2432"/>
      <c r="F5" s="2433"/>
      <c r="G5" s="2433"/>
      <c r="H5" s="2433"/>
      <c r="I5" s="2433"/>
      <c r="J5" s="2433"/>
      <c r="K5" s="2433"/>
      <c r="L5" s="2433"/>
      <c r="M5" s="2433"/>
      <c r="N5" s="2433"/>
      <c r="O5" s="2433"/>
      <c r="P5" s="2433"/>
      <c r="Q5" s="2433"/>
      <c r="R5" s="2433"/>
      <c r="S5" s="2434"/>
      <c r="T5" s="2435" t="s">
        <v>168</v>
      </c>
      <c r="U5" s="2435"/>
      <c r="V5" s="99">
        <v>1</v>
      </c>
      <c r="W5" s="110"/>
    </row>
    <row r="6" spans="1:34" ht="15.75" customHeight="1">
      <c r="A6" s="2386"/>
      <c r="B6" s="19"/>
      <c r="C6" s="19"/>
      <c r="D6" s="19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1"/>
      <c r="U6" s="21"/>
      <c r="V6" s="19"/>
      <c r="W6" s="19"/>
    </row>
    <row r="7" spans="1:34" ht="28.5" customHeight="1">
      <c r="A7" s="2386"/>
      <c r="B7" s="2436" t="s">
        <v>36</v>
      </c>
      <c r="C7" s="2437"/>
      <c r="D7" s="2437"/>
      <c r="E7" s="2438" t="s">
        <v>315</v>
      </c>
      <c r="F7" s="2438"/>
      <c r="G7" s="2438"/>
      <c r="H7" s="2438"/>
      <c r="I7" s="2438"/>
      <c r="J7" s="2438"/>
      <c r="K7" s="2438"/>
      <c r="L7" s="2438"/>
      <c r="M7" s="2438"/>
      <c r="N7" s="2438"/>
      <c r="O7" s="2438"/>
      <c r="P7" s="2438"/>
      <c r="Q7" s="2439" t="s">
        <v>162</v>
      </c>
      <c r="R7" s="2439"/>
      <c r="S7" s="2439"/>
      <c r="T7" s="2440" t="s">
        <v>201</v>
      </c>
      <c r="U7" s="2440"/>
      <c r="V7" s="2440"/>
      <c r="W7" s="103"/>
    </row>
    <row r="8" spans="1:34" ht="28.5" customHeight="1">
      <c r="A8" s="2386"/>
      <c r="B8" s="2436" t="s">
        <v>37</v>
      </c>
      <c r="C8" s="2437"/>
      <c r="D8" s="2437"/>
      <c r="E8" s="2441" t="s">
        <v>131</v>
      </c>
      <c r="F8" s="2441"/>
      <c r="G8" s="2441"/>
      <c r="H8" s="2441"/>
      <c r="I8" s="2441"/>
      <c r="J8" s="2441"/>
      <c r="K8" s="2441"/>
      <c r="L8" s="2441"/>
      <c r="M8" s="2441"/>
      <c r="N8" s="2441"/>
      <c r="O8" s="2441"/>
      <c r="P8" s="2441"/>
      <c r="Q8" s="2439" t="s">
        <v>151</v>
      </c>
      <c r="R8" s="2439"/>
      <c r="S8" s="2439"/>
      <c r="T8" s="2442">
        <v>46106</v>
      </c>
      <c r="U8" s="2442"/>
      <c r="V8" s="2442"/>
      <c r="W8" s="101"/>
    </row>
    <row r="9" spans="1:34" ht="15" customHeight="1">
      <c r="A9" s="2386"/>
      <c r="B9" s="22"/>
      <c r="C9" s="19"/>
      <c r="D9" s="19"/>
      <c r="E9" s="19"/>
      <c r="F9" s="19"/>
      <c r="G9" s="23"/>
      <c r="H9" s="23"/>
      <c r="I9" s="23"/>
      <c r="J9" s="23"/>
      <c r="K9" s="23"/>
      <c r="L9" s="23"/>
      <c r="M9" s="23"/>
      <c r="N9" s="23"/>
      <c r="O9" s="23"/>
      <c r="P9" s="23"/>
      <c r="Q9" s="19"/>
      <c r="R9" s="19"/>
      <c r="S9" s="19"/>
      <c r="T9" s="19"/>
      <c r="U9" s="19"/>
      <c r="V9" s="23"/>
      <c r="W9" s="23"/>
    </row>
    <row r="10" spans="1:34" ht="15" customHeight="1">
      <c r="A10" s="24"/>
      <c r="B10" s="102" t="s">
        <v>400</v>
      </c>
      <c r="C10" s="102" t="s">
        <v>403</v>
      </c>
      <c r="D10" s="102"/>
      <c r="E10" s="102">
        <v>2</v>
      </c>
      <c r="F10" s="102">
        <v>2</v>
      </c>
      <c r="G10" s="102">
        <v>3</v>
      </c>
      <c r="H10" s="102"/>
      <c r="I10" s="102">
        <v>3</v>
      </c>
      <c r="J10" s="102"/>
      <c r="K10" s="102">
        <v>5</v>
      </c>
      <c r="L10" s="102">
        <v>4</v>
      </c>
      <c r="M10" s="102">
        <v>6</v>
      </c>
      <c r="N10" s="102"/>
      <c r="O10" s="102">
        <v>5</v>
      </c>
      <c r="P10" s="102"/>
      <c r="Q10" s="102">
        <v>8</v>
      </c>
      <c r="R10" s="102">
        <v>6</v>
      </c>
      <c r="S10" s="102"/>
      <c r="T10" s="102">
        <v>10</v>
      </c>
      <c r="U10" s="102"/>
      <c r="V10" s="102"/>
      <c r="W10" s="23"/>
    </row>
    <row r="11" spans="1:34">
      <c r="A11" s="18"/>
      <c r="B11" s="241" t="s">
        <v>144</v>
      </c>
      <c r="C11" s="242" t="s">
        <v>381</v>
      </c>
      <c r="D11" s="242"/>
      <c r="E11" s="243"/>
      <c r="F11" s="242" t="s">
        <v>395</v>
      </c>
      <c r="G11" s="242"/>
      <c r="H11" s="243"/>
      <c r="I11" s="242" t="s">
        <v>396</v>
      </c>
      <c r="J11" s="242"/>
      <c r="K11" s="243"/>
      <c r="L11" s="242" t="s">
        <v>397</v>
      </c>
      <c r="M11" s="242"/>
      <c r="N11" s="243"/>
      <c r="O11" s="242" t="s">
        <v>398</v>
      </c>
      <c r="P11" s="242"/>
      <c r="Q11" s="243"/>
      <c r="R11" s="242" t="s">
        <v>399</v>
      </c>
      <c r="S11" s="242"/>
      <c r="T11" s="243"/>
      <c r="U11" s="18"/>
      <c r="V11" s="18"/>
      <c r="W11" s="18"/>
    </row>
    <row r="12" spans="1:34" ht="51.75" customHeight="1">
      <c r="A12" s="71"/>
      <c r="B12" s="244" t="s">
        <v>401</v>
      </c>
      <c r="C12" s="247" t="s">
        <v>402</v>
      </c>
      <c r="D12" s="247" t="s">
        <v>402</v>
      </c>
      <c r="E12" s="247" t="s">
        <v>402</v>
      </c>
      <c r="F12" s="245" t="str">
        <f>+C12</f>
        <v>CHARLES</v>
      </c>
      <c r="G12" s="246" t="str">
        <f>+D12</f>
        <v>CHARLES</v>
      </c>
      <c r="H12" s="247" t="s">
        <v>402</v>
      </c>
      <c r="I12" s="245" t="s">
        <v>66</v>
      </c>
      <c r="J12" s="246" t="s">
        <v>133</v>
      </c>
      <c r="K12" s="247" t="s">
        <v>402</v>
      </c>
      <c r="L12" s="245" t="s">
        <v>66</v>
      </c>
      <c r="M12" s="246" t="s">
        <v>133</v>
      </c>
      <c r="N12" s="247" t="s">
        <v>402</v>
      </c>
      <c r="O12" s="245" t="s">
        <v>66</v>
      </c>
      <c r="P12" s="246" t="s">
        <v>133</v>
      </c>
      <c r="Q12" s="247" t="s">
        <v>402</v>
      </c>
      <c r="R12" s="245" t="s">
        <v>66</v>
      </c>
      <c r="S12" s="246" t="s">
        <v>133</v>
      </c>
      <c r="T12" s="247" t="s">
        <v>402</v>
      </c>
      <c r="U12" s="237"/>
      <c r="V12" s="109"/>
      <c r="W12" s="18"/>
      <c r="X12" s="112"/>
      <c r="Y12" s="112"/>
      <c r="Z12" s="118" t="s">
        <v>64</v>
      </c>
      <c r="AA12" s="118" t="s">
        <v>65</v>
      </c>
      <c r="AB12" s="118" t="s">
        <v>132</v>
      </c>
      <c r="AC12" s="112"/>
      <c r="AD12" s="112"/>
      <c r="AE12" s="112"/>
      <c r="AF12" s="112"/>
      <c r="AG12" s="112" t="s">
        <v>170</v>
      </c>
      <c r="AH12" s="112"/>
    </row>
    <row r="13" spans="1:34" ht="26.25" customHeight="1">
      <c r="A13" s="2424"/>
      <c r="B13" s="104">
        <v>1</v>
      </c>
      <c r="C13" s="234"/>
      <c r="D13" s="104"/>
      <c r="E13" s="234"/>
      <c r="F13" s="104"/>
      <c r="G13" s="234"/>
      <c r="H13" s="104"/>
      <c r="I13" s="234"/>
      <c r="J13" s="104"/>
      <c r="K13" s="234"/>
      <c r="L13" s="18"/>
      <c r="M13" s="104"/>
      <c r="N13" s="235"/>
      <c r="O13" s="104"/>
      <c r="P13" s="235"/>
      <c r="Q13" s="104"/>
      <c r="R13" s="235"/>
      <c r="S13" s="104"/>
      <c r="T13" s="235"/>
      <c r="U13" s="104"/>
      <c r="V13" s="234"/>
      <c r="W13" s="18"/>
      <c r="X13" s="112"/>
      <c r="Y13" s="112"/>
      <c r="Z13" s="117" t="s">
        <v>66</v>
      </c>
      <c r="AA13" s="117" t="s">
        <v>67</v>
      </c>
      <c r="AB13" s="117" t="s">
        <v>133</v>
      </c>
      <c r="AC13" s="117" t="s">
        <v>3</v>
      </c>
      <c r="AD13" s="117" t="s">
        <v>74</v>
      </c>
      <c r="AE13" s="117" t="s">
        <v>172</v>
      </c>
      <c r="AF13" s="117" t="s">
        <v>173</v>
      </c>
      <c r="AG13" s="112">
        <f>+PP!K20</f>
        <v>0</v>
      </c>
      <c r="AH13" s="112"/>
    </row>
    <row r="14" spans="1:34" ht="26.25" customHeight="1">
      <c r="A14" s="2424"/>
      <c r="B14" s="104">
        <v>2</v>
      </c>
      <c r="C14" s="236"/>
      <c r="D14" s="104"/>
      <c r="E14" s="234"/>
      <c r="F14" s="104"/>
      <c r="G14" s="234"/>
      <c r="H14" s="104"/>
      <c r="I14" s="234"/>
      <c r="J14" s="104"/>
      <c r="K14" s="234"/>
      <c r="L14" s="18"/>
      <c r="M14" s="104"/>
      <c r="N14" s="236"/>
      <c r="O14" s="104"/>
      <c r="P14" s="236"/>
      <c r="Q14" s="104"/>
      <c r="R14" s="236"/>
      <c r="S14" s="104"/>
      <c r="T14" s="235"/>
      <c r="U14" s="104"/>
      <c r="V14" s="234"/>
      <c r="W14" s="18"/>
      <c r="X14" s="112"/>
      <c r="Y14" s="65" t="s">
        <v>68</v>
      </c>
      <c r="Z14" s="124">
        <f>+C13+C15+C17+C19+C21</f>
        <v>0</v>
      </c>
      <c r="AA14" s="121">
        <f>+C14+C16+C18+C20+C22</f>
        <v>0</v>
      </c>
      <c r="AB14" s="128">
        <v>0</v>
      </c>
      <c r="AC14" s="65">
        <f>+Z14+AA14+AB14</f>
        <v>0</v>
      </c>
      <c r="AD14" s="119"/>
      <c r="AE14" s="119"/>
      <c r="AF14" s="119"/>
      <c r="AG14" s="112"/>
      <c r="AH14" s="112"/>
    </row>
    <row r="15" spans="1:34" ht="26.25" customHeight="1">
      <c r="A15" s="2424"/>
      <c r="B15" s="104">
        <v>3</v>
      </c>
      <c r="C15" s="234"/>
      <c r="D15" s="104"/>
      <c r="E15" s="234"/>
      <c r="F15" s="104"/>
      <c r="G15" s="234"/>
      <c r="H15" s="104"/>
      <c r="I15" s="234"/>
      <c r="J15" s="104"/>
      <c r="K15" s="234"/>
      <c r="L15" s="18"/>
      <c r="M15" s="104"/>
      <c r="N15" s="236"/>
      <c r="O15" s="104"/>
      <c r="P15" s="236"/>
      <c r="Q15" s="104"/>
      <c r="R15" s="236"/>
      <c r="S15" s="104"/>
      <c r="T15" s="235"/>
      <c r="U15" s="104"/>
      <c r="V15" s="234"/>
      <c r="W15" s="18"/>
      <c r="X15" s="112"/>
      <c r="Y15" s="65" t="s">
        <v>69</v>
      </c>
      <c r="Z15" s="124">
        <f>+N14+N16+N18+N20+N22+P14+P16+P18+P22+P20+R14+R16+R18+R20+R22+T14+T16+T18+T20</f>
        <v>0</v>
      </c>
      <c r="AA15" s="121">
        <f>+N13+N15+N17+N19+N21+P13+P15+P17+P19+P21+R13+R15+R17+R19+R21+T13+T15+T17+T19+T21</f>
        <v>0</v>
      </c>
      <c r="AB15" s="128">
        <v>0</v>
      </c>
      <c r="AC15" s="65">
        <f t="shared" ref="AC15:AC20" si="0">+Z15+AA15+AB15</f>
        <v>0</v>
      </c>
      <c r="AD15" s="119"/>
      <c r="AE15" s="119"/>
      <c r="AF15" s="119"/>
      <c r="AG15" s="112"/>
      <c r="AH15" s="112"/>
    </row>
    <row r="16" spans="1:34" ht="26.25" customHeight="1">
      <c r="A16" s="2424"/>
      <c r="B16" s="104"/>
      <c r="C16" s="236"/>
      <c r="D16" s="104"/>
      <c r="E16" s="234"/>
      <c r="F16" s="104"/>
      <c r="G16" s="234"/>
      <c r="H16" s="104"/>
      <c r="I16" s="234"/>
      <c r="J16" s="104"/>
      <c r="K16" s="234"/>
      <c r="L16" s="18"/>
      <c r="M16" s="104"/>
      <c r="N16" s="236"/>
      <c r="O16" s="104"/>
      <c r="P16" s="236"/>
      <c r="Q16" s="104"/>
      <c r="R16" s="236"/>
      <c r="S16" s="104"/>
      <c r="T16" s="235"/>
      <c r="U16" s="104"/>
      <c r="V16" s="234"/>
      <c r="W16" s="18"/>
      <c r="X16" s="112"/>
      <c r="Y16" s="65" t="s">
        <v>70</v>
      </c>
      <c r="Z16" s="124">
        <f>+C32+C34+C36+C38+C40+E32+E34+E36+E38+G32+G34+G36+G38+G40+E40</f>
        <v>0</v>
      </c>
      <c r="AA16" s="121">
        <f>+C33+C35+C37+C39+C41+E33+E35+E37+E39+E41+G33+G35+G37+G39</f>
        <v>0</v>
      </c>
      <c r="AB16" s="128">
        <v>0</v>
      </c>
      <c r="AC16" s="65">
        <f t="shared" si="0"/>
        <v>0</v>
      </c>
      <c r="AD16" s="119"/>
      <c r="AE16" s="119"/>
      <c r="AF16" s="119"/>
      <c r="AG16" s="112"/>
      <c r="AH16" s="112"/>
    </row>
    <row r="17" spans="1:34" ht="26.25" customHeight="1">
      <c r="A17" s="2424"/>
      <c r="B17" s="104"/>
      <c r="C17" s="234"/>
      <c r="D17" s="104"/>
      <c r="E17" s="234"/>
      <c r="F17" s="104"/>
      <c r="G17" s="234"/>
      <c r="H17" s="104"/>
      <c r="I17" s="234"/>
      <c r="J17" s="104"/>
      <c r="K17" s="234"/>
      <c r="L17" s="18"/>
      <c r="M17" s="104"/>
      <c r="N17" s="236"/>
      <c r="O17" s="104"/>
      <c r="P17" s="236"/>
      <c r="Q17" s="104"/>
      <c r="R17" s="236"/>
      <c r="S17" s="104"/>
      <c r="T17" s="235"/>
      <c r="U17" s="104"/>
      <c r="V17" s="234"/>
      <c r="W17" s="18"/>
      <c r="X17" s="112"/>
      <c r="Y17" s="65" t="s">
        <v>71</v>
      </c>
      <c r="Z17" s="124">
        <f>+N32+N34+N36+N38+N40+P32+P34+P36</f>
        <v>0</v>
      </c>
      <c r="AA17" s="121">
        <f>+V42-Z17</f>
        <v>0</v>
      </c>
      <c r="AB17" s="128">
        <v>0</v>
      </c>
      <c r="AC17" s="65">
        <f t="shared" si="0"/>
        <v>0</v>
      </c>
      <c r="AD17" s="119"/>
      <c r="AE17" s="119"/>
      <c r="AF17" s="65"/>
      <c r="AG17" s="113"/>
      <c r="AH17" s="112"/>
    </row>
    <row r="18" spans="1:34" ht="26.25" customHeight="1">
      <c r="A18" s="2424"/>
      <c r="B18" s="104"/>
      <c r="C18" s="236"/>
      <c r="D18" s="104"/>
      <c r="E18" s="234"/>
      <c r="F18" s="104"/>
      <c r="G18" s="234"/>
      <c r="H18" s="104"/>
      <c r="I18" s="234"/>
      <c r="J18" s="104"/>
      <c r="K18" s="234"/>
      <c r="L18" s="18"/>
      <c r="M18" s="104"/>
      <c r="N18" s="236"/>
      <c r="O18" s="104"/>
      <c r="P18" s="236"/>
      <c r="Q18" s="104"/>
      <c r="R18" s="236"/>
      <c r="S18" s="104"/>
      <c r="T18" s="235"/>
      <c r="U18" s="104"/>
      <c r="V18" s="234"/>
      <c r="W18" s="18"/>
      <c r="X18" s="112"/>
      <c r="Y18" s="65" t="s">
        <v>72</v>
      </c>
      <c r="Z18" s="124">
        <f>+C52+C54+C56+C58+C59+C60+E53+E55+E57+E59+E61+G53+G55+G57+G59+G61+I53+I55+I57+I59</f>
        <v>0</v>
      </c>
      <c r="AA18" s="121">
        <f>+C53+C55</f>
        <v>0</v>
      </c>
      <c r="AB18" s="128">
        <f>+K62-Z18-AA18</f>
        <v>0</v>
      </c>
      <c r="AC18" s="65">
        <f t="shared" si="0"/>
        <v>0</v>
      </c>
      <c r="AD18" s="119"/>
      <c r="AE18" s="119"/>
      <c r="AF18" s="65"/>
      <c r="AG18" s="113"/>
      <c r="AH18" s="112"/>
    </row>
    <row r="19" spans="1:34" ht="26.25" customHeight="1">
      <c r="A19" s="2424"/>
      <c r="B19" s="104"/>
      <c r="C19" s="234"/>
      <c r="D19" s="104"/>
      <c r="E19" s="234"/>
      <c r="F19" s="104"/>
      <c r="G19" s="234"/>
      <c r="H19" s="104"/>
      <c r="I19" s="234"/>
      <c r="J19" s="104"/>
      <c r="K19" s="234"/>
      <c r="L19" s="18"/>
      <c r="M19" s="104"/>
      <c r="N19" s="236"/>
      <c r="O19" s="104"/>
      <c r="P19" s="236"/>
      <c r="Q19" s="104"/>
      <c r="R19" s="235"/>
      <c r="S19" s="104"/>
      <c r="T19" s="235"/>
      <c r="U19" s="104"/>
      <c r="V19" s="234"/>
      <c r="W19" s="18"/>
      <c r="X19" s="112"/>
      <c r="Y19" s="65" t="s">
        <v>148</v>
      </c>
      <c r="Z19" s="124">
        <f>+N53+N55+N57</f>
        <v>0</v>
      </c>
      <c r="AA19" s="65">
        <v>0</v>
      </c>
      <c r="AB19" s="128">
        <f>+N52+N54+N56+N58+N59</f>
        <v>0</v>
      </c>
      <c r="AC19" s="65">
        <f t="shared" si="0"/>
        <v>0</v>
      </c>
      <c r="AD19" s="65"/>
      <c r="AE19" s="65"/>
      <c r="AF19" s="65"/>
      <c r="AG19" s="113"/>
      <c r="AH19" s="112"/>
    </row>
    <row r="20" spans="1:34" ht="26.25" customHeight="1">
      <c r="A20" s="2424"/>
      <c r="B20" s="104"/>
      <c r="C20" s="236"/>
      <c r="D20" s="104"/>
      <c r="E20" s="234"/>
      <c r="F20" s="104"/>
      <c r="G20" s="234"/>
      <c r="H20" s="104"/>
      <c r="I20" s="234"/>
      <c r="J20" s="104"/>
      <c r="K20" s="234"/>
      <c r="L20" s="18"/>
      <c r="M20" s="104"/>
      <c r="N20" s="236"/>
      <c r="O20" s="104"/>
      <c r="P20" s="236"/>
      <c r="Q20" s="104"/>
      <c r="R20" s="235"/>
      <c r="S20" s="104"/>
      <c r="T20" s="235"/>
      <c r="U20" s="104"/>
      <c r="V20" s="234"/>
      <c r="W20" s="18"/>
      <c r="X20" s="112"/>
      <c r="Y20" s="65" t="s">
        <v>150</v>
      </c>
      <c r="Z20" s="114"/>
      <c r="AA20" s="65"/>
      <c r="AB20" s="65"/>
      <c r="AC20" s="65">
        <f t="shared" si="0"/>
        <v>0</v>
      </c>
      <c r="AD20" s="65"/>
      <c r="AE20" s="65"/>
      <c r="AF20" s="65"/>
      <c r="AG20" s="115">
        <f>+AC21-AG13</f>
        <v>0</v>
      </c>
      <c r="AH20" s="112"/>
    </row>
    <row r="21" spans="1:34" ht="26.25" customHeight="1">
      <c r="A21" s="2424"/>
      <c r="B21" s="104"/>
      <c r="C21" s="234"/>
      <c r="D21" s="104"/>
      <c r="E21" s="234"/>
      <c r="F21" s="104"/>
      <c r="G21" s="234"/>
      <c r="H21" s="104"/>
      <c r="I21" s="234"/>
      <c r="J21" s="104"/>
      <c r="K21" s="234"/>
      <c r="L21" s="18"/>
      <c r="M21" s="104"/>
      <c r="N21" s="236"/>
      <c r="O21" s="104"/>
      <c r="P21" s="236"/>
      <c r="Q21" s="104"/>
      <c r="R21" s="235"/>
      <c r="S21" s="104"/>
      <c r="T21" s="235"/>
      <c r="U21" s="104"/>
      <c r="V21" s="234"/>
      <c r="W21" s="18"/>
      <c r="X21" s="112"/>
      <c r="Y21" s="112" t="s">
        <v>3</v>
      </c>
      <c r="Z21" s="112">
        <f>SUM(Z14:Z20)</f>
        <v>0</v>
      </c>
      <c r="AA21" s="112">
        <f>SUM(AA14:AA20)</f>
        <v>0</v>
      </c>
      <c r="AB21" s="112">
        <f>SUM(AB14:AB20)</f>
        <v>0</v>
      </c>
      <c r="AC21" s="112">
        <f>+Z21+AA21+AB21</f>
        <v>0</v>
      </c>
      <c r="AD21" s="112">
        <f>SUM(AD14:AD20)</f>
        <v>0</v>
      </c>
      <c r="AE21" s="112">
        <f>SUM(AE14:AE20)</f>
        <v>0</v>
      </c>
      <c r="AF21" s="112">
        <f>SUM(AF14:AF20)</f>
        <v>0</v>
      </c>
      <c r="AG21" s="120">
        <f>+AD21+AE21</f>
        <v>0</v>
      </c>
      <c r="AH21" s="112"/>
    </row>
    <row r="22" spans="1:34" ht="26.25" customHeight="1">
      <c r="A22" s="2424"/>
      <c r="B22" s="104"/>
      <c r="C22" s="234"/>
      <c r="D22" s="104"/>
      <c r="E22" s="234"/>
      <c r="F22" s="104"/>
      <c r="G22" s="234"/>
      <c r="H22" s="104"/>
      <c r="I22" s="234"/>
      <c r="J22" s="104"/>
      <c r="K22" s="234"/>
      <c r="L22" s="18"/>
      <c r="M22" s="104"/>
      <c r="N22" s="236"/>
      <c r="O22" s="104"/>
      <c r="P22" s="236"/>
      <c r="Q22" s="104"/>
      <c r="R22" s="235"/>
      <c r="S22" s="104"/>
      <c r="T22" s="235"/>
      <c r="U22" s="104"/>
      <c r="V22" s="234"/>
      <c r="W22" s="18"/>
      <c r="X22" s="112"/>
      <c r="Y22" s="65" t="s">
        <v>73</v>
      </c>
      <c r="Z22" s="116" t="e">
        <f>+Z21/AC21</f>
        <v>#DIV/0!</v>
      </c>
      <c r="AA22" s="116" t="e">
        <f>+AA21/AC21</f>
        <v>#DIV/0!</v>
      </c>
      <c r="AB22" s="116" t="e">
        <f>+AB21/AC21</f>
        <v>#DIV/0!</v>
      </c>
      <c r="AC22" s="113"/>
      <c r="AD22" s="113"/>
      <c r="AE22" s="113"/>
      <c r="AF22" s="113"/>
      <c r="AG22" s="112"/>
      <c r="AH22" s="112"/>
    </row>
    <row r="23" spans="1:34" ht="26.25" customHeight="1">
      <c r="A23" s="2424"/>
      <c r="B23" s="238"/>
      <c r="C23" s="106"/>
      <c r="D23" s="238"/>
      <c r="E23" s="106"/>
      <c r="F23" s="238"/>
      <c r="G23" s="106"/>
      <c r="H23" s="238"/>
      <c r="I23" s="106"/>
      <c r="J23" s="238"/>
      <c r="K23" s="107"/>
      <c r="L23" s="106"/>
      <c r="M23" s="238"/>
      <c r="N23" s="106"/>
      <c r="O23" s="238"/>
      <c r="P23" s="106"/>
      <c r="Q23" s="238"/>
      <c r="R23" s="106"/>
      <c r="S23" s="238"/>
      <c r="T23" s="106"/>
      <c r="U23" s="238"/>
      <c r="V23" s="107"/>
      <c r="W23" s="18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</row>
    <row r="24" spans="1:34" ht="26.25" customHeight="1">
      <c r="A24" s="2424"/>
      <c r="B24" s="238"/>
      <c r="C24" s="108"/>
      <c r="D24" s="238"/>
      <c r="E24" s="108"/>
      <c r="F24" s="238"/>
      <c r="G24" s="108"/>
      <c r="H24" s="238"/>
      <c r="I24" s="108"/>
      <c r="J24" s="238"/>
      <c r="K24" s="108"/>
      <c r="L24" s="108"/>
      <c r="M24" s="238"/>
      <c r="N24" s="108"/>
      <c r="O24" s="238"/>
      <c r="P24" s="108"/>
      <c r="Q24" s="238"/>
      <c r="R24" s="108"/>
      <c r="S24" s="238"/>
      <c r="T24" s="108"/>
      <c r="U24" s="238"/>
      <c r="V24" s="108"/>
      <c r="W24" s="18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</row>
    <row r="25" spans="1:34" ht="16.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</row>
    <row r="26" spans="1:34" ht="27" customHeight="1">
      <c r="A26" s="24"/>
      <c r="B26" s="2421"/>
      <c r="C26" s="2421"/>
      <c r="D26" s="2421"/>
      <c r="E26" s="2423"/>
      <c r="F26" s="2423"/>
      <c r="G26" s="2423"/>
      <c r="H26" s="2423"/>
      <c r="I26" s="2423"/>
      <c r="J26" s="2423"/>
      <c r="K26" s="2423"/>
      <c r="L26" s="239"/>
      <c r="M26" s="2421"/>
      <c r="N26" s="2421"/>
      <c r="O26" s="2421"/>
      <c r="P26" s="2423"/>
      <c r="Q26" s="2423"/>
      <c r="R26" s="2423"/>
      <c r="S26" s="2423"/>
      <c r="T26" s="2423"/>
      <c r="U26" s="2423"/>
      <c r="V26" s="2423"/>
      <c r="W26" s="23"/>
      <c r="X26" s="112"/>
      <c r="Y26" s="112"/>
      <c r="Z26" s="112"/>
      <c r="AA26" s="122"/>
      <c r="AB26" s="112"/>
      <c r="AC26" s="112"/>
      <c r="AD26" s="112"/>
      <c r="AE26" s="112"/>
      <c r="AF26" s="112"/>
      <c r="AG26" s="112"/>
      <c r="AH26" s="112"/>
    </row>
    <row r="27" spans="1:34" ht="27" customHeight="1">
      <c r="A27" s="24"/>
      <c r="B27" s="2421"/>
      <c r="C27" s="2421"/>
      <c r="D27" s="2421"/>
      <c r="E27" s="2422"/>
      <c r="F27" s="2422"/>
      <c r="G27" s="2422"/>
      <c r="H27" s="2422"/>
      <c r="I27" s="2422"/>
      <c r="J27" s="2422"/>
      <c r="K27" s="2422"/>
      <c r="L27" s="239"/>
      <c r="M27" s="2421"/>
      <c r="N27" s="2421"/>
      <c r="O27" s="2421"/>
      <c r="P27" s="2422"/>
      <c r="Q27" s="2422"/>
      <c r="R27" s="2422"/>
      <c r="S27" s="2422"/>
      <c r="T27" s="2422"/>
      <c r="U27" s="2422"/>
      <c r="V27" s="2422"/>
      <c r="W27" s="23"/>
      <c r="X27" s="112"/>
      <c r="Z27" s="112"/>
      <c r="AG27" s="112"/>
      <c r="AH27" s="112"/>
    </row>
    <row r="28" spans="1:34" ht="27" customHeight="1">
      <c r="A28" s="24"/>
      <c r="B28" s="2421"/>
      <c r="C28" s="2421"/>
      <c r="D28" s="2421"/>
      <c r="E28" s="2422"/>
      <c r="F28" s="2422"/>
      <c r="G28" s="2422"/>
      <c r="H28" s="2422"/>
      <c r="I28" s="2422"/>
      <c r="J28" s="2422"/>
      <c r="K28" s="2422"/>
      <c r="L28" s="239"/>
      <c r="M28" s="2421"/>
      <c r="N28" s="2421"/>
      <c r="O28" s="2421"/>
      <c r="P28" s="2422"/>
      <c r="Q28" s="2422"/>
      <c r="R28" s="2422"/>
      <c r="S28" s="2422"/>
      <c r="T28" s="2422"/>
      <c r="U28" s="2422"/>
      <c r="V28" s="2422"/>
      <c r="W28" s="23"/>
      <c r="Z28" s="112"/>
    </row>
    <row r="29" spans="1:34" ht="16.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Z29" s="112"/>
    </row>
    <row r="30" spans="1:34" ht="16.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Z30" s="112"/>
    </row>
    <row r="31" spans="1:34" ht="28.5" customHeight="1">
      <c r="A31" s="71"/>
      <c r="B31" s="237"/>
      <c r="C31" s="109"/>
      <c r="D31" s="237"/>
      <c r="E31" s="109"/>
      <c r="F31" s="237"/>
      <c r="G31" s="109"/>
      <c r="H31" s="237"/>
      <c r="I31" s="109"/>
      <c r="J31" s="237"/>
      <c r="K31" s="109"/>
      <c r="L31" s="109"/>
      <c r="M31" s="237"/>
      <c r="N31" s="109"/>
      <c r="O31" s="237"/>
      <c r="P31" s="109"/>
      <c r="Q31" s="237"/>
      <c r="R31" s="109"/>
      <c r="S31" s="237"/>
      <c r="T31" s="109"/>
      <c r="U31" s="237"/>
      <c r="V31" s="109"/>
      <c r="W31" s="18"/>
      <c r="Z31" s="112"/>
    </row>
    <row r="32" spans="1:34" ht="26.25" customHeight="1">
      <c r="A32" s="2424"/>
      <c r="B32" s="104"/>
      <c r="C32" s="240"/>
      <c r="D32" s="104"/>
      <c r="E32" s="236"/>
      <c r="F32" s="104"/>
      <c r="G32" s="236"/>
      <c r="H32" s="104"/>
      <c r="I32" s="235"/>
      <c r="J32" s="104"/>
      <c r="K32" s="234"/>
      <c r="L32" s="18"/>
      <c r="M32" s="104"/>
      <c r="N32" s="235"/>
      <c r="O32" s="104"/>
      <c r="P32" s="235"/>
      <c r="Q32" s="104"/>
      <c r="R32" s="235"/>
      <c r="S32" s="104"/>
      <c r="T32" s="235"/>
      <c r="U32" s="104"/>
      <c r="V32" s="234"/>
      <c r="W32" s="18"/>
      <c r="Z32" s="112"/>
    </row>
    <row r="33" spans="1:26" ht="26.25" customHeight="1">
      <c r="A33" s="2424"/>
      <c r="B33" s="104"/>
      <c r="C33" s="236"/>
      <c r="D33" s="104"/>
      <c r="E33" s="236"/>
      <c r="F33" s="104"/>
      <c r="G33" s="236"/>
      <c r="H33" s="104"/>
      <c r="I33" s="235"/>
      <c r="J33" s="104"/>
      <c r="K33" s="234"/>
      <c r="L33" s="18"/>
      <c r="M33" s="104"/>
      <c r="N33" s="235"/>
      <c r="O33" s="104"/>
      <c r="P33" s="235"/>
      <c r="Q33" s="104"/>
      <c r="R33" s="235"/>
      <c r="S33" s="104"/>
      <c r="T33" s="235"/>
      <c r="U33" s="104"/>
      <c r="V33" s="234"/>
      <c r="W33" s="18"/>
      <c r="Z33" s="125"/>
    </row>
    <row r="34" spans="1:26" ht="26.25" customHeight="1">
      <c r="A34" s="2424"/>
      <c r="B34" s="104"/>
      <c r="C34" s="236"/>
      <c r="D34" s="104"/>
      <c r="E34" s="236"/>
      <c r="F34" s="104"/>
      <c r="G34" s="236"/>
      <c r="H34" s="104"/>
      <c r="I34" s="235"/>
      <c r="J34" s="104"/>
      <c r="K34" s="234"/>
      <c r="L34" s="18"/>
      <c r="M34" s="104"/>
      <c r="N34" s="235"/>
      <c r="O34" s="104"/>
      <c r="P34" s="235"/>
      <c r="Q34" s="104"/>
      <c r="R34" s="235"/>
      <c r="S34" s="104"/>
      <c r="T34" s="235"/>
      <c r="U34" s="104"/>
      <c r="V34" s="234"/>
      <c r="W34" s="18"/>
    </row>
    <row r="35" spans="1:26" ht="26.25" customHeight="1">
      <c r="A35" s="2424"/>
      <c r="B35" s="104"/>
      <c r="C35" s="236"/>
      <c r="D35" s="104"/>
      <c r="E35" s="236"/>
      <c r="F35" s="104"/>
      <c r="G35" s="236"/>
      <c r="H35" s="104"/>
      <c r="I35" s="235"/>
      <c r="J35" s="104"/>
      <c r="K35" s="234"/>
      <c r="L35" s="18"/>
      <c r="M35" s="104"/>
      <c r="N35" s="235"/>
      <c r="O35" s="104"/>
      <c r="P35" s="235"/>
      <c r="Q35" s="104"/>
      <c r="R35" s="235"/>
      <c r="S35" s="104"/>
      <c r="T35" s="235"/>
      <c r="U35" s="104"/>
      <c r="V35" s="234"/>
      <c r="W35" s="18"/>
    </row>
    <row r="36" spans="1:26" ht="26.25" customHeight="1">
      <c r="A36" s="2424"/>
      <c r="B36" s="104"/>
      <c r="C36" s="236"/>
      <c r="D36" s="104"/>
      <c r="E36" s="236"/>
      <c r="F36" s="104"/>
      <c r="G36" s="236"/>
      <c r="H36" s="104"/>
      <c r="I36" s="235"/>
      <c r="J36" s="104"/>
      <c r="K36" s="234"/>
      <c r="L36" s="18"/>
      <c r="M36" s="104"/>
      <c r="N36" s="235"/>
      <c r="O36" s="104"/>
      <c r="P36" s="235"/>
      <c r="Q36" s="104"/>
      <c r="R36" s="235"/>
      <c r="S36" s="104"/>
      <c r="T36" s="235"/>
      <c r="U36" s="104"/>
      <c r="V36" s="234"/>
      <c r="W36" s="18"/>
    </row>
    <row r="37" spans="1:26" ht="26.25" customHeight="1">
      <c r="A37" s="2424"/>
      <c r="B37" s="104"/>
      <c r="C37" s="236"/>
      <c r="D37" s="104"/>
      <c r="E37" s="236"/>
      <c r="F37" s="104"/>
      <c r="G37" s="236"/>
      <c r="H37" s="104"/>
      <c r="I37" s="235"/>
      <c r="J37" s="104"/>
      <c r="K37" s="234"/>
      <c r="L37" s="18"/>
      <c r="M37" s="104"/>
      <c r="N37" s="235"/>
      <c r="O37" s="104"/>
      <c r="P37" s="235"/>
      <c r="Q37" s="104"/>
      <c r="R37" s="235"/>
      <c r="S37" s="104"/>
      <c r="T37" s="235"/>
      <c r="U37" s="104"/>
      <c r="V37" s="234"/>
      <c r="W37" s="18"/>
    </row>
    <row r="38" spans="1:26" ht="26.25" customHeight="1">
      <c r="A38" s="2424"/>
      <c r="B38" s="104"/>
      <c r="C38" s="236"/>
      <c r="D38" s="104"/>
      <c r="E38" s="236"/>
      <c r="F38" s="104"/>
      <c r="G38" s="236"/>
      <c r="H38" s="104"/>
      <c r="I38" s="235"/>
      <c r="J38" s="104"/>
      <c r="K38" s="234"/>
      <c r="L38" s="18"/>
      <c r="M38" s="104"/>
      <c r="N38" s="235"/>
      <c r="O38" s="104"/>
      <c r="P38" s="235"/>
      <c r="Q38" s="104"/>
      <c r="R38" s="235"/>
      <c r="S38" s="104"/>
      <c r="T38" s="235"/>
      <c r="U38" s="104"/>
      <c r="V38" s="234"/>
      <c r="W38" s="18"/>
    </row>
    <row r="39" spans="1:26" ht="26.25" customHeight="1">
      <c r="A39" s="2424"/>
      <c r="B39" s="104"/>
      <c r="C39" s="236"/>
      <c r="D39" s="104"/>
      <c r="E39" s="236"/>
      <c r="F39" s="104"/>
      <c r="G39" s="236"/>
      <c r="H39" s="104"/>
      <c r="I39" s="235"/>
      <c r="J39" s="104"/>
      <c r="K39" s="234"/>
      <c r="L39" s="18"/>
      <c r="M39" s="104"/>
      <c r="N39" s="235"/>
      <c r="O39" s="104"/>
      <c r="P39" s="235"/>
      <c r="Q39" s="104"/>
      <c r="R39" s="235"/>
      <c r="S39" s="104"/>
      <c r="T39" s="235"/>
      <c r="U39" s="104"/>
      <c r="V39" s="234"/>
      <c r="W39" s="18"/>
    </row>
    <row r="40" spans="1:26" ht="26.25" customHeight="1">
      <c r="A40" s="2424"/>
      <c r="B40" s="104"/>
      <c r="C40" s="236"/>
      <c r="D40" s="104"/>
      <c r="E40" s="236"/>
      <c r="F40" s="104"/>
      <c r="G40" s="236"/>
      <c r="H40" s="104"/>
      <c r="I40" s="235"/>
      <c r="J40" s="104"/>
      <c r="K40" s="234"/>
      <c r="L40" s="18"/>
      <c r="M40" s="104"/>
      <c r="N40" s="235"/>
      <c r="O40" s="104"/>
      <c r="P40" s="235"/>
      <c r="Q40" s="104"/>
      <c r="R40" s="235"/>
      <c r="S40" s="104"/>
      <c r="T40" s="235"/>
      <c r="U40" s="104"/>
      <c r="V40" s="234"/>
      <c r="W40" s="18"/>
      <c r="Z40" s="17" t="str">
        <f>CONCATENATE(E47, " / ", P47)</f>
        <v xml:space="preserve"> / </v>
      </c>
    </row>
    <row r="41" spans="1:26" ht="26.25" customHeight="1">
      <c r="A41" s="2424"/>
      <c r="B41" s="104"/>
      <c r="C41" s="236"/>
      <c r="D41" s="104"/>
      <c r="E41" s="236"/>
      <c r="F41" s="104"/>
      <c r="G41" s="235"/>
      <c r="H41" s="104"/>
      <c r="I41" s="235"/>
      <c r="J41" s="104"/>
      <c r="K41" s="234"/>
      <c r="L41" s="18"/>
      <c r="M41" s="104"/>
      <c r="N41" s="235"/>
      <c r="O41" s="104"/>
      <c r="P41" s="235"/>
      <c r="Q41" s="104"/>
      <c r="R41" s="235"/>
      <c r="S41" s="104"/>
      <c r="T41" s="235"/>
      <c r="U41" s="104"/>
      <c r="V41" s="234"/>
      <c r="W41" s="18"/>
      <c r="Z41" s="17">
        <f>+K62+V62</f>
        <v>0</v>
      </c>
    </row>
    <row r="42" spans="1:26" ht="26.25" customHeight="1">
      <c r="A42" s="2424"/>
      <c r="B42" s="238"/>
      <c r="C42" s="106"/>
      <c r="D42" s="238"/>
      <c r="E42" s="106"/>
      <c r="F42" s="238"/>
      <c r="G42" s="106"/>
      <c r="H42" s="238"/>
      <c r="I42" s="106"/>
      <c r="J42" s="238"/>
      <c r="K42" s="107"/>
      <c r="L42" s="106"/>
      <c r="M42" s="238"/>
      <c r="N42" s="106"/>
      <c r="O42" s="238"/>
      <c r="P42" s="106"/>
      <c r="Q42" s="238"/>
      <c r="R42" s="106"/>
      <c r="S42" s="238"/>
      <c r="T42" s="106"/>
      <c r="U42" s="238"/>
      <c r="V42" s="107"/>
      <c r="W42" s="18"/>
    </row>
    <row r="43" spans="1:26" ht="26.25" customHeight="1">
      <c r="A43" s="2424"/>
      <c r="B43" s="238"/>
      <c r="C43" s="108"/>
      <c r="D43" s="238"/>
      <c r="E43" s="108"/>
      <c r="F43" s="238"/>
      <c r="G43" s="108"/>
      <c r="H43" s="238"/>
      <c r="I43" s="108"/>
      <c r="J43" s="238"/>
      <c r="K43" s="108"/>
      <c r="L43" s="108"/>
      <c r="M43" s="238"/>
      <c r="N43" s="108"/>
      <c r="O43" s="238"/>
      <c r="P43" s="108"/>
      <c r="Q43" s="238"/>
      <c r="R43" s="108"/>
      <c r="S43" s="238"/>
      <c r="T43" s="108"/>
      <c r="U43" s="238"/>
      <c r="V43" s="108"/>
      <c r="W43" s="18"/>
    </row>
    <row r="44" spans="1:26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</row>
    <row r="45" spans="1:26" ht="22.5" customHeight="1">
      <c r="A45" s="18"/>
      <c r="B45" s="105"/>
      <c r="C45" s="106"/>
      <c r="D45" s="105"/>
      <c r="E45" s="106"/>
      <c r="F45" s="105"/>
      <c r="G45" s="106"/>
      <c r="H45" s="105"/>
      <c r="I45" s="106"/>
      <c r="J45" s="105"/>
      <c r="K45" s="106"/>
      <c r="L45" s="106"/>
      <c r="M45" s="105"/>
      <c r="N45" s="106"/>
      <c r="O45" s="105"/>
      <c r="P45" s="106"/>
      <c r="Q45" s="105"/>
      <c r="R45" s="106"/>
      <c r="S45" s="105"/>
      <c r="T45" s="106"/>
      <c r="U45" s="105"/>
      <c r="V45" s="107"/>
      <c r="W45" s="18"/>
    </row>
    <row r="46" spans="1:26" ht="27.75" customHeight="1">
      <c r="A46" s="18"/>
      <c r="B46" s="2421"/>
      <c r="C46" s="2421"/>
      <c r="D46" s="2421"/>
      <c r="E46" s="2423"/>
      <c r="F46" s="2423"/>
      <c r="G46" s="2423"/>
      <c r="H46" s="2423"/>
      <c r="I46" s="2423"/>
      <c r="J46" s="2423"/>
      <c r="K46" s="2423"/>
      <c r="L46" s="239"/>
      <c r="M46" s="2421"/>
      <c r="N46" s="2421"/>
      <c r="O46" s="2421"/>
      <c r="P46" s="2423"/>
      <c r="Q46" s="2423"/>
      <c r="R46" s="2423"/>
      <c r="S46" s="2423"/>
      <c r="T46" s="2423"/>
      <c r="U46" s="2423"/>
      <c r="V46" s="2423"/>
      <c r="W46" s="18"/>
    </row>
    <row r="47" spans="1:26" ht="27.75" customHeight="1">
      <c r="A47" s="18"/>
      <c r="B47" s="2421"/>
      <c r="C47" s="2421"/>
      <c r="D47" s="2421"/>
      <c r="E47" s="2423"/>
      <c r="F47" s="2423"/>
      <c r="G47" s="2423"/>
      <c r="H47" s="2423"/>
      <c r="I47" s="2423"/>
      <c r="J47" s="2423"/>
      <c r="K47" s="2423"/>
      <c r="L47" s="239"/>
      <c r="M47" s="2421"/>
      <c r="N47" s="2421"/>
      <c r="O47" s="2421"/>
      <c r="P47" s="2423"/>
      <c r="Q47" s="2423"/>
      <c r="R47" s="2423"/>
      <c r="S47" s="2423"/>
      <c r="T47" s="2423"/>
      <c r="U47" s="2423"/>
      <c r="V47" s="2423"/>
      <c r="W47" s="18"/>
    </row>
    <row r="48" spans="1:26" ht="27.75" customHeight="1">
      <c r="A48" s="18"/>
      <c r="B48" s="2421"/>
      <c r="C48" s="2421"/>
      <c r="D48" s="2421"/>
      <c r="E48" s="2422"/>
      <c r="F48" s="2422"/>
      <c r="G48" s="2422"/>
      <c r="H48" s="2422"/>
      <c r="I48" s="2422"/>
      <c r="J48" s="2422"/>
      <c r="K48" s="2422"/>
      <c r="L48" s="239"/>
      <c r="M48" s="2421"/>
      <c r="N48" s="2421"/>
      <c r="O48" s="2421"/>
      <c r="P48" s="2422"/>
      <c r="Q48" s="2422"/>
      <c r="R48" s="2422"/>
      <c r="S48" s="2422"/>
      <c r="T48" s="2422"/>
      <c r="U48" s="2422"/>
      <c r="V48" s="2422"/>
      <c r="W48" s="18"/>
    </row>
    <row r="49" spans="1:23" ht="15" customHeight="1">
      <c r="A49" s="24"/>
      <c r="B49" s="102"/>
      <c r="C49" s="102"/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23"/>
    </row>
    <row r="50" spans="1:23" ht="15" customHeight="1">
      <c r="A50" s="24"/>
      <c r="B50" s="102"/>
      <c r="C50" s="102"/>
      <c r="D50" s="102"/>
      <c r="E50" s="102"/>
      <c r="F50" s="102"/>
      <c r="G50" s="102"/>
      <c r="H50" s="102"/>
      <c r="I50" s="102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2"/>
      <c r="V50" s="102"/>
      <c r="W50" s="23"/>
    </row>
    <row r="51" spans="1:23" ht="28.5" customHeight="1">
      <c r="A51" s="18"/>
      <c r="B51" s="237"/>
      <c r="C51" s="109"/>
      <c r="D51" s="237"/>
      <c r="E51" s="109"/>
      <c r="F51" s="237"/>
      <c r="G51" s="109"/>
      <c r="H51" s="237"/>
      <c r="I51" s="109"/>
      <c r="J51" s="237"/>
      <c r="K51" s="109"/>
      <c r="L51" s="109"/>
      <c r="M51" s="237"/>
      <c r="N51" s="109"/>
      <c r="O51" s="237"/>
      <c r="P51" s="109"/>
      <c r="Q51" s="237"/>
      <c r="R51" s="109"/>
      <c r="S51" s="237"/>
      <c r="T51" s="109"/>
      <c r="U51" s="237"/>
      <c r="V51" s="109"/>
      <c r="W51" s="18"/>
    </row>
    <row r="52" spans="1:23" ht="28.5" customHeight="1">
      <c r="A52" s="18"/>
      <c r="B52" s="104"/>
      <c r="C52" s="235"/>
      <c r="D52" s="104"/>
      <c r="E52" s="235"/>
      <c r="F52" s="104"/>
      <c r="G52" s="235"/>
      <c r="H52" s="104"/>
      <c r="I52" s="235"/>
      <c r="J52" s="104"/>
      <c r="K52" s="234"/>
      <c r="L52" s="18"/>
      <c r="M52" s="104"/>
      <c r="N52" s="235"/>
      <c r="O52" s="104"/>
      <c r="P52" s="235"/>
      <c r="Q52" s="104"/>
      <c r="R52" s="235"/>
      <c r="S52" s="104"/>
      <c r="T52" s="235"/>
      <c r="U52" s="104"/>
      <c r="V52" s="234"/>
      <c r="W52" s="18"/>
    </row>
    <row r="53" spans="1:23" ht="28.5" customHeight="1">
      <c r="A53" s="18"/>
      <c r="B53" s="104"/>
      <c r="C53" s="235"/>
      <c r="D53" s="104"/>
      <c r="E53" s="235"/>
      <c r="F53" s="104"/>
      <c r="G53" s="235"/>
      <c r="H53" s="104"/>
      <c r="I53" s="235"/>
      <c r="J53" s="104"/>
      <c r="K53" s="234"/>
      <c r="L53" s="18"/>
      <c r="M53" s="104"/>
      <c r="N53" s="235"/>
      <c r="O53" s="104"/>
      <c r="P53" s="235"/>
      <c r="Q53" s="104"/>
      <c r="R53" s="235"/>
      <c r="S53" s="104"/>
      <c r="T53" s="235"/>
      <c r="U53" s="104"/>
      <c r="V53" s="234"/>
      <c r="W53" s="18"/>
    </row>
    <row r="54" spans="1:23" ht="28.5" customHeight="1">
      <c r="A54" s="18"/>
      <c r="B54" s="104"/>
      <c r="C54" s="235"/>
      <c r="D54" s="104"/>
      <c r="E54" s="235"/>
      <c r="F54" s="104"/>
      <c r="G54" s="235"/>
      <c r="H54" s="104"/>
      <c r="I54" s="235"/>
      <c r="J54" s="104"/>
      <c r="K54" s="234"/>
      <c r="L54" s="18"/>
      <c r="M54" s="104"/>
      <c r="N54" s="235"/>
      <c r="O54" s="104"/>
      <c r="P54" s="235"/>
      <c r="Q54" s="104"/>
      <c r="R54" s="235"/>
      <c r="S54" s="104"/>
      <c r="T54" s="235"/>
      <c r="U54" s="104"/>
      <c r="V54" s="234"/>
      <c r="W54" s="18"/>
    </row>
    <row r="55" spans="1:23" ht="28.5" customHeight="1">
      <c r="A55" s="18"/>
      <c r="B55" s="104"/>
      <c r="C55" s="235"/>
      <c r="D55" s="104"/>
      <c r="E55" s="235"/>
      <c r="F55" s="104"/>
      <c r="G55" s="235"/>
      <c r="H55" s="104"/>
      <c r="I55" s="235"/>
      <c r="J55" s="104"/>
      <c r="K55" s="234"/>
      <c r="L55" s="18"/>
      <c r="M55" s="104"/>
      <c r="N55" s="235"/>
      <c r="O55" s="104"/>
      <c r="P55" s="235"/>
      <c r="Q55" s="104"/>
      <c r="R55" s="235"/>
      <c r="S55" s="104"/>
      <c r="T55" s="235"/>
      <c r="U55" s="104"/>
      <c r="V55" s="234"/>
      <c r="W55" s="18"/>
    </row>
    <row r="56" spans="1:23" ht="28.5" customHeight="1">
      <c r="A56" s="18"/>
      <c r="B56" s="104"/>
      <c r="C56" s="235"/>
      <c r="D56" s="104"/>
      <c r="E56" s="235"/>
      <c r="F56" s="104"/>
      <c r="G56" s="235"/>
      <c r="H56" s="104"/>
      <c r="I56" s="235"/>
      <c r="J56" s="104"/>
      <c r="K56" s="234"/>
      <c r="L56" s="18"/>
      <c r="M56" s="104"/>
      <c r="N56" s="235"/>
      <c r="O56" s="104"/>
      <c r="P56" s="235"/>
      <c r="Q56" s="104"/>
      <c r="R56" s="235"/>
      <c r="S56" s="104"/>
      <c r="T56" s="235"/>
      <c r="U56" s="104"/>
      <c r="V56" s="234"/>
      <c r="W56" s="18"/>
    </row>
    <row r="57" spans="1:23" ht="28.5" customHeight="1">
      <c r="A57" s="18"/>
      <c r="B57" s="104"/>
      <c r="C57" s="235"/>
      <c r="D57" s="104"/>
      <c r="E57" s="235"/>
      <c r="F57" s="104"/>
      <c r="G57" s="235"/>
      <c r="H57" s="104"/>
      <c r="I57" s="235"/>
      <c r="J57" s="104"/>
      <c r="K57" s="234"/>
      <c r="L57" s="18"/>
      <c r="M57" s="104"/>
      <c r="N57" s="235"/>
      <c r="O57" s="104"/>
      <c r="P57" s="235"/>
      <c r="Q57" s="104"/>
      <c r="R57" s="235"/>
      <c r="S57" s="104"/>
      <c r="T57" s="235"/>
      <c r="U57" s="104"/>
      <c r="V57" s="234"/>
      <c r="W57" s="18"/>
    </row>
    <row r="58" spans="1:23" ht="28.5" customHeight="1">
      <c r="A58" s="18"/>
      <c r="B58" s="104"/>
      <c r="C58" s="235"/>
      <c r="D58" s="104"/>
      <c r="E58" s="235"/>
      <c r="F58" s="104"/>
      <c r="G58" s="235"/>
      <c r="H58" s="104"/>
      <c r="I58" s="235"/>
      <c r="J58" s="104"/>
      <c r="K58" s="234"/>
      <c r="L58" s="18"/>
      <c r="M58" s="104"/>
      <c r="N58" s="235"/>
      <c r="O58" s="104"/>
      <c r="P58" s="235"/>
      <c r="Q58" s="104"/>
      <c r="R58" s="235"/>
      <c r="S58" s="104"/>
      <c r="T58" s="235"/>
      <c r="U58" s="104"/>
      <c r="V58" s="234"/>
      <c r="W58" s="18"/>
    </row>
    <row r="59" spans="1:23" ht="28.5" customHeight="1">
      <c r="A59" s="18"/>
      <c r="B59" s="104"/>
      <c r="C59" s="235"/>
      <c r="D59" s="104"/>
      <c r="E59" s="235"/>
      <c r="F59" s="104"/>
      <c r="G59" s="235"/>
      <c r="H59" s="104"/>
      <c r="I59" s="235"/>
      <c r="J59" s="104"/>
      <c r="K59" s="234"/>
      <c r="L59" s="18"/>
      <c r="M59" s="104"/>
      <c r="N59" s="235"/>
      <c r="O59" s="104"/>
      <c r="P59" s="235"/>
      <c r="Q59" s="104"/>
      <c r="R59" s="235"/>
      <c r="S59" s="104"/>
      <c r="T59" s="235"/>
      <c r="U59" s="104"/>
      <c r="V59" s="234"/>
      <c r="W59" s="18"/>
    </row>
    <row r="60" spans="1:23" ht="28.5" customHeight="1">
      <c r="A60" s="18"/>
      <c r="B60" s="104"/>
      <c r="C60" s="235"/>
      <c r="D60" s="104"/>
      <c r="E60" s="235"/>
      <c r="F60" s="104"/>
      <c r="G60" s="235"/>
      <c r="H60" s="104"/>
      <c r="I60" s="235"/>
      <c r="J60" s="104"/>
      <c r="K60" s="234"/>
      <c r="L60" s="18"/>
      <c r="M60" s="104"/>
      <c r="N60" s="235"/>
      <c r="O60" s="104"/>
      <c r="P60" s="235"/>
      <c r="Q60" s="104"/>
      <c r="R60" s="235"/>
      <c r="S60" s="104"/>
      <c r="T60" s="235"/>
      <c r="U60" s="104"/>
      <c r="V60" s="234"/>
      <c r="W60" s="18"/>
    </row>
    <row r="61" spans="1:23" ht="28.5" customHeight="1">
      <c r="A61" s="18"/>
      <c r="B61" s="104"/>
      <c r="C61" s="235"/>
      <c r="D61" s="104"/>
      <c r="E61" s="235"/>
      <c r="F61" s="104"/>
      <c r="G61" s="235"/>
      <c r="H61" s="104"/>
      <c r="I61" s="235"/>
      <c r="J61" s="104"/>
      <c r="K61" s="234"/>
      <c r="L61" s="18"/>
      <c r="M61" s="104"/>
      <c r="N61" s="235"/>
      <c r="O61" s="104"/>
      <c r="P61" s="235"/>
      <c r="Q61" s="104"/>
      <c r="R61" s="235"/>
      <c r="S61" s="104"/>
      <c r="T61" s="235"/>
      <c r="U61" s="104"/>
      <c r="V61" s="234"/>
      <c r="W61" s="18"/>
    </row>
    <row r="62" spans="1:23" ht="28.5" customHeight="1">
      <c r="A62" s="18"/>
      <c r="B62" s="238"/>
      <c r="C62" s="106"/>
      <c r="D62" s="238"/>
      <c r="E62" s="106"/>
      <c r="F62" s="238"/>
      <c r="G62" s="106"/>
      <c r="H62" s="238"/>
      <c r="I62" s="106"/>
      <c r="J62" s="238"/>
      <c r="K62" s="107"/>
      <c r="L62" s="106"/>
      <c r="M62" s="238"/>
      <c r="N62" s="106"/>
      <c r="O62" s="238"/>
      <c r="P62" s="106"/>
      <c r="Q62" s="238"/>
      <c r="R62" s="106"/>
      <c r="S62" s="238"/>
      <c r="T62" s="106"/>
      <c r="U62" s="238"/>
      <c r="V62" s="107"/>
      <c r="W62" s="18"/>
    </row>
    <row r="63" spans="1:23" ht="28.5" customHeight="1">
      <c r="A63" s="18"/>
      <c r="B63" s="238"/>
      <c r="C63" s="108"/>
      <c r="D63" s="238"/>
      <c r="E63" s="108"/>
      <c r="F63" s="238"/>
      <c r="G63" s="108"/>
      <c r="H63" s="238"/>
      <c r="I63" s="108"/>
      <c r="J63" s="238"/>
      <c r="K63" s="108"/>
      <c r="L63" s="108"/>
      <c r="M63" s="238"/>
      <c r="N63" s="108"/>
      <c r="O63" s="238"/>
      <c r="P63" s="108"/>
      <c r="Q63" s="238"/>
      <c r="R63" s="108"/>
      <c r="S63" s="238"/>
      <c r="T63" s="108"/>
      <c r="U63" s="238"/>
      <c r="V63" s="108"/>
      <c r="W63" s="18"/>
    </row>
    <row r="64" spans="1:23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</row>
    <row r="65" spans="1:23" ht="33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</row>
    <row r="66" spans="1:23" ht="27.75" customHeight="1">
      <c r="A66" s="18"/>
      <c r="B66" s="2421"/>
      <c r="C66" s="2421"/>
      <c r="D66" s="2421"/>
      <c r="E66" s="2423"/>
      <c r="F66" s="2423"/>
      <c r="G66" s="2423"/>
      <c r="H66" s="2423"/>
      <c r="I66" s="2423"/>
      <c r="J66" s="2423"/>
      <c r="K66" s="2423"/>
      <c r="L66" s="239"/>
      <c r="M66" s="2421"/>
      <c r="N66" s="2421"/>
      <c r="O66" s="2421"/>
      <c r="P66" s="2423"/>
      <c r="Q66" s="2423"/>
      <c r="R66" s="2423"/>
      <c r="S66" s="2423"/>
      <c r="T66" s="2423"/>
      <c r="U66" s="2423"/>
      <c r="V66" s="2423"/>
      <c r="W66" s="18"/>
    </row>
    <row r="67" spans="1:23" ht="27.75" customHeight="1">
      <c r="A67" s="18"/>
      <c r="B67" s="2421"/>
      <c r="C67" s="2421"/>
      <c r="D67" s="2421"/>
      <c r="E67" s="2423"/>
      <c r="F67" s="2423"/>
      <c r="G67" s="2423"/>
      <c r="H67" s="2423"/>
      <c r="I67" s="2423"/>
      <c r="J67" s="2423"/>
      <c r="K67" s="2423"/>
      <c r="L67" s="239"/>
      <c r="M67" s="2421"/>
      <c r="N67" s="2421"/>
      <c r="O67" s="2421"/>
      <c r="P67" s="2423"/>
      <c r="Q67" s="2423"/>
      <c r="R67" s="2423"/>
      <c r="S67" s="2423"/>
      <c r="T67" s="2423"/>
      <c r="U67" s="2423"/>
      <c r="V67" s="2423"/>
      <c r="W67" s="18"/>
    </row>
    <row r="68" spans="1:23" ht="27.75" customHeight="1">
      <c r="A68" s="18"/>
      <c r="B68" s="2421"/>
      <c r="C68" s="2421"/>
      <c r="D68" s="2421"/>
      <c r="E68" s="2422"/>
      <c r="F68" s="2422"/>
      <c r="G68" s="2422"/>
      <c r="H68" s="2422"/>
      <c r="I68" s="2422"/>
      <c r="J68" s="2422"/>
      <c r="K68" s="2422"/>
      <c r="L68" s="239"/>
      <c r="M68" s="2421"/>
      <c r="N68" s="2421"/>
      <c r="O68" s="2421"/>
      <c r="P68" s="2422"/>
      <c r="Q68" s="2422"/>
      <c r="R68" s="2422"/>
      <c r="S68" s="2422"/>
      <c r="T68" s="2422"/>
      <c r="U68" s="2422"/>
      <c r="V68" s="2422"/>
      <c r="W68" s="18"/>
    </row>
    <row r="69" spans="1:23" ht="15" customHeight="1">
      <c r="A69" s="24"/>
      <c r="B69" s="102"/>
      <c r="C69" s="102"/>
      <c r="D69" s="102"/>
      <c r="E69" s="102"/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23"/>
    </row>
    <row r="70" spans="1:23" ht="15" customHeight="1">
      <c r="A70" s="24"/>
      <c r="B70" s="102"/>
      <c r="C70" s="102"/>
      <c r="D70" s="1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23"/>
    </row>
    <row r="71" spans="1:23" ht="28.5" customHeight="1">
      <c r="A71" s="18"/>
      <c r="B71" s="237"/>
      <c r="C71" s="109"/>
      <c r="D71" s="237"/>
      <c r="E71" s="109"/>
      <c r="F71" s="237"/>
      <c r="G71" s="109"/>
      <c r="H71" s="237"/>
      <c r="I71" s="109"/>
      <c r="J71" s="237"/>
      <c r="K71" s="109"/>
      <c r="L71" s="109"/>
      <c r="M71" s="237"/>
      <c r="N71" s="109"/>
      <c r="O71" s="237"/>
      <c r="P71" s="109"/>
      <c r="Q71" s="237"/>
      <c r="R71" s="109"/>
      <c r="S71" s="237"/>
      <c r="T71" s="109"/>
      <c r="U71" s="237"/>
      <c r="V71" s="109"/>
      <c r="W71" s="18"/>
    </row>
    <row r="72" spans="1:23" ht="28.5" customHeight="1">
      <c r="A72" s="18"/>
      <c r="B72" s="104"/>
      <c r="C72" s="235"/>
      <c r="D72" s="104"/>
      <c r="E72" s="235"/>
      <c r="F72" s="104"/>
      <c r="G72" s="235"/>
      <c r="H72" s="104"/>
      <c r="I72" s="235"/>
      <c r="J72" s="104"/>
      <c r="K72" s="234"/>
      <c r="L72" s="18"/>
      <c r="M72" s="104"/>
      <c r="N72" s="235"/>
      <c r="O72" s="104"/>
      <c r="P72" s="235"/>
      <c r="Q72" s="104"/>
      <c r="R72" s="235"/>
      <c r="S72" s="104"/>
      <c r="T72" s="235"/>
      <c r="U72" s="104"/>
      <c r="V72" s="234"/>
      <c r="W72" s="18"/>
    </row>
    <row r="73" spans="1:23" ht="28.5" customHeight="1">
      <c r="A73" s="18"/>
      <c r="B73" s="104"/>
      <c r="C73" s="235"/>
      <c r="D73" s="104"/>
      <c r="E73" s="235"/>
      <c r="F73" s="104"/>
      <c r="G73" s="235"/>
      <c r="H73" s="104"/>
      <c r="I73" s="235"/>
      <c r="J73" s="104"/>
      <c r="K73" s="234"/>
      <c r="L73" s="18"/>
      <c r="M73" s="104"/>
      <c r="N73" s="235"/>
      <c r="O73" s="104"/>
      <c r="P73" s="235"/>
      <c r="Q73" s="104"/>
      <c r="R73" s="235"/>
      <c r="S73" s="104"/>
      <c r="T73" s="235"/>
      <c r="U73" s="104"/>
      <c r="V73" s="234"/>
      <c r="W73" s="18"/>
    </row>
    <row r="74" spans="1:23" ht="28.5" customHeight="1">
      <c r="A74" s="18"/>
      <c r="B74" s="104"/>
      <c r="C74" s="235"/>
      <c r="D74" s="104"/>
      <c r="E74" s="235"/>
      <c r="F74" s="104"/>
      <c r="G74" s="235"/>
      <c r="H74" s="104"/>
      <c r="I74" s="235"/>
      <c r="J74" s="104"/>
      <c r="K74" s="234"/>
      <c r="L74" s="18"/>
      <c r="M74" s="104"/>
      <c r="N74" s="235"/>
      <c r="O74" s="104"/>
      <c r="P74" s="235"/>
      <c r="Q74" s="104"/>
      <c r="R74" s="235"/>
      <c r="S74" s="104"/>
      <c r="T74" s="235"/>
      <c r="U74" s="104"/>
      <c r="V74" s="234"/>
      <c r="W74" s="18"/>
    </row>
    <row r="75" spans="1:23" ht="28.5" customHeight="1">
      <c r="A75" s="18"/>
      <c r="B75" s="104"/>
      <c r="C75" s="235"/>
      <c r="D75" s="104"/>
      <c r="E75" s="235"/>
      <c r="F75" s="104"/>
      <c r="G75" s="235"/>
      <c r="H75" s="104"/>
      <c r="I75" s="235"/>
      <c r="J75" s="104"/>
      <c r="K75" s="234"/>
      <c r="L75" s="18"/>
      <c r="M75" s="104"/>
      <c r="N75" s="235"/>
      <c r="O75" s="104"/>
      <c r="P75" s="235"/>
      <c r="Q75" s="104"/>
      <c r="R75" s="235"/>
      <c r="S75" s="104"/>
      <c r="T75" s="235"/>
      <c r="U75" s="104"/>
      <c r="V75" s="234"/>
      <c r="W75" s="18"/>
    </row>
    <row r="76" spans="1:23" ht="28.5" customHeight="1">
      <c r="A76" s="18"/>
      <c r="B76" s="104"/>
      <c r="C76" s="235"/>
      <c r="D76" s="104"/>
      <c r="E76" s="235"/>
      <c r="F76" s="104"/>
      <c r="G76" s="235"/>
      <c r="H76" s="104"/>
      <c r="I76" s="235"/>
      <c r="J76" s="104"/>
      <c r="K76" s="234"/>
      <c r="L76" s="18"/>
      <c r="M76" s="104"/>
      <c r="N76" s="235"/>
      <c r="O76" s="104"/>
      <c r="P76" s="235"/>
      <c r="Q76" s="104"/>
      <c r="R76" s="235"/>
      <c r="S76" s="104"/>
      <c r="T76" s="235"/>
      <c r="U76" s="104"/>
      <c r="V76" s="234"/>
      <c r="W76" s="18"/>
    </row>
    <row r="77" spans="1:23" ht="28.5" customHeight="1">
      <c r="A77" s="18"/>
      <c r="B77" s="104"/>
      <c r="C77" s="235"/>
      <c r="D77" s="104"/>
      <c r="E77" s="235"/>
      <c r="F77" s="104"/>
      <c r="G77" s="235"/>
      <c r="H77" s="104"/>
      <c r="I77" s="235"/>
      <c r="J77" s="104"/>
      <c r="K77" s="234"/>
      <c r="L77" s="18"/>
      <c r="M77" s="104"/>
      <c r="N77" s="235"/>
      <c r="O77" s="104"/>
      <c r="P77" s="235"/>
      <c r="Q77" s="104"/>
      <c r="R77" s="235"/>
      <c r="S77" s="104"/>
      <c r="T77" s="235"/>
      <c r="U77" s="104"/>
      <c r="V77" s="234"/>
      <c r="W77" s="18"/>
    </row>
    <row r="78" spans="1:23" ht="28.5" customHeight="1">
      <c r="A78" s="18"/>
      <c r="B78" s="104"/>
      <c r="C78" s="235"/>
      <c r="D78" s="104"/>
      <c r="E78" s="235"/>
      <c r="F78" s="104"/>
      <c r="G78" s="235"/>
      <c r="H78" s="104"/>
      <c r="I78" s="235"/>
      <c r="J78" s="104"/>
      <c r="K78" s="234"/>
      <c r="L78" s="18"/>
      <c r="M78" s="104"/>
      <c r="N78" s="235"/>
      <c r="O78" s="104"/>
      <c r="P78" s="235"/>
      <c r="Q78" s="104"/>
      <c r="R78" s="235"/>
      <c r="S78" s="104"/>
      <c r="T78" s="235"/>
      <c r="U78" s="104"/>
      <c r="V78" s="234"/>
      <c r="W78" s="18"/>
    </row>
    <row r="79" spans="1:23" ht="28.5" customHeight="1">
      <c r="A79" s="18"/>
      <c r="B79" s="104"/>
      <c r="C79" s="235"/>
      <c r="D79" s="104"/>
      <c r="E79" s="235"/>
      <c r="F79" s="104"/>
      <c r="G79" s="235"/>
      <c r="H79" s="104"/>
      <c r="I79" s="235"/>
      <c r="J79" s="104"/>
      <c r="K79" s="234"/>
      <c r="L79" s="18"/>
      <c r="M79" s="104"/>
      <c r="N79" s="235"/>
      <c r="O79" s="104"/>
      <c r="P79" s="235"/>
      <c r="Q79" s="104"/>
      <c r="R79" s="235"/>
      <c r="S79" s="104"/>
      <c r="T79" s="235"/>
      <c r="U79" s="104"/>
      <c r="V79" s="234"/>
      <c r="W79" s="18"/>
    </row>
    <row r="80" spans="1:23" ht="28.5" customHeight="1">
      <c r="A80" s="18"/>
      <c r="B80" s="104"/>
      <c r="C80" s="235"/>
      <c r="D80" s="104"/>
      <c r="E80" s="235"/>
      <c r="F80" s="104"/>
      <c r="G80" s="235"/>
      <c r="H80" s="104"/>
      <c r="I80" s="235"/>
      <c r="J80" s="104"/>
      <c r="K80" s="234"/>
      <c r="L80" s="18"/>
      <c r="M80" s="104"/>
      <c r="N80" s="235"/>
      <c r="O80" s="104"/>
      <c r="P80" s="235"/>
      <c r="Q80" s="104"/>
      <c r="R80" s="235"/>
      <c r="S80" s="104"/>
      <c r="T80" s="235"/>
      <c r="U80" s="104"/>
      <c r="V80" s="234"/>
      <c r="W80" s="18"/>
    </row>
    <row r="81" spans="1:23" ht="28.5" customHeight="1">
      <c r="A81" s="18"/>
      <c r="B81" s="104"/>
      <c r="C81" s="235"/>
      <c r="D81" s="104"/>
      <c r="E81" s="235"/>
      <c r="F81" s="104"/>
      <c r="G81" s="235"/>
      <c r="H81" s="104"/>
      <c r="I81" s="235"/>
      <c r="J81" s="104"/>
      <c r="K81" s="234"/>
      <c r="L81" s="18"/>
      <c r="M81" s="104"/>
      <c r="N81" s="235"/>
      <c r="O81" s="104"/>
      <c r="P81" s="235"/>
      <c r="Q81" s="104"/>
      <c r="R81" s="235"/>
      <c r="S81" s="104"/>
      <c r="T81" s="235"/>
      <c r="U81" s="104"/>
      <c r="V81" s="234"/>
      <c r="W81" s="18"/>
    </row>
    <row r="82" spans="1:23" ht="28.5" customHeight="1">
      <c r="A82" s="18"/>
      <c r="B82" s="238"/>
      <c r="C82" s="106"/>
      <c r="D82" s="238"/>
      <c r="E82" s="106"/>
      <c r="F82" s="238"/>
      <c r="G82" s="106"/>
      <c r="H82" s="238"/>
      <c r="I82" s="106"/>
      <c r="J82" s="238"/>
      <c r="K82" s="107"/>
      <c r="L82" s="106"/>
      <c r="M82" s="238"/>
      <c r="N82" s="106"/>
      <c r="O82" s="238"/>
      <c r="P82" s="106"/>
      <c r="Q82" s="238"/>
      <c r="R82" s="106"/>
      <c r="S82" s="238"/>
      <c r="T82" s="106"/>
      <c r="U82" s="238"/>
      <c r="V82" s="107"/>
      <c r="W82" s="18"/>
    </row>
    <row r="83" spans="1:23" ht="28.5" customHeight="1">
      <c r="A83" s="18"/>
      <c r="B83" s="238"/>
      <c r="C83" s="108"/>
      <c r="D83" s="238"/>
      <c r="E83" s="108"/>
      <c r="F83" s="238"/>
      <c r="G83" s="108"/>
      <c r="H83" s="238"/>
      <c r="I83" s="108"/>
      <c r="J83" s="238"/>
      <c r="K83" s="108"/>
      <c r="L83" s="108"/>
      <c r="M83" s="238"/>
      <c r="N83" s="108"/>
      <c r="O83" s="238"/>
      <c r="P83" s="108"/>
      <c r="Q83" s="238"/>
      <c r="R83" s="108"/>
      <c r="S83" s="238"/>
      <c r="T83" s="108"/>
      <c r="U83" s="238"/>
      <c r="V83" s="108"/>
      <c r="W83" s="18"/>
    </row>
    <row r="84" spans="1:23" ht="22.5" customHeight="1">
      <c r="A84" s="18"/>
      <c r="B84" s="104"/>
      <c r="C84" s="18"/>
      <c r="D84" s="104"/>
      <c r="E84" s="18"/>
      <c r="F84" s="104"/>
      <c r="G84" s="18"/>
      <c r="H84" s="104"/>
      <c r="I84" s="18"/>
      <c r="J84" s="24"/>
      <c r="K84" s="18"/>
      <c r="L84" s="18"/>
      <c r="M84" s="24"/>
      <c r="N84" s="18"/>
      <c r="O84" s="24"/>
      <c r="P84" s="18"/>
      <c r="Q84" s="24"/>
      <c r="R84" s="18"/>
      <c r="S84" s="24"/>
      <c r="T84" s="18"/>
      <c r="U84" s="24"/>
      <c r="V84" s="18"/>
      <c r="W84" s="18"/>
    </row>
    <row r="85" spans="1:23" ht="22.5" customHeight="1">
      <c r="A85" s="18"/>
      <c r="B85" s="105"/>
      <c r="C85" s="106"/>
      <c r="D85" s="105"/>
      <c r="E85" s="106"/>
      <c r="F85" s="105"/>
      <c r="G85" s="106"/>
      <c r="H85" s="105"/>
      <c r="I85" s="106"/>
      <c r="J85" s="105"/>
      <c r="K85" s="106"/>
      <c r="L85" s="106"/>
      <c r="M85" s="105"/>
      <c r="N85" s="106"/>
      <c r="O85" s="105"/>
      <c r="P85" s="106"/>
      <c r="Q85" s="105"/>
      <c r="R85" s="106"/>
      <c r="S85" s="105"/>
      <c r="T85" s="106"/>
      <c r="U85" s="105"/>
      <c r="V85" s="107"/>
      <c r="W85" s="18"/>
    </row>
    <row r="86" spans="1:23" ht="22.5" customHeight="1">
      <c r="A86" s="18"/>
      <c r="B86" s="105"/>
      <c r="C86" s="108"/>
      <c r="D86" s="105"/>
      <c r="E86" s="108"/>
      <c r="F86" s="105"/>
      <c r="G86" s="108"/>
      <c r="H86" s="105"/>
      <c r="I86" s="108"/>
      <c r="J86" s="105"/>
      <c r="K86" s="108"/>
      <c r="L86" s="108"/>
      <c r="M86" s="105"/>
      <c r="N86" s="108"/>
      <c r="O86" s="105"/>
      <c r="P86" s="108"/>
      <c r="Q86" s="105"/>
      <c r="R86" s="108"/>
      <c r="S86" s="105"/>
      <c r="T86" s="108"/>
      <c r="U86" s="105"/>
      <c r="V86" s="108"/>
      <c r="W86" s="18"/>
    </row>
    <row r="87" spans="1:23" ht="22.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</row>
    <row r="88" spans="1:23" ht="22.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</row>
    <row r="89" spans="1:23" ht="22.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</row>
    <row r="90" spans="1:23" ht="22.5" customHeight="1"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</row>
    <row r="91" spans="1:23" ht="22.5" customHeight="1"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</row>
    <row r="92" spans="1:23" ht="22.5" customHeight="1"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</row>
    <row r="93" spans="1:23" ht="22.5" customHeight="1"/>
  </sheetData>
  <mergeCells count="53">
    <mergeCell ref="A2:A9"/>
    <mergeCell ref="B2:D5"/>
    <mergeCell ref="E2:S5"/>
    <mergeCell ref="T2:U2"/>
    <mergeCell ref="T3:U3"/>
    <mergeCell ref="T4:U4"/>
    <mergeCell ref="T5:U5"/>
    <mergeCell ref="B7:D7"/>
    <mergeCell ref="E7:P7"/>
    <mergeCell ref="Q7:S7"/>
    <mergeCell ref="T7:V7"/>
    <mergeCell ref="B8:D8"/>
    <mergeCell ref="E8:P8"/>
    <mergeCell ref="Q8:S8"/>
    <mergeCell ref="T8:V8"/>
    <mergeCell ref="B27:D27"/>
    <mergeCell ref="E27:K27"/>
    <mergeCell ref="M27:O27"/>
    <mergeCell ref="P27:V27"/>
    <mergeCell ref="B28:D28"/>
    <mergeCell ref="E28:K28"/>
    <mergeCell ref="M28:O28"/>
    <mergeCell ref="P28:V28"/>
    <mergeCell ref="A13:A24"/>
    <mergeCell ref="B26:D26"/>
    <mergeCell ref="E26:K26"/>
    <mergeCell ref="M26:O26"/>
    <mergeCell ref="P26:V26"/>
    <mergeCell ref="A32:A43"/>
    <mergeCell ref="B47:D47"/>
    <mergeCell ref="E47:K47"/>
    <mergeCell ref="M47:O47"/>
    <mergeCell ref="P47:V47"/>
    <mergeCell ref="B46:D46"/>
    <mergeCell ref="E46:K46"/>
    <mergeCell ref="M46:O46"/>
    <mergeCell ref="P46:V46"/>
    <mergeCell ref="B48:D48"/>
    <mergeCell ref="E48:K48"/>
    <mergeCell ref="M48:O48"/>
    <mergeCell ref="P48:V48"/>
    <mergeCell ref="B68:D68"/>
    <mergeCell ref="E68:K68"/>
    <mergeCell ref="M68:O68"/>
    <mergeCell ref="P68:V68"/>
    <mergeCell ref="B66:D66"/>
    <mergeCell ref="E66:K66"/>
    <mergeCell ref="M66:O66"/>
    <mergeCell ref="P66:V66"/>
    <mergeCell ref="B67:D67"/>
    <mergeCell ref="E67:K67"/>
    <mergeCell ref="M67:O67"/>
    <mergeCell ref="P67:V67"/>
  </mergeCells>
  <pageMargins left="0.24" right="0.24" top="0.37" bottom="0.17" header="0.3" footer="0.17"/>
  <pageSetup paperSize="9" scale="44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71C6A-443F-4B21-9A6B-AF7D267C37C7}">
  <sheetPr codeName="Hoja13">
    <tabColor theme="0"/>
  </sheetPr>
  <dimension ref="B1:Z201"/>
  <sheetViews>
    <sheetView showGridLines="0" view="pageBreakPreview" topLeftCell="F9" zoomScaleNormal="55" zoomScaleSheetLayoutView="100" zoomScalePageLayoutView="42" workbookViewId="0">
      <selection activeCell="U51" sqref="U51"/>
    </sheetView>
  </sheetViews>
  <sheetFormatPr baseColWidth="10" defaultColWidth="14.42578125" defaultRowHeight="23.25"/>
  <cols>
    <col min="1" max="1" width="2" style="2" customWidth="1"/>
    <col min="2" max="2" width="11.5703125" style="2" customWidth="1"/>
    <col min="3" max="3" width="12.28515625" style="2" customWidth="1"/>
    <col min="4" max="4" width="15.42578125" style="2" customWidth="1"/>
    <col min="5" max="6" width="10.42578125" style="2" customWidth="1"/>
    <col min="7" max="7" width="10.85546875" style="2" customWidth="1"/>
    <col min="8" max="9" width="11.5703125" style="5" customWidth="1"/>
    <col min="10" max="10" width="11.28515625" style="5" customWidth="1"/>
    <col min="11" max="11" width="13.42578125" style="5" bestFit="1" customWidth="1"/>
    <col min="12" max="13" width="11.28515625" style="5" customWidth="1"/>
    <col min="14" max="14" width="11.7109375" style="5" customWidth="1"/>
    <col min="15" max="16" width="11.5703125" style="2" customWidth="1"/>
    <col min="17" max="17" width="10.85546875" style="2" customWidth="1"/>
    <col min="18" max="18" width="15" style="2" customWidth="1"/>
    <col min="19" max="19" width="13.140625" style="2" bestFit="1" customWidth="1"/>
    <col min="20" max="20" width="14.7109375" style="2" customWidth="1"/>
    <col min="21" max="21" width="12.7109375" style="2" bestFit="1" customWidth="1"/>
    <col min="22" max="22" width="11.7109375" style="2" bestFit="1" customWidth="1"/>
    <col min="23" max="23" width="3.7109375" style="2" customWidth="1"/>
    <col min="24" max="16384" width="14.42578125" style="2"/>
  </cols>
  <sheetData>
    <row r="1" spans="2:21" ht="30.75" customHeight="1">
      <c r="C1" s="1"/>
      <c r="D1" s="1"/>
      <c r="E1" s="1"/>
      <c r="F1" s="1"/>
      <c r="G1" s="1"/>
      <c r="H1" s="3"/>
      <c r="I1" s="3"/>
      <c r="J1" s="3"/>
      <c r="K1" s="3"/>
      <c r="L1" s="3"/>
      <c r="M1" s="3"/>
      <c r="N1" s="3"/>
      <c r="O1" s="1"/>
      <c r="P1" s="1"/>
      <c r="Q1" s="1"/>
    </row>
    <row r="2" spans="2:21" ht="30.75" customHeight="1">
      <c r="C2" s="2281" t="s">
        <v>179</v>
      </c>
      <c r="D2" s="2281"/>
      <c r="E2" s="2281"/>
      <c r="F2" s="2281"/>
      <c r="G2" s="2281"/>
      <c r="H2" s="2281"/>
      <c r="I2" s="2281"/>
      <c r="J2" s="2281"/>
      <c r="K2" s="2281"/>
      <c r="L2" s="2281"/>
      <c r="M2" s="2281"/>
      <c r="N2" s="2281"/>
      <c r="O2" s="2281"/>
      <c r="P2" s="381"/>
      <c r="Q2" s="1"/>
    </row>
    <row r="3" spans="2:21" ht="30.75" customHeight="1">
      <c r="C3" s="2281"/>
      <c r="D3" s="2281"/>
      <c r="E3" s="2281"/>
      <c r="F3" s="2281"/>
      <c r="G3" s="2281"/>
      <c r="H3" s="2281"/>
      <c r="I3" s="2281"/>
      <c r="J3" s="2281"/>
      <c r="K3" s="2281"/>
      <c r="L3" s="2281"/>
      <c r="M3" s="2281"/>
      <c r="N3" s="2281"/>
      <c r="O3" s="2281"/>
      <c r="P3" s="381"/>
      <c r="Q3" s="90" t="s">
        <v>151</v>
      </c>
      <c r="R3" s="91">
        <f>+PP!E10</f>
        <v>46199</v>
      </c>
    </row>
    <row r="4" spans="2:21" s="45" customFormat="1" ht="20.25" customHeight="1">
      <c r="B4" s="84" t="s">
        <v>429</v>
      </c>
      <c r="H4" s="79"/>
      <c r="I4" s="79"/>
      <c r="J4" s="79"/>
      <c r="K4" s="79"/>
      <c r="L4" s="79"/>
      <c r="M4" s="79"/>
      <c r="N4" s="79"/>
      <c r="O4" s="94"/>
      <c r="P4" s="94"/>
      <c r="Q4" s="94"/>
    </row>
    <row r="5" spans="2:21" s="78" customFormat="1" ht="15.75" customHeight="1">
      <c r="E5" s="45"/>
      <c r="F5" s="45"/>
      <c r="G5" s="45"/>
      <c r="H5" s="79"/>
      <c r="I5" s="79"/>
      <c r="J5" s="79"/>
      <c r="K5" s="79"/>
      <c r="L5" s="79"/>
      <c r="M5" s="79"/>
      <c r="N5" s="79"/>
      <c r="O5" s="80"/>
      <c r="P5" s="80"/>
      <c r="Q5" s="80"/>
    </row>
    <row r="6" spans="2:21" s="78" customFormat="1" ht="15.75" customHeight="1">
      <c r="B6" s="2297" t="str">
        <f>+'T1'!E62</f>
        <v xml:space="preserve">ANDRES </v>
      </c>
      <c r="C6" s="2297"/>
      <c r="D6" s="2297"/>
      <c r="E6" s="2297"/>
      <c r="F6" s="45"/>
      <c r="G6" s="2297" t="str">
        <f>+'T1'!E63</f>
        <v xml:space="preserve">FLOR </v>
      </c>
      <c r="H6" s="2297"/>
      <c r="I6" s="2297"/>
      <c r="J6" s="2297"/>
      <c r="K6" s="79"/>
      <c r="L6" s="2297" t="str">
        <f>+'T1'!E64</f>
        <v>HANNOY</v>
      </c>
      <c r="M6" s="2297"/>
      <c r="N6" s="2297"/>
      <c r="O6" s="2297"/>
      <c r="P6" s="94"/>
      <c r="Q6" s="80"/>
      <c r="R6" s="383"/>
      <c r="S6" s="383"/>
      <c r="T6" s="383"/>
    </row>
    <row r="7" spans="2:21" s="78" customFormat="1" ht="33.75" customHeight="1">
      <c r="B7" s="93" t="s">
        <v>134</v>
      </c>
      <c r="C7" s="93" t="s">
        <v>9</v>
      </c>
      <c r="D7" s="93" t="s">
        <v>149</v>
      </c>
      <c r="E7" s="93" t="s">
        <v>146</v>
      </c>
      <c r="F7" s="45"/>
      <c r="G7" s="93" t="s">
        <v>134</v>
      </c>
      <c r="H7" s="93" t="s">
        <v>9</v>
      </c>
      <c r="I7" s="93" t="s">
        <v>149</v>
      </c>
      <c r="J7" s="93" t="s">
        <v>146</v>
      </c>
      <c r="K7" s="79"/>
      <c r="L7" s="93" t="s">
        <v>134</v>
      </c>
      <c r="M7" s="93" t="s">
        <v>9</v>
      </c>
      <c r="N7" s="93" t="s">
        <v>149</v>
      </c>
      <c r="O7" s="93" t="s">
        <v>146</v>
      </c>
      <c r="P7" s="94"/>
      <c r="R7" s="383"/>
      <c r="S7" s="383"/>
      <c r="T7" s="383"/>
      <c r="U7" s="383"/>
    </row>
    <row r="8" spans="2:21" s="78" customFormat="1" ht="25.5">
      <c r="B8" s="2446" t="s">
        <v>675</v>
      </c>
      <c r="C8" s="2448">
        <f>+'T1'!H62</f>
        <v>0</v>
      </c>
      <c r="D8" s="2446"/>
      <c r="E8" s="2455">
        <f>+C8*D8/1000</f>
        <v>0</v>
      </c>
      <c r="F8" s="45"/>
      <c r="G8" s="2446" t="s">
        <v>675</v>
      </c>
      <c r="H8" s="2448">
        <f>+'T1'!H63+'T1 (2)'!M63</f>
        <v>0</v>
      </c>
      <c r="I8" s="2446"/>
      <c r="J8" s="89">
        <f>+H8*I8/1000</f>
        <v>0</v>
      </c>
      <c r="K8" s="79"/>
      <c r="L8" s="2446" t="s">
        <v>675</v>
      </c>
      <c r="M8" s="2448">
        <f>+'T1'!H64</f>
        <v>0</v>
      </c>
      <c r="N8" s="2446"/>
      <c r="O8" s="89">
        <f>+M8*N8/1000</f>
        <v>0</v>
      </c>
      <c r="P8" s="386"/>
      <c r="R8" s="383"/>
      <c r="S8" s="383"/>
      <c r="T8" s="383"/>
      <c r="U8" s="383"/>
    </row>
    <row r="9" spans="2:21" s="78" customFormat="1" ht="25.5">
      <c r="B9" s="2447"/>
      <c r="C9" s="2447"/>
      <c r="D9" s="2447"/>
      <c r="E9" s="2456"/>
      <c r="F9" s="45"/>
      <c r="G9" s="2447"/>
      <c r="H9" s="2447"/>
      <c r="I9" s="2447"/>
      <c r="J9" s="89">
        <f>+H9*I9/1000</f>
        <v>0</v>
      </c>
      <c r="K9" s="79"/>
      <c r="L9" s="2447"/>
      <c r="M9" s="2447"/>
      <c r="N9" s="2447"/>
      <c r="O9" s="89">
        <f t="shared" ref="O9:O27" si="0">+M9*N9/1000</f>
        <v>0</v>
      </c>
      <c r="P9" s="386"/>
      <c r="R9" s="383"/>
      <c r="S9" s="383"/>
      <c r="T9" s="383"/>
      <c r="U9" s="383"/>
    </row>
    <row r="10" spans="2:21" s="78" customFormat="1" ht="16.5" customHeight="1">
      <c r="B10" s="2446" t="s">
        <v>676</v>
      </c>
      <c r="C10" s="2448">
        <f>+'T2'!K62</f>
        <v>0</v>
      </c>
      <c r="D10" s="2446"/>
      <c r="E10" s="2455">
        <f>+C10*D10/1000</f>
        <v>0</v>
      </c>
      <c r="F10" s="45"/>
      <c r="G10" s="2446" t="s">
        <v>676</v>
      </c>
      <c r="H10" s="2448">
        <f>+'T2'!K63</f>
        <v>0</v>
      </c>
      <c r="I10" s="2446"/>
      <c r="J10" s="89">
        <f t="shared" ref="J10:J27" si="1">+H10*I10/1000</f>
        <v>0</v>
      </c>
      <c r="K10" s="79"/>
      <c r="L10" s="2446" t="s">
        <v>676</v>
      </c>
      <c r="M10" s="2448">
        <f>+'T2'!K64</f>
        <v>0</v>
      </c>
      <c r="N10" s="2446"/>
      <c r="O10" s="89">
        <f t="shared" si="0"/>
        <v>0</v>
      </c>
      <c r="P10" s="386"/>
      <c r="R10" s="383"/>
      <c r="S10" s="383"/>
      <c r="T10" s="383"/>
      <c r="U10" s="383"/>
    </row>
    <row r="11" spans="2:21" s="78" customFormat="1" ht="15.75" customHeight="1">
      <c r="B11" s="2447"/>
      <c r="C11" s="2447"/>
      <c r="D11" s="2447"/>
      <c r="E11" s="2456"/>
      <c r="F11" s="45"/>
      <c r="G11" s="2447"/>
      <c r="H11" s="2447"/>
      <c r="I11" s="2447"/>
      <c r="J11" s="89">
        <f t="shared" si="1"/>
        <v>0</v>
      </c>
      <c r="K11" s="79"/>
      <c r="L11" s="2447"/>
      <c r="M11" s="2447"/>
      <c r="N11" s="2447"/>
      <c r="O11" s="89">
        <f t="shared" si="0"/>
        <v>0</v>
      </c>
      <c r="P11" s="386"/>
      <c r="R11" s="383"/>
      <c r="S11" s="383"/>
      <c r="T11" s="383"/>
    </row>
    <row r="12" spans="2:21" s="78" customFormat="1" ht="15.75" customHeight="1">
      <c r="B12" s="2446" t="s">
        <v>677</v>
      </c>
      <c r="C12" s="2448">
        <f>+'T3'!M62</f>
        <v>0</v>
      </c>
      <c r="D12" s="2446"/>
      <c r="E12" s="2455">
        <f>+C12*D12/1000</f>
        <v>0</v>
      </c>
      <c r="F12" s="45"/>
      <c r="G12" s="2446" t="s">
        <v>677</v>
      </c>
      <c r="H12" s="2448">
        <f>+'T3'!M63</f>
        <v>0</v>
      </c>
      <c r="I12" s="2446"/>
      <c r="J12" s="89">
        <f t="shared" si="1"/>
        <v>0</v>
      </c>
      <c r="K12" s="79"/>
      <c r="L12" s="2446" t="s">
        <v>677</v>
      </c>
      <c r="M12" s="2448">
        <f>+'T3'!M64</f>
        <v>0</v>
      </c>
      <c r="N12" s="2446"/>
      <c r="O12" s="89">
        <f t="shared" si="0"/>
        <v>0</v>
      </c>
      <c r="P12" s="386"/>
      <c r="R12" s="383"/>
      <c r="S12" s="383"/>
      <c r="T12" s="383"/>
    </row>
    <row r="13" spans="2:21" s="78" customFormat="1" ht="18.75" customHeight="1">
      <c r="B13" s="2447"/>
      <c r="C13" s="2447"/>
      <c r="D13" s="2447"/>
      <c r="E13" s="2456"/>
      <c r="G13" s="2447"/>
      <c r="H13" s="2447"/>
      <c r="I13" s="2447"/>
      <c r="J13" s="89">
        <f t="shared" si="1"/>
        <v>0</v>
      </c>
      <c r="K13" s="79"/>
      <c r="L13" s="2447"/>
      <c r="M13" s="2447"/>
      <c r="N13" s="2447"/>
      <c r="O13" s="89">
        <f t="shared" si="0"/>
        <v>0</v>
      </c>
      <c r="P13" s="386"/>
      <c r="R13" s="1145"/>
      <c r="S13" s="383"/>
      <c r="T13" s="383"/>
    </row>
    <row r="14" spans="2:21" s="78" customFormat="1" ht="16.5" customHeight="1">
      <c r="B14" s="2446" t="s">
        <v>678</v>
      </c>
      <c r="C14" s="2448">
        <f>+'T4'!M62</f>
        <v>0</v>
      </c>
      <c r="D14" s="2446"/>
      <c r="E14" s="2455">
        <f>+C14*D14/1000</f>
        <v>0</v>
      </c>
      <c r="G14" s="2446" t="s">
        <v>678</v>
      </c>
      <c r="H14" s="2448">
        <f>+'T4'!M63</f>
        <v>0</v>
      </c>
      <c r="I14" s="2446"/>
      <c r="J14" s="89">
        <f t="shared" si="1"/>
        <v>0</v>
      </c>
      <c r="K14" s="79"/>
      <c r="L14" s="2446" t="s">
        <v>678</v>
      </c>
      <c r="M14" s="2448">
        <f>+'T4'!M64</f>
        <v>0</v>
      </c>
      <c r="N14" s="2446"/>
      <c r="O14" s="89">
        <f t="shared" si="0"/>
        <v>0</v>
      </c>
      <c r="P14" s="386"/>
      <c r="R14" s="383"/>
      <c r="S14" s="383"/>
      <c r="T14" s="383"/>
    </row>
    <row r="15" spans="2:21" s="78" customFormat="1" ht="15.75" customHeight="1">
      <c r="B15" s="2447"/>
      <c r="C15" s="2447"/>
      <c r="D15" s="2447"/>
      <c r="E15" s="2456"/>
      <c r="G15" s="2447"/>
      <c r="H15" s="2447"/>
      <c r="I15" s="2447"/>
      <c r="J15" s="89">
        <f t="shared" si="1"/>
        <v>0</v>
      </c>
      <c r="K15" s="79"/>
      <c r="L15" s="2447"/>
      <c r="M15" s="2447"/>
      <c r="N15" s="2447"/>
      <c r="O15" s="89">
        <f t="shared" si="0"/>
        <v>0</v>
      </c>
      <c r="P15" s="386"/>
      <c r="R15" s="383"/>
      <c r="S15" s="383"/>
      <c r="T15" s="383"/>
    </row>
    <row r="16" spans="2:21" s="78" customFormat="1" ht="23.25" customHeight="1">
      <c r="B16" s="2449" t="s">
        <v>704</v>
      </c>
      <c r="C16" s="2448">
        <f>+'T1 (2)'!M62</f>
        <v>0</v>
      </c>
      <c r="D16" s="2446"/>
      <c r="E16" s="2455">
        <f>+C16*D16/1000</f>
        <v>0</v>
      </c>
      <c r="G16" s="2449" t="s">
        <v>704</v>
      </c>
      <c r="H16" s="2448">
        <f>+'T1 (2)'!M63</f>
        <v>0</v>
      </c>
      <c r="I16" s="2446"/>
      <c r="J16" s="89">
        <f t="shared" si="1"/>
        <v>0</v>
      </c>
      <c r="K16" s="79"/>
      <c r="L16" s="2449" t="s">
        <v>704</v>
      </c>
      <c r="M16" s="2448">
        <f>+'T1 (2)'!M64</f>
        <v>0</v>
      </c>
      <c r="N16" s="2446"/>
      <c r="O16" s="89">
        <f t="shared" si="0"/>
        <v>0</v>
      </c>
      <c r="P16" s="386"/>
      <c r="R16" s="383"/>
      <c r="S16" s="383"/>
      <c r="T16" s="383"/>
    </row>
    <row r="17" spans="2:25" s="78" customFormat="1" ht="21.75" customHeight="1">
      <c r="B17" s="2450"/>
      <c r="C17" s="2447"/>
      <c r="D17" s="2447"/>
      <c r="E17" s="2456"/>
      <c r="G17" s="2450"/>
      <c r="H17" s="2447"/>
      <c r="I17" s="2447"/>
      <c r="J17" s="1483"/>
      <c r="K17" s="79"/>
      <c r="L17" s="2450"/>
      <c r="M17" s="2447"/>
      <c r="N17" s="2447"/>
      <c r="O17" s="1483"/>
      <c r="P17" s="386"/>
      <c r="R17" s="383"/>
      <c r="S17" s="383"/>
      <c r="T17" s="1145"/>
    </row>
    <row r="18" spans="2:25" s="78" customFormat="1" ht="16.5" customHeight="1">
      <c r="B18" s="2446" t="s">
        <v>127</v>
      </c>
      <c r="C18" s="2448">
        <f>+'T5'!M62</f>
        <v>0</v>
      </c>
      <c r="D18" s="2446"/>
      <c r="E18" s="2455">
        <f>+C18*D18/1000</f>
        <v>0</v>
      </c>
      <c r="G18" s="2446" t="s">
        <v>127</v>
      </c>
      <c r="H18" s="2448">
        <f>+'T5'!M63</f>
        <v>0</v>
      </c>
      <c r="I18" s="2446"/>
      <c r="J18" s="89">
        <f t="shared" si="1"/>
        <v>0</v>
      </c>
      <c r="K18" s="79"/>
      <c r="L18" s="2446" t="s">
        <v>127</v>
      </c>
      <c r="M18" s="2448">
        <f>+'T5'!M64</f>
        <v>0</v>
      </c>
      <c r="N18" s="2446"/>
      <c r="O18" s="89">
        <f t="shared" si="0"/>
        <v>0</v>
      </c>
      <c r="P18" s="386"/>
      <c r="R18" s="383"/>
      <c r="S18" s="383"/>
      <c r="T18" s="383"/>
    </row>
    <row r="19" spans="2:25" s="78" customFormat="1" ht="16.5" customHeight="1">
      <c r="B19" s="2447"/>
      <c r="C19" s="2447"/>
      <c r="D19" s="2447"/>
      <c r="E19" s="2456"/>
      <c r="G19" s="2447"/>
      <c r="H19" s="2447"/>
      <c r="I19" s="2447"/>
      <c r="J19" s="89">
        <f t="shared" si="1"/>
        <v>0</v>
      </c>
      <c r="K19" s="79"/>
      <c r="L19" s="2447"/>
      <c r="M19" s="2447"/>
      <c r="N19" s="2447"/>
      <c r="O19" s="89">
        <f t="shared" si="0"/>
        <v>0</v>
      </c>
      <c r="P19" s="386"/>
      <c r="R19" s="383"/>
      <c r="S19" s="383"/>
      <c r="T19" s="383"/>
    </row>
    <row r="20" spans="2:25" s="78" customFormat="1" ht="17.25" customHeight="1">
      <c r="B20" s="2446" t="s">
        <v>128</v>
      </c>
      <c r="C20" s="2448">
        <f>+'T6'!L62</f>
        <v>0</v>
      </c>
      <c r="D20" s="2446"/>
      <c r="E20" s="2455">
        <f>+C20*D20/1000</f>
        <v>0</v>
      </c>
      <c r="G20" s="2446" t="s">
        <v>128</v>
      </c>
      <c r="H20" s="2448">
        <f>+'T6'!L63</f>
        <v>0</v>
      </c>
      <c r="I20" s="2446"/>
      <c r="J20" s="89">
        <f t="shared" si="1"/>
        <v>0</v>
      </c>
      <c r="K20" s="79"/>
      <c r="L20" s="2446" t="s">
        <v>128</v>
      </c>
      <c r="M20" s="2448">
        <f>+'T6'!L64</f>
        <v>0</v>
      </c>
      <c r="N20" s="2446"/>
      <c r="O20" s="89">
        <f t="shared" si="0"/>
        <v>0</v>
      </c>
      <c r="P20" s="387"/>
      <c r="R20" s="384"/>
      <c r="S20" s="385"/>
      <c r="T20" s="383"/>
    </row>
    <row r="21" spans="2:25" s="78" customFormat="1" ht="18.75" customHeight="1">
      <c r="B21" s="2447"/>
      <c r="C21" s="2447"/>
      <c r="D21" s="2447"/>
      <c r="E21" s="2456"/>
      <c r="G21" s="2447"/>
      <c r="H21" s="2447"/>
      <c r="I21" s="2447"/>
      <c r="J21" s="89">
        <f t="shared" si="1"/>
        <v>0</v>
      </c>
      <c r="K21" s="79"/>
      <c r="L21" s="2447"/>
      <c r="M21" s="2447"/>
      <c r="N21" s="2447"/>
      <c r="O21" s="89">
        <f t="shared" si="0"/>
        <v>0</v>
      </c>
      <c r="P21" s="387"/>
      <c r="R21" s="384"/>
      <c r="S21" s="385"/>
      <c r="T21" s="383"/>
    </row>
    <row r="22" spans="2:25" s="78" customFormat="1" ht="15.75">
      <c r="B22" s="76">
        <v>15</v>
      </c>
      <c r="C22" s="76"/>
      <c r="D22" s="85"/>
      <c r="E22" s="89">
        <f t="shared" ref="E22:E27" si="2">+C22*D22/1000</f>
        <v>0</v>
      </c>
      <c r="G22" s="76">
        <v>15</v>
      </c>
      <c r="H22" s="76"/>
      <c r="I22" s="85"/>
      <c r="J22" s="89">
        <f t="shared" si="1"/>
        <v>0</v>
      </c>
      <c r="K22" s="79"/>
      <c r="L22" s="76">
        <v>15</v>
      </c>
      <c r="M22" s="76"/>
      <c r="N22" s="85"/>
      <c r="O22" s="89">
        <f t="shared" si="0"/>
        <v>0</v>
      </c>
      <c r="P22" s="386"/>
    </row>
    <row r="23" spans="2:25" s="78" customFormat="1" ht="15.75">
      <c r="B23" s="76">
        <v>16</v>
      </c>
      <c r="C23" s="76"/>
      <c r="D23" s="85"/>
      <c r="E23" s="89">
        <f t="shared" si="2"/>
        <v>0</v>
      </c>
      <c r="G23" s="76">
        <v>16</v>
      </c>
      <c r="H23" s="127"/>
      <c r="I23" s="85"/>
      <c r="J23" s="89">
        <f t="shared" si="1"/>
        <v>0</v>
      </c>
      <c r="K23" s="79"/>
      <c r="L23" s="76">
        <v>16</v>
      </c>
      <c r="M23" s="76"/>
      <c r="N23" s="85"/>
      <c r="O23" s="89">
        <f t="shared" si="0"/>
        <v>0</v>
      </c>
      <c r="P23" s="387"/>
      <c r="Q23" s="81"/>
      <c r="R23" s="81"/>
      <c r="S23" s="45"/>
    </row>
    <row r="24" spans="2:25" s="78" customFormat="1" ht="15.75">
      <c r="B24" s="76">
        <v>17</v>
      </c>
      <c r="C24" s="76"/>
      <c r="D24" s="85"/>
      <c r="E24" s="89">
        <f t="shared" si="2"/>
        <v>0</v>
      </c>
      <c r="G24" s="76">
        <v>17</v>
      </c>
      <c r="H24" s="76"/>
      <c r="I24" s="85"/>
      <c r="J24" s="89">
        <f t="shared" si="1"/>
        <v>0</v>
      </c>
      <c r="K24" s="79"/>
      <c r="L24" s="76">
        <v>17</v>
      </c>
      <c r="M24" s="127"/>
      <c r="N24" s="85"/>
      <c r="O24" s="89">
        <f t="shared" si="0"/>
        <v>0</v>
      </c>
      <c r="P24" s="387"/>
      <c r="Q24" s="81"/>
      <c r="R24" s="81"/>
      <c r="S24" s="45"/>
      <c r="T24" s="126"/>
    </row>
    <row r="25" spans="2:25" s="78" customFormat="1" ht="15.75">
      <c r="B25" s="76">
        <v>18</v>
      </c>
      <c r="C25" s="127"/>
      <c r="D25" s="85"/>
      <c r="E25" s="89">
        <f t="shared" si="2"/>
        <v>0</v>
      </c>
      <c r="G25" s="76">
        <v>18</v>
      </c>
      <c r="H25" s="76"/>
      <c r="I25" s="85"/>
      <c r="J25" s="89">
        <f t="shared" si="1"/>
        <v>0</v>
      </c>
      <c r="K25" s="79"/>
      <c r="L25" s="76">
        <v>18</v>
      </c>
      <c r="M25" s="76"/>
      <c r="N25" s="85"/>
      <c r="O25" s="89">
        <f t="shared" si="0"/>
        <v>0</v>
      </c>
      <c r="P25" s="387"/>
      <c r="Q25" s="81"/>
      <c r="R25" s="81"/>
      <c r="S25" s="45"/>
    </row>
    <row r="26" spans="2:25" s="78" customFormat="1" ht="15.75">
      <c r="B26" s="76">
        <v>19</v>
      </c>
      <c r="C26" s="76"/>
      <c r="D26" s="85"/>
      <c r="E26" s="89">
        <f t="shared" si="2"/>
        <v>0</v>
      </c>
      <c r="G26" s="76">
        <v>19</v>
      </c>
      <c r="H26" s="76"/>
      <c r="I26" s="85"/>
      <c r="J26" s="89">
        <f t="shared" si="1"/>
        <v>0</v>
      </c>
      <c r="K26" s="79"/>
      <c r="L26" s="76">
        <v>19</v>
      </c>
      <c r="M26" s="76"/>
      <c r="N26" s="85"/>
      <c r="O26" s="89">
        <f t="shared" si="0"/>
        <v>0</v>
      </c>
      <c r="P26" s="387"/>
      <c r="Q26" s="81"/>
      <c r="R26" s="81"/>
      <c r="S26" s="45"/>
    </row>
    <row r="27" spans="2:25" s="78" customFormat="1" ht="26.25" thickBot="1">
      <c r="B27" s="76">
        <v>20</v>
      </c>
      <c r="C27" s="76"/>
      <c r="D27" s="85"/>
      <c r="E27" s="89">
        <f t="shared" si="2"/>
        <v>0</v>
      </c>
      <c r="G27" s="76">
        <v>20</v>
      </c>
      <c r="H27" s="76"/>
      <c r="I27" s="85"/>
      <c r="J27" s="89">
        <f t="shared" si="1"/>
        <v>0</v>
      </c>
      <c r="K27" s="79"/>
      <c r="L27" s="76">
        <v>20</v>
      </c>
      <c r="M27" s="76"/>
      <c r="N27" s="85"/>
      <c r="O27" s="89">
        <f t="shared" si="0"/>
        <v>0</v>
      </c>
      <c r="P27" s="387"/>
      <c r="Q27" s="2480" t="s">
        <v>175</v>
      </c>
      <c r="R27" s="2480"/>
      <c r="S27" s="385">
        <f>+'RES-EN'!S54+'ENV. PLACAS'!AE54</f>
        <v>0</v>
      </c>
    </row>
    <row r="28" spans="2:25" s="78" customFormat="1" ht="26.25" thickBot="1">
      <c r="B28" s="86" t="s">
        <v>3</v>
      </c>
      <c r="C28" s="1153">
        <f>SUM(C8:C27)</f>
        <v>0</v>
      </c>
      <c r="D28" s="85"/>
      <c r="E28" s="95">
        <f>SUM(E8:E19)</f>
        <v>0</v>
      </c>
      <c r="F28" s="79"/>
      <c r="G28" s="86" t="s">
        <v>3</v>
      </c>
      <c r="H28" s="1153">
        <f>SUM(H8:H27)</f>
        <v>0</v>
      </c>
      <c r="I28" s="85"/>
      <c r="J28" s="95">
        <f>SUM(J8:J19)</f>
        <v>0</v>
      </c>
      <c r="K28" s="79"/>
      <c r="L28" s="86" t="s">
        <v>3</v>
      </c>
      <c r="M28" s="1153">
        <f>SUM(M8:M27)</f>
        <v>0</v>
      </c>
      <c r="N28" s="85"/>
      <c r="O28" s="95">
        <f>SUM(O8:O19)</f>
        <v>0</v>
      </c>
      <c r="P28" s="394"/>
      <c r="Q28" s="2480" t="s">
        <v>176</v>
      </c>
      <c r="R28" s="2480"/>
      <c r="S28" s="395">
        <f>+C28+H28+M28+C52+H52+M52+C128+H128+M128+C152+H152+M152+C77+C176+H176+M77+H77+M176+C201+C101+H101+H201</f>
        <v>0</v>
      </c>
      <c r="T28" s="2451" t="s">
        <v>713</v>
      </c>
      <c r="U28" s="2452"/>
      <c r="V28" s="2452"/>
      <c r="W28" s="2452"/>
      <c r="X28" s="2452"/>
      <c r="Y28" s="2452"/>
    </row>
    <row r="29" spans="2:25" s="78" customFormat="1" ht="15.75">
      <c r="H29" s="79"/>
      <c r="I29" s="79"/>
      <c r="J29" s="79"/>
      <c r="K29" s="79"/>
      <c r="L29" s="79"/>
      <c r="M29" s="79"/>
      <c r="N29" s="79"/>
      <c r="O29" s="80"/>
      <c r="P29" s="80"/>
      <c r="Q29" s="80"/>
      <c r="S29" s="126"/>
    </row>
    <row r="30" spans="2:25" s="78" customFormat="1" ht="15.75">
      <c r="B30" s="2297" t="str">
        <f>+'T1'!E65</f>
        <v>CHERLITA</v>
      </c>
      <c r="C30" s="2297"/>
      <c r="D30" s="2297"/>
      <c r="E30" s="2297"/>
      <c r="G30" s="2297" t="str">
        <f>+'T1'!E66</f>
        <v>CHARLY</v>
      </c>
      <c r="H30" s="2297"/>
      <c r="I30" s="2297"/>
      <c r="J30" s="2297"/>
      <c r="K30" s="79"/>
      <c r="L30" s="2297" t="str">
        <f>+'T1'!E67</f>
        <v>POLANCO</v>
      </c>
      <c r="M30" s="2297"/>
      <c r="N30" s="2297"/>
      <c r="O30" s="2297"/>
      <c r="P30" s="94"/>
      <c r="Q30" s="80"/>
    </row>
    <row r="31" spans="2:25" s="78" customFormat="1" ht="15.75">
      <c r="B31" s="93" t="s">
        <v>134</v>
      </c>
      <c r="C31" s="93" t="s">
        <v>9</v>
      </c>
      <c r="D31" s="93" t="s">
        <v>149</v>
      </c>
      <c r="E31" s="93" t="s">
        <v>146</v>
      </c>
      <c r="G31" s="93" t="s">
        <v>134</v>
      </c>
      <c r="H31" s="93" t="s">
        <v>9</v>
      </c>
      <c r="I31" s="93" t="s">
        <v>149</v>
      </c>
      <c r="J31" s="93" t="s">
        <v>146</v>
      </c>
      <c r="K31" s="81"/>
      <c r="L31" s="93" t="s">
        <v>134</v>
      </c>
      <c r="M31" s="93" t="s">
        <v>9</v>
      </c>
      <c r="N31" s="93" t="s">
        <v>149</v>
      </c>
      <c r="O31" s="93" t="s">
        <v>146</v>
      </c>
      <c r="P31" s="94"/>
      <c r="R31" s="130" t="s">
        <v>177</v>
      </c>
      <c r="S31" s="129" t="str">
        <f>+'RES-EN'!R57</f>
        <v/>
      </c>
      <c r="T31" s="78" t="s">
        <v>431</v>
      </c>
      <c r="V31" s="126"/>
    </row>
    <row r="32" spans="2:25" s="78" customFormat="1" ht="16.5" thickBot="1">
      <c r="B32" s="2446" t="s">
        <v>675</v>
      </c>
      <c r="C32" s="2448">
        <f>+'T1'!H65</f>
        <v>0</v>
      </c>
      <c r="D32" s="2446"/>
      <c r="E32" s="89">
        <f>+C32*D32/1000</f>
        <v>0</v>
      </c>
      <c r="G32" s="2446" t="s">
        <v>675</v>
      </c>
      <c r="H32" s="2448">
        <f>+'T1'!H66</f>
        <v>0</v>
      </c>
      <c r="I32" s="2446"/>
      <c r="J32" s="89">
        <f>+H32*I32/1000</f>
        <v>0</v>
      </c>
      <c r="K32" s="81"/>
      <c r="L32" s="2446" t="s">
        <v>675</v>
      </c>
      <c r="M32" s="2448">
        <f>+'T1'!F67</f>
        <v>0</v>
      </c>
      <c r="N32" s="2446"/>
      <c r="O32" s="89">
        <f>+M32*N32/1000</f>
        <v>0</v>
      </c>
      <c r="P32" s="386"/>
      <c r="R32" s="130" t="s">
        <v>177</v>
      </c>
      <c r="S32" s="129" t="str">
        <f>+'ENV. PLACAS'!AF56</f>
        <v/>
      </c>
      <c r="T32" s="78" t="s">
        <v>430</v>
      </c>
    </row>
    <row r="33" spans="2:24" s="78" customFormat="1" ht="16.5" thickBot="1">
      <c r="B33" s="2447"/>
      <c r="C33" s="2447"/>
      <c r="D33" s="2447"/>
      <c r="E33" s="89">
        <f t="shared" ref="E33:E51" si="3">+C33*D33/1000</f>
        <v>0</v>
      </c>
      <c r="F33" s="82"/>
      <c r="G33" s="2447"/>
      <c r="H33" s="2447"/>
      <c r="I33" s="2447"/>
      <c r="J33" s="89">
        <f>+H33*I33/1000</f>
        <v>0</v>
      </c>
      <c r="K33" s="81"/>
      <c r="L33" s="2447"/>
      <c r="M33" s="2447"/>
      <c r="N33" s="2447"/>
      <c r="O33" s="89">
        <f t="shared" ref="O33:O51" si="4">+M33*N33/1000</f>
        <v>0</v>
      </c>
      <c r="P33" s="386"/>
      <c r="R33" s="130" t="s">
        <v>177</v>
      </c>
      <c r="S33" s="331">
        <f>SUM(S31:S32)</f>
        <v>0</v>
      </c>
    </row>
    <row r="34" spans="2:24" s="78" customFormat="1" ht="15.75">
      <c r="B34" s="2446" t="s">
        <v>676</v>
      </c>
      <c r="C34" s="2448">
        <f>+'T2'!K65</f>
        <v>0</v>
      </c>
      <c r="D34" s="2446"/>
      <c r="E34" s="89">
        <f t="shared" si="3"/>
        <v>0</v>
      </c>
      <c r="F34" s="80"/>
      <c r="G34" s="2446" t="s">
        <v>676</v>
      </c>
      <c r="H34" s="2448">
        <f>+'T2'!K66</f>
        <v>0</v>
      </c>
      <c r="I34" s="2446"/>
      <c r="J34" s="89">
        <f>+H34*I34/1000</f>
        <v>0</v>
      </c>
      <c r="K34" s="81"/>
      <c r="L34" s="2446" t="s">
        <v>676</v>
      </c>
      <c r="M34" s="2448">
        <f>+'T2'!K67</f>
        <v>0</v>
      </c>
      <c r="N34" s="2446"/>
      <c r="O34" s="89">
        <f t="shared" si="4"/>
        <v>0</v>
      </c>
      <c r="P34" s="386"/>
    </row>
    <row r="35" spans="2:24" s="78" customFormat="1" ht="15.75">
      <c r="B35" s="2447"/>
      <c r="C35" s="2447"/>
      <c r="D35" s="2447"/>
      <c r="E35" s="89">
        <f t="shared" si="3"/>
        <v>0</v>
      </c>
      <c r="F35" s="80"/>
      <c r="G35" s="2447"/>
      <c r="H35" s="2447"/>
      <c r="I35" s="2447"/>
      <c r="J35" s="89">
        <f>+H35*I35/1000</f>
        <v>0</v>
      </c>
      <c r="K35" s="81"/>
      <c r="L35" s="2447"/>
      <c r="M35" s="2447"/>
      <c r="N35" s="2447"/>
      <c r="O35" s="89">
        <f t="shared" si="4"/>
        <v>0</v>
      </c>
      <c r="P35" s="386"/>
      <c r="R35" s="1256"/>
      <c r="T35" s="126"/>
      <c r="U35" s="1200"/>
    </row>
    <row r="36" spans="2:24" s="78" customFormat="1" ht="15.75">
      <c r="B36" s="2446" t="s">
        <v>677</v>
      </c>
      <c r="C36" s="2448">
        <f>+'T3'!M65</f>
        <v>0</v>
      </c>
      <c r="D36" s="2446"/>
      <c r="E36" s="89">
        <f t="shared" si="3"/>
        <v>0</v>
      </c>
      <c r="F36" s="80"/>
      <c r="G36" s="2446" t="s">
        <v>677</v>
      </c>
      <c r="H36" s="2448">
        <f>+'T3'!M66</f>
        <v>0</v>
      </c>
      <c r="I36" s="2446"/>
      <c r="J36" s="89">
        <f t="shared" ref="J36:J51" si="5">+H36*I36/1000</f>
        <v>0</v>
      </c>
      <c r="K36" s="81"/>
      <c r="L36" s="2446" t="s">
        <v>677</v>
      </c>
      <c r="M36" s="2448">
        <f>+'T3'!M67</f>
        <v>0</v>
      </c>
      <c r="N36" s="2446"/>
      <c r="O36" s="89">
        <f t="shared" si="4"/>
        <v>0</v>
      </c>
      <c r="P36" s="386"/>
      <c r="T36" s="1186"/>
      <c r="U36" s="1186"/>
    </row>
    <row r="37" spans="2:24" s="78" customFormat="1" ht="15.75">
      <c r="B37" s="2447"/>
      <c r="C37" s="2447"/>
      <c r="D37" s="2447"/>
      <c r="E37" s="89">
        <f t="shared" si="3"/>
        <v>0</v>
      </c>
      <c r="G37" s="2447"/>
      <c r="H37" s="2447"/>
      <c r="I37" s="2447"/>
      <c r="J37" s="89">
        <f t="shared" si="5"/>
        <v>0</v>
      </c>
      <c r="K37" s="81"/>
      <c r="L37" s="2447"/>
      <c r="M37" s="2447"/>
      <c r="N37" s="2447"/>
      <c r="O37" s="89">
        <f t="shared" si="4"/>
        <v>0</v>
      </c>
      <c r="P37" s="386"/>
      <c r="R37" s="1200"/>
    </row>
    <row r="38" spans="2:24" s="78" customFormat="1" ht="16.5" thickBot="1">
      <c r="B38" s="2446" t="s">
        <v>678</v>
      </c>
      <c r="C38" s="2448">
        <f>+'T4'!M65</f>
        <v>0</v>
      </c>
      <c r="D38" s="2446"/>
      <c r="E38" s="89">
        <f t="shared" si="3"/>
        <v>0</v>
      </c>
      <c r="G38" s="2446" t="s">
        <v>678</v>
      </c>
      <c r="H38" s="2448">
        <f>+'T4'!M66</f>
        <v>0</v>
      </c>
      <c r="I38" s="2446"/>
      <c r="J38" s="89">
        <f t="shared" si="5"/>
        <v>0</v>
      </c>
      <c r="K38" s="83"/>
      <c r="L38" s="2446" t="s">
        <v>678</v>
      </c>
      <c r="M38" s="2448">
        <f>+'T4'!M67</f>
        <v>0</v>
      </c>
      <c r="N38" s="2446"/>
      <c r="O38" s="89">
        <f t="shared" si="4"/>
        <v>0</v>
      </c>
      <c r="P38" s="386"/>
      <c r="Q38" s="80"/>
    </row>
    <row r="39" spans="2:24" s="78" customFormat="1" ht="19.5" thickBot="1">
      <c r="B39" s="2447"/>
      <c r="C39" s="2447"/>
      <c r="D39" s="2447"/>
      <c r="E39" s="89">
        <f t="shared" si="3"/>
        <v>0</v>
      </c>
      <c r="G39" s="2447"/>
      <c r="H39" s="2447"/>
      <c r="I39" s="2447"/>
      <c r="J39" s="89">
        <f t="shared" si="5"/>
        <v>0</v>
      </c>
      <c r="K39" s="83"/>
      <c r="L39" s="2447"/>
      <c r="M39" s="2447"/>
      <c r="N39" s="2447"/>
      <c r="O39" s="89">
        <f t="shared" si="4"/>
        <v>0</v>
      </c>
      <c r="P39" s="386"/>
      <c r="Q39" s="2481" t="s">
        <v>186</v>
      </c>
      <c r="R39" s="2482"/>
      <c r="S39" s="2483" t="s">
        <v>203</v>
      </c>
      <c r="T39" s="2484"/>
      <c r="U39" s="397" t="s">
        <v>35</v>
      </c>
      <c r="V39" s="1047" t="s">
        <v>3</v>
      </c>
    </row>
    <row r="40" spans="2:24" s="78" customFormat="1" ht="20.25" thickBot="1">
      <c r="B40" s="2449" t="s">
        <v>704</v>
      </c>
      <c r="C40" s="2448">
        <f>+'T1 (2)'!M65</f>
        <v>0</v>
      </c>
      <c r="D40" s="2446"/>
      <c r="E40" s="89">
        <f t="shared" si="3"/>
        <v>0</v>
      </c>
      <c r="F40" s="80"/>
      <c r="G40" s="2449" t="s">
        <v>704</v>
      </c>
      <c r="H40" s="2448">
        <f>+'T1 (2)'!M66</f>
        <v>0</v>
      </c>
      <c r="I40" s="2446"/>
      <c r="J40" s="89">
        <f t="shared" si="5"/>
        <v>0</v>
      </c>
      <c r="K40" s="83"/>
      <c r="L40" s="2449" t="s">
        <v>704</v>
      </c>
      <c r="M40" s="2448">
        <f>+'T1 (2)'!M67</f>
        <v>0</v>
      </c>
      <c r="N40" s="2446"/>
      <c r="O40" s="89">
        <f t="shared" si="4"/>
        <v>0</v>
      </c>
      <c r="P40" s="386"/>
      <c r="Q40" s="2476" t="str">
        <f>+B6</f>
        <v xml:space="preserve">ANDRES </v>
      </c>
      <c r="R40" s="2477"/>
      <c r="S40" s="2485">
        <f>+C28</f>
        <v>0</v>
      </c>
      <c r="T40" s="2486"/>
      <c r="U40" s="396">
        <f>+C128</f>
        <v>0</v>
      </c>
      <c r="V40" s="2169">
        <f t="shared" ref="V40:V45" si="6">+SUM(S40:U40)</f>
        <v>0</v>
      </c>
      <c r="X40" s="2008">
        <f t="shared" ref="X40:X50" si="7">+V40*85/1000</f>
        <v>0</v>
      </c>
    </row>
    <row r="41" spans="2:24" s="78" customFormat="1" ht="20.25" thickBot="1">
      <c r="B41" s="2450"/>
      <c r="C41" s="2447"/>
      <c r="D41" s="2447"/>
      <c r="E41" s="89">
        <f t="shared" si="3"/>
        <v>0</v>
      </c>
      <c r="F41" s="80"/>
      <c r="G41" s="2450"/>
      <c r="H41" s="2447"/>
      <c r="I41" s="2447"/>
      <c r="J41" s="89">
        <f t="shared" si="5"/>
        <v>0</v>
      </c>
      <c r="K41" s="83"/>
      <c r="L41" s="2450"/>
      <c r="M41" s="2447"/>
      <c r="N41" s="2447"/>
      <c r="O41" s="89">
        <f t="shared" si="4"/>
        <v>0</v>
      </c>
      <c r="P41" s="386"/>
      <c r="Q41" s="2476" t="str">
        <f>+G6</f>
        <v xml:space="preserve">FLOR </v>
      </c>
      <c r="R41" s="2477"/>
      <c r="S41" s="2485">
        <f>+H28</f>
        <v>0</v>
      </c>
      <c r="T41" s="2486"/>
      <c r="U41" s="396">
        <f>+H128</f>
        <v>0</v>
      </c>
      <c r="V41" s="2169">
        <f>+SUM(S41:U41)</f>
        <v>0</v>
      </c>
      <c r="X41" s="2008">
        <f t="shared" si="7"/>
        <v>0</v>
      </c>
    </row>
    <row r="42" spans="2:24" s="78" customFormat="1" ht="20.25" thickBot="1">
      <c r="B42" s="2446" t="s">
        <v>127</v>
      </c>
      <c r="C42" s="2448">
        <f>+'T5'!M65</f>
        <v>0</v>
      </c>
      <c r="D42" s="2446"/>
      <c r="E42" s="89">
        <f t="shared" si="3"/>
        <v>0</v>
      </c>
      <c r="F42" s="80"/>
      <c r="G42" s="2446" t="s">
        <v>127</v>
      </c>
      <c r="H42" s="2448">
        <f>+'T5'!M66</f>
        <v>0</v>
      </c>
      <c r="I42" s="2446"/>
      <c r="J42" s="89">
        <f t="shared" si="5"/>
        <v>0</v>
      </c>
      <c r="K42" s="83"/>
      <c r="L42" s="2446" t="s">
        <v>127</v>
      </c>
      <c r="M42" s="2448">
        <f>+'T5'!M67</f>
        <v>0</v>
      </c>
      <c r="N42" s="2446"/>
      <c r="O42" s="89">
        <f t="shared" si="4"/>
        <v>0</v>
      </c>
      <c r="P42" s="386"/>
      <c r="Q42" s="2466" t="str">
        <f>+L6</f>
        <v>HANNOY</v>
      </c>
      <c r="R42" s="2467"/>
      <c r="S42" s="2464">
        <f>+M28</f>
        <v>0</v>
      </c>
      <c r="T42" s="2465"/>
      <c r="U42" s="2065">
        <f>+M128</f>
        <v>0</v>
      </c>
      <c r="V42" s="2066">
        <f t="shared" si="6"/>
        <v>0</v>
      </c>
      <c r="X42" s="2008">
        <f t="shared" si="7"/>
        <v>0</v>
      </c>
    </row>
    <row r="43" spans="2:24" s="78" customFormat="1" ht="20.25" thickBot="1">
      <c r="B43" s="2447"/>
      <c r="C43" s="2447"/>
      <c r="D43" s="2447"/>
      <c r="E43" s="89">
        <f t="shared" si="3"/>
        <v>0</v>
      </c>
      <c r="F43" s="80"/>
      <c r="G43" s="2447"/>
      <c r="H43" s="2447"/>
      <c r="I43" s="2447"/>
      <c r="J43" s="89">
        <f t="shared" si="5"/>
        <v>0</v>
      </c>
      <c r="K43" s="83"/>
      <c r="L43" s="2447"/>
      <c r="M43" s="2447"/>
      <c r="N43" s="2447"/>
      <c r="O43" s="89">
        <f t="shared" si="4"/>
        <v>0</v>
      </c>
      <c r="P43" s="386"/>
      <c r="Q43" s="2478" t="str">
        <f>+B30</f>
        <v>CHERLITA</v>
      </c>
      <c r="R43" s="2479"/>
      <c r="S43" s="2464">
        <f>+C52</f>
        <v>0</v>
      </c>
      <c r="T43" s="2465"/>
      <c r="U43" s="2065">
        <f>+C152</f>
        <v>0</v>
      </c>
      <c r="V43" s="2066">
        <f t="shared" si="6"/>
        <v>0</v>
      </c>
      <c r="X43" s="2008">
        <f>+V43*85/1000</f>
        <v>0</v>
      </c>
    </row>
    <row r="44" spans="2:24" s="78" customFormat="1" ht="20.25" thickBot="1">
      <c r="B44" s="2446" t="s">
        <v>128</v>
      </c>
      <c r="C44" s="2448">
        <f>+'T6'!L65</f>
        <v>0</v>
      </c>
      <c r="D44" s="2446"/>
      <c r="E44" s="89">
        <f t="shared" si="3"/>
        <v>0</v>
      </c>
      <c r="F44" s="80"/>
      <c r="G44" s="2446" t="s">
        <v>128</v>
      </c>
      <c r="H44" s="2448">
        <f>+'T6'!L66</f>
        <v>0</v>
      </c>
      <c r="I44" s="2446"/>
      <c r="J44" s="89">
        <f t="shared" si="5"/>
        <v>0</v>
      </c>
      <c r="K44" s="83"/>
      <c r="L44" s="2446" t="s">
        <v>128</v>
      </c>
      <c r="M44" s="2448">
        <f>+'T6'!L67</f>
        <v>0</v>
      </c>
      <c r="N44" s="2446"/>
      <c r="O44" s="89">
        <f t="shared" si="4"/>
        <v>0</v>
      </c>
      <c r="P44" s="386"/>
      <c r="Q44" s="2466" t="str">
        <f>+G30</f>
        <v>CHARLY</v>
      </c>
      <c r="R44" s="2467"/>
      <c r="S44" s="2464">
        <f>+H52</f>
        <v>0</v>
      </c>
      <c r="T44" s="2465"/>
      <c r="U44" s="2066">
        <f>+H152</f>
        <v>0</v>
      </c>
      <c r="V44" s="2066">
        <f t="shared" si="6"/>
        <v>0</v>
      </c>
      <c r="X44" s="2008">
        <f>+V44*85/1000</f>
        <v>0</v>
      </c>
    </row>
    <row r="45" spans="2:24" s="78" customFormat="1" ht="20.25" thickBot="1">
      <c r="B45" s="2447"/>
      <c r="C45" s="2447"/>
      <c r="D45" s="2447"/>
      <c r="E45" s="89">
        <f t="shared" si="3"/>
        <v>0</v>
      </c>
      <c r="F45" s="80"/>
      <c r="G45" s="2447"/>
      <c r="H45" s="2447"/>
      <c r="I45" s="2447"/>
      <c r="J45" s="89">
        <f t="shared" si="5"/>
        <v>0</v>
      </c>
      <c r="K45" s="83"/>
      <c r="L45" s="2447"/>
      <c r="M45" s="2447"/>
      <c r="N45" s="2447"/>
      <c r="O45" s="89">
        <f t="shared" si="4"/>
        <v>0</v>
      </c>
      <c r="P45" s="386"/>
      <c r="Q45" s="2466" t="str">
        <f>+L30</f>
        <v>POLANCO</v>
      </c>
      <c r="R45" s="2467"/>
      <c r="S45" s="2464">
        <f>+M52</f>
        <v>0</v>
      </c>
      <c r="T45" s="2465"/>
      <c r="U45" s="2066">
        <f>+M152</f>
        <v>0</v>
      </c>
      <c r="V45" s="2066">
        <f t="shared" si="6"/>
        <v>0</v>
      </c>
      <c r="X45" s="2008">
        <f t="shared" si="7"/>
        <v>0</v>
      </c>
    </row>
    <row r="46" spans="2:24" s="78" customFormat="1" ht="20.25" thickBot="1">
      <c r="B46" s="76">
        <v>15</v>
      </c>
      <c r="C46" s="76"/>
      <c r="D46" s="85"/>
      <c r="E46" s="89">
        <f t="shared" si="3"/>
        <v>0</v>
      </c>
      <c r="F46" s="80"/>
      <c r="G46" s="76">
        <v>15</v>
      </c>
      <c r="H46" s="76"/>
      <c r="I46" s="85"/>
      <c r="J46" s="89">
        <f t="shared" si="5"/>
        <v>0</v>
      </c>
      <c r="K46" s="83"/>
      <c r="L46" s="76">
        <v>15</v>
      </c>
      <c r="M46" s="76"/>
      <c r="N46" s="85"/>
      <c r="O46" s="89">
        <f t="shared" si="4"/>
        <v>0</v>
      </c>
      <c r="P46" s="386"/>
      <c r="Q46" s="2462" t="str">
        <f>+B55</f>
        <v>ELIANA</v>
      </c>
      <c r="R46" s="2463"/>
      <c r="S46" s="2459">
        <f>+C77</f>
        <v>0</v>
      </c>
      <c r="T46" s="2460"/>
      <c r="U46" s="2170">
        <f>+C176</f>
        <v>0</v>
      </c>
      <c r="V46" s="2170">
        <f>+SUM(S46:U46)</f>
        <v>0</v>
      </c>
      <c r="X46" s="2008">
        <f t="shared" si="7"/>
        <v>0</v>
      </c>
    </row>
    <row r="47" spans="2:24" s="78" customFormat="1" ht="20.25" thickBot="1">
      <c r="B47" s="76">
        <v>16</v>
      </c>
      <c r="C47" s="76"/>
      <c r="D47" s="85"/>
      <c r="E47" s="89">
        <f t="shared" si="3"/>
        <v>0</v>
      </c>
      <c r="F47" s="80"/>
      <c r="G47" s="76">
        <v>16</v>
      </c>
      <c r="H47" s="76"/>
      <c r="I47" s="85"/>
      <c r="J47" s="89">
        <f t="shared" si="5"/>
        <v>0</v>
      </c>
      <c r="K47" s="83"/>
      <c r="L47" s="76">
        <v>16</v>
      </c>
      <c r="M47" s="76"/>
      <c r="N47" s="85"/>
      <c r="O47" s="89">
        <f t="shared" si="4"/>
        <v>0</v>
      </c>
      <c r="P47" s="386"/>
      <c r="Q47" s="2462" t="str">
        <f>+G55</f>
        <v>ALENET</v>
      </c>
      <c r="R47" s="2463"/>
      <c r="S47" s="2459">
        <f>+H77</f>
        <v>0</v>
      </c>
      <c r="T47" s="2460"/>
      <c r="U47" s="2170">
        <f>+H176</f>
        <v>0</v>
      </c>
      <c r="V47" s="2170">
        <f>+SUM(S47:U47)</f>
        <v>0</v>
      </c>
      <c r="X47" s="2008">
        <f t="shared" si="7"/>
        <v>0</v>
      </c>
    </row>
    <row r="48" spans="2:24" s="78" customFormat="1" ht="20.25" thickBot="1">
      <c r="B48" s="76">
        <v>17</v>
      </c>
      <c r="C48" s="76"/>
      <c r="D48" s="85"/>
      <c r="E48" s="89">
        <f t="shared" si="3"/>
        <v>0</v>
      </c>
      <c r="F48" s="80"/>
      <c r="G48" s="76">
        <v>17</v>
      </c>
      <c r="H48" s="76"/>
      <c r="I48" s="85"/>
      <c r="J48" s="89">
        <f t="shared" si="5"/>
        <v>0</v>
      </c>
      <c r="K48" s="83"/>
      <c r="L48" s="76">
        <v>17</v>
      </c>
      <c r="M48" s="76"/>
      <c r="N48" s="85"/>
      <c r="O48" s="89">
        <f t="shared" si="4"/>
        <v>0</v>
      </c>
      <c r="P48" s="386"/>
      <c r="Q48" s="2462" t="str">
        <f>+L55</f>
        <v>ERIKA</v>
      </c>
      <c r="R48" s="2463"/>
      <c r="S48" s="2459">
        <f>+M77</f>
        <v>0</v>
      </c>
      <c r="T48" s="2460"/>
      <c r="U48" s="2170">
        <f>+M176</f>
        <v>0</v>
      </c>
      <c r="V48" s="2170">
        <f>+SUM(S48:U48)</f>
        <v>0</v>
      </c>
      <c r="X48" s="2008">
        <f t="shared" si="7"/>
        <v>0</v>
      </c>
    </row>
    <row r="49" spans="2:26" s="78" customFormat="1" ht="20.25" thickBot="1">
      <c r="B49" s="76">
        <v>18</v>
      </c>
      <c r="C49" s="76"/>
      <c r="D49" s="85"/>
      <c r="E49" s="89">
        <f t="shared" si="3"/>
        <v>0</v>
      </c>
      <c r="F49" s="80"/>
      <c r="G49" s="76">
        <v>18</v>
      </c>
      <c r="H49" s="76"/>
      <c r="I49" s="85"/>
      <c r="J49" s="89">
        <f t="shared" si="5"/>
        <v>0</v>
      </c>
      <c r="K49" s="83"/>
      <c r="L49" s="76">
        <v>18</v>
      </c>
      <c r="M49" s="76"/>
      <c r="N49" s="85"/>
      <c r="O49" s="89">
        <f t="shared" si="4"/>
        <v>0</v>
      </c>
      <c r="P49" s="386"/>
      <c r="Q49" s="2472" t="str">
        <f>+B79</f>
        <v>MARILU</v>
      </c>
      <c r="R49" s="2473"/>
      <c r="S49" s="2474">
        <f>+C101</f>
        <v>0</v>
      </c>
      <c r="T49" s="2475"/>
      <c r="U49" s="2166">
        <f>+C201</f>
        <v>0</v>
      </c>
      <c r="V49" s="2166">
        <f>+SUM(S49:U49)</f>
        <v>0</v>
      </c>
      <c r="X49" s="2008">
        <f t="shared" si="7"/>
        <v>0</v>
      </c>
    </row>
    <row r="50" spans="2:26" s="78" customFormat="1" ht="20.25" thickBot="1">
      <c r="B50" s="76">
        <v>19</v>
      </c>
      <c r="C50" s="76"/>
      <c r="D50" s="85"/>
      <c r="E50" s="89">
        <f t="shared" si="3"/>
        <v>0</v>
      </c>
      <c r="F50" s="80"/>
      <c r="G50" s="76">
        <v>19</v>
      </c>
      <c r="H50" s="76"/>
      <c r="I50" s="85"/>
      <c r="J50" s="89">
        <f t="shared" si="5"/>
        <v>0</v>
      </c>
      <c r="K50" s="83"/>
      <c r="L50" s="76">
        <v>19</v>
      </c>
      <c r="M50" s="76"/>
      <c r="N50" s="85"/>
      <c r="O50" s="89">
        <f t="shared" si="4"/>
        <v>0</v>
      </c>
      <c r="P50" s="386"/>
      <c r="Q50" s="2468" t="str">
        <f>+G79</f>
        <v>WALLDO</v>
      </c>
      <c r="R50" s="2469"/>
      <c r="S50" s="2470">
        <f>+H101</f>
        <v>0</v>
      </c>
      <c r="T50" s="2471"/>
      <c r="U50" s="2165">
        <f>+H201</f>
        <v>0</v>
      </c>
      <c r="V50" s="2166">
        <f>+SUM(S50:U50)</f>
        <v>0</v>
      </c>
      <c r="X50" s="2008">
        <f t="shared" si="7"/>
        <v>0</v>
      </c>
    </row>
    <row r="51" spans="2:26" s="78" customFormat="1" ht="20.25" thickBot="1">
      <c r="B51" s="76">
        <v>20</v>
      </c>
      <c r="C51" s="76"/>
      <c r="D51" s="85"/>
      <c r="E51" s="89">
        <f t="shared" si="3"/>
        <v>0</v>
      </c>
      <c r="F51" s="80"/>
      <c r="G51" s="76">
        <v>20</v>
      </c>
      <c r="H51" s="76"/>
      <c r="I51" s="85"/>
      <c r="J51" s="89">
        <f t="shared" si="5"/>
        <v>0</v>
      </c>
      <c r="K51" s="83"/>
      <c r="L51" s="76">
        <v>20</v>
      </c>
      <c r="M51" s="76"/>
      <c r="N51" s="85"/>
      <c r="O51" s="89">
        <f t="shared" si="4"/>
        <v>0</v>
      </c>
      <c r="P51" s="386"/>
      <c r="Q51" s="1263" t="s">
        <v>3</v>
      </c>
      <c r="R51" s="1264"/>
      <c r="S51" s="1264"/>
      <c r="T51" s="1265"/>
      <c r="U51" s="396">
        <f>+SUM(V40:V50)</f>
        <v>0</v>
      </c>
      <c r="V51" s="1262"/>
      <c r="X51" s="1630"/>
    </row>
    <row r="52" spans="2:26" s="78" customFormat="1" ht="15.75">
      <c r="B52" s="86" t="s">
        <v>3</v>
      </c>
      <c r="C52" s="1153">
        <f>SUM(C32:C51)</f>
        <v>0</v>
      </c>
      <c r="D52" s="85"/>
      <c r="E52" s="1152">
        <f>SUM(E32:E51)</f>
        <v>0</v>
      </c>
      <c r="F52" s="80"/>
      <c r="G52" s="86" t="s">
        <v>3</v>
      </c>
      <c r="H52" s="1153">
        <f>SUM(H32:H51)</f>
        <v>0</v>
      </c>
      <c r="I52" s="85"/>
      <c r="J52" s="1152">
        <f>SUM(J32:J51)</f>
        <v>0</v>
      </c>
      <c r="K52" s="83"/>
      <c r="L52" s="86" t="s">
        <v>3</v>
      </c>
      <c r="M52" s="1153">
        <f>SUM(M32:M51)</f>
        <v>0</v>
      </c>
      <c r="N52" s="85"/>
      <c r="O52" s="1152">
        <f>SUM(O32:O51)</f>
        <v>0</v>
      </c>
      <c r="P52" s="141"/>
      <c r="Q52" s="80"/>
      <c r="X52" s="1630"/>
    </row>
    <row r="53" spans="2:26" s="78" customFormat="1" ht="15.75">
      <c r="B53" s="94"/>
      <c r="E53" s="316"/>
      <c r="F53" s="80"/>
      <c r="G53" s="94"/>
      <c r="J53" s="316"/>
      <c r="K53" s="83"/>
      <c r="L53" s="94"/>
      <c r="O53" s="316"/>
      <c r="P53" s="141"/>
      <c r="Q53" s="80"/>
      <c r="R53" s="2461" t="s">
        <v>583</v>
      </c>
      <c r="S53" s="2461"/>
      <c r="T53" s="2461"/>
      <c r="U53" s="2461"/>
      <c r="V53" s="2461"/>
      <c r="X53" s="1630"/>
    </row>
    <row r="54" spans="2:26" s="78" customFormat="1" ht="15.75">
      <c r="B54" s="94"/>
      <c r="E54" s="316"/>
      <c r="F54" s="80"/>
      <c r="G54" s="94"/>
      <c r="J54" s="316"/>
      <c r="K54" s="83"/>
      <c r="L54" s="94"/>
      <c r="O54" s="316"/>
      <c r="P54" s="141"/>
      <c r="Q54" s="80"/>
      <c r="R54" s="85"/>
      <c r="S54" s="2461" t="s">
        <v>586</v>
      </c>
      <c r="T54" s="2461"/>
      <c r="U54" s="2461" t="s">
        <v>587</v>
      </c>
      <c r="V54" s="2461"/>
      <c r="X54" s="1630"/>
    </row>
    <row r="55" spans="2:26" s="78" customFormat="1" ht="15.75">
      <c r="B55" s="2297" t="str">
        <f>+'T1'!E68</f>
        <v>ELIANA</v>
      </c>
      <c r="C55" s="2297"/>
      <c r="D55" s="2297"/>
      <c r="E55" s="2297"/>
      <c r="F55" s="80"/>
      <c r="G55" s="2297" t="str">
        <f>+'T1'!E69</f>
        <v>ALENET</v>
      </c>
      <c r="H55" s="2297"/>
      <c r="I55" s="2297"/>
      <c r="J55" s="2297"/>
      <c r="K55" s="83"/>
      <c r="L55" s="2297" t="str">
        <f>+'T1'!E70</f>
        <v>ERIKA</v>
      </c>
      <c r="M55" s="2297"/>
      <c r="N55" s="2297"/>
      <c r="O55" s="2297"/>
      <c r="P55" s="141"/>
      <c r="Q55" s="80"/>
      <c r="R55" s="85" t="s">
        <v>585</v>
      </c>
      <c r="S55" s="2457">
        <f>+'ENV. PLACAS'!AE54</f>
        <v>0</v>
      </c>
      <c r="T55" s="2458"/>
      <c r="U55" s="2457">
        <f>+C128+M128+C152+H128+H152+M152+C176+H176+M176+C201+H201</f>
        <v>0</v>
      </c>
      <c r="V55" s="2458"/>
      <c r="X55" s="1630"/>
    </row>
    <row r="56" spans="2:26" s="78" customFormat="1" ht="15.75">
      <c r="B56" s="93" t="s">
        <v>134</v>
      </c>
      <c r="C56" s="93" t="s">
        <v>9</v>
      </c>
      <c r="D56" s="93" t="s">
        <v>149</v>
      </c>
      <c r="E56" s="93" t="s">
        <v>146</v>
      </c>
      <c r="F56" s="80"/>
      <c r="G56" s="93" t="s">
        <v>134</v>
      </c>
      <c r="H56" s="93" t="s">
        <v>9</v>
      </c>
      <c r="I56" s="93" t="s">
        <v>149</v>
      </c>
      <c r="J56" s="93" t="s">
        <v>146</v>
      </c>
      <c r="K56" s="83"/>
      <c r="L56" s="93" t="s">
        <v>134</v>
      </c>
      <c r="M56" s="93" t="s">
        <v>9</v>
      </c>
      <c r="N56" s="93" t="s">
        <v>149</v>
      </c>
      <c r="O56" s="93" t="s">
        <v>146</v>
      </c>
      <c r="P56" s="141"/>
      <c r="Q56" s="80"/>
      <c r="R56" s="85" t="s">
        <v>584</v>
      </c>
      <c r="S56" s="2457">
        <f>+'RES-EN'!S54</f>
        <v>0</v>
      </c>
      <c r="T56" s="2458"/>
      <c r="U56" s="2457">
        <f>+C28+H28+M28+C52+H52+M52+C77+H77+M77+C101+H101</f>
        <v>0</v>
      </c>
      <c r="V56" s="2458"/>
    </row>
    <row r="57" spans="2:26" s="78" customFormat="1" ht="15.75">
      <c r="B57" s="2446" t="s">
        <v>675</v>
      </c>
      <c r="C57" s="2448">
        <f>+'T1'!F68</f>
        <v>0</v>
      </c>
      <c r="D57" s="2446"/>
      <c r="E57" s="89">
        <f>+C57*D57/1000</f>
        <v>0</v>
      </c>
      <c r="F57" s="80"/>
      <c r="G57" s="2446" t="s">
        <v>675</v>
      </c>
      <c r="H57" s="2448">
        <f>+'T1'!F69</f>
        <v>0</v>
      </c>
      <c r="I57" s="2446"/>
      <c r="J57" s="89">
        <f>+H57*I57/1000</f>
        <v>0</v>
      </c>
      <c r="K57" s="83"/>
      <c r="L57" s="2446" t="s">
        <v>675</v>
      </c>
      <c r="M57" s="2448">
        <f>+'T1'!F70</f>
        <v>0</v>
      </c>
      <c r="N57" s="2446"/>
      <c r="O57" s="89">
        <f>+M57*N57/1000</f>
        <v>0</v>
      </c>
      <c r="P57" s="141"/>
      <c r="X57" s="1630"/>
    </row>
    <row r="58" spans="2:26" s="78" customFormat="1" ht="15.75">
      <c r="B58" s="2447"/>
      <c r="C58" s="2447"/>
      <c r="D58" s="2447"/>
      <c r="E58" s="89">
        <f t="shared" ref="E58:E76" si="8">+C58*D58/1000</f>
        <v>0</v>
      </c>
      <c r="F58" s="80"/>
      <c r="G58" s="2447"/>
      <c r="H58" s="2447"/>
      <c r="I58" s="2447"/>
      <c r="J58" s="89">
        <f t="shared" ref="J58:J76" si="9">+H58*I58/1000</f>
        <v>0</v>
      </c>
      <c r="K58" s="83"/>
      <c r="L58" s="2447"/>
      <c r="M58" s="2447"/>
      <c r="N58" s="2447"/>
      <c r="O58" s="89">
        <f t="shared" ref="O58:O76" si="10">+M58*N58/1000</f>
        <v>0</v>
      </c>
      <c r="P58" s="141"/>
      <c r="Q58" s="80"/>
      <c r="R58" s="1630"/>
      <c r="S58" s="2044"/>
      <c r="T58" s="2044"/>
      <c r="U58" s="2045"/>
      <c r="V58" s="1186"/>
      <c r="W58" s="1186"/>
      <c r="X58" s="1186"/>
      <c r="Y58" s="1186"/>
      <c r="Z58" s="1186"/>
    </row>
    <row r="59" spans="2:26" s="78" customFormat="1" ht="15.75">
      <c r="B59" s="2446" t="s">
        <v>676</v>
      </c>
      <c r="C59" s="2448">
        <f>+'T2'!K68</f>
        <v>0</v>
      </c>
      <c r="D59" s="2446"/>
      <c r="E59" s="89">
        <f t="shared" si="8"/>
        <v>0</v>
      </c>
      <c r="F59" s="80"/>
      <c r="G59" s="2446" t="s">
        <v>676</v>
      </c>
      <c r="H59" s="2448">
        <f>+'T2'!K69</f>
        <v>0</v>
      </c>
      <c r="I59" s="2446"/>
      <c r="J59" s="89">
        <f t="shared" si="9"/>
        <v>0</v>
      </c>
      <c r="K59" s="83"/>
      <c r="L59" s="2446" t="s">
        <v>676</v>
      </c>
      <c r="M59" s="2448">
        <f>+'T2'!K70</f>
        <v>0</v>
      </c>
      <c r="N59" s="2446"/>
      <c r="O59" s="89">
        <f t="shared" si="10"/>
        <v>0</v>
      </c>
      <c r="P59" s="141"/>
      <c r="Q59" s="80"/>
      <c r="R59"/>
      <c r="S59" s="2044"/>
      <c r="T59" s="2044"/>
      <c r="U59" s="2045"/>
      <c r="V59" s="1992"/>
      <c r="W59" s="1186"/>
      <c r="X59" s="1186"/>
      <c r="Y59" s="1186"/>
      <c r="Z59" s="1186"/>
    </row>
    <row r="60" spans="2:26" s="78" customFormat="1" ht="15.75">
      <c r="B60" s="2447"/>
      <c r="C60" s="2447"/>
      <c r="D60" s="2447"/>
      <c r="E60" s="89">
        <f t="shared" si="8"/>
        <v>0</v>
      </c>
      <c r="F60" s="80"/>
      <c r="G60" s="2447"/>
      <c r="H60" s="2447"/>
      <c r="I60" s="2447"/>
      <c r="J60" s="89">
        <f t="shared" si="9"/>
        <v>0</v>
      </c>
      <c r="K60" s="83"/>
      <c r="L60" s="2447"/>
      <c r="M60" s="2447"/>
      <c r="N60" s="2447"/>
      <c r="O60" s="89">
        <f t="shared" si="10"/>
        <v>0</v>
      </c>
      <c r="P60" s="141"/>
      <c r="Q60" s="80"/>
      <c r="R60" s="2111"/>
      <c r="S60" s="2044"/>
      <c r="T60" s="2044"/>
      <c r="U60" s="2045"/>
      <c r="V60" s="1186"/>
      <c r="W60" s="1186"/>
      <c r="X60" s="1186"/>
      <c r="Y60" s="1186"/>
      <c r="Z60" s="1186"/>
    </row>
    <row r="61" spans="2:26" s="78" customFormat="1" ht="15.75">
      <c r="B61" s="2446" t="s">
        <v>677</v>
      </c>
      <c r="C61" s="2448">
        <f>+'T3'!M68</f>
        <v>0</v>
      </c>
      <c r="D61" s="2446"/>
      <c r="E61" s="89">
        <f t="shared" si="8"/>
        <v>0</v>
      </c>
      <c r="F61" s="80"/>
      <c r="G61" s="2446" t="s">
        <v>677</v>
      </c>
      <c r="H61" s="2448">
        <f>+'T3'!M69</f>
        <v>0</v>
      </c>
      <c r="I61" s="2446"/>
      <c r="J61" s="89">
        <f t="shared" si="9"/>
        <v>0</v>
      </c>
      <c r="K61" s="83"/>
      <c r="L61" s="2446" t="s">
        <v>677</v>
      </c>
      <c r="M61" s="2448">
        <f>+'T3'!M70</f>
        <v>0</v>
      </c>
      <c r="N61" s="2446"/>
      <c r="O61" s="89">
        <f t="shared" si="10"/>
        <v>0</v>
      </c>
      <c r="P61" s="141"/>
      <c r="Q61" s="1142"/>
      <c r="R61"/>
      <c r="S61" s="2044"/>
      <c r="T61" s="2044"/>
      <c r="U61" s="2045"/>
      <c r="V61" s="1186"/>
      <c r="W61" s="1186"/>
      <c r="X61" s="1186"/>
      <c r="Y61" s="1186"/>
      <c r="Z61" s="1186"/>
    </row>
    <row r="62" spans="2:26" s="78" customFormat="1" ht="15.75">
      <c r="B62" s="2447"/>
      <c r="C62" s="2447"/>
      <c r="D62" s="2447"/>
      <c r="E62" s="89">
        <f t="shared" si="8"/>
        <v>0</v>
      </c>
      <c r="F62" s="80"/>
      <c r="G62" s="2447"/>
      <c r="H62" s="2447"/>
      <c r="I62" s="2447"/>
      <c r="J62" s="89">
        <f t="shared" si="9"/>
        <v>0</v>
      </c>
      <c r="K62" s="83"/>
      <c r="L62" s="2447"/>
      <c r="M62" s="2447"/>
      <c r="N62" s="2447"/>
      <c r="O62" s="89">
        <f t="shared" si="10"/>
        <v>0</v>
      </c>
      <c r="P62" s="141"/>
      <c r="R62"/>
      <c r="S62" s="2045"/>
      <c r="T62" s="2044"/>
      <c r="U62" s="2045"/>
      <c r="V62" s="1186"/>
      <c r="W62" s="1186"/>
      <c r="X62" s="1186"/>
      <c r="Y62" s="1186"/>
      <c r="Z62" s="1186"/>
    </row>
    <row r="63" spans="2:26" s="78" customFormat="1" ht="15.75">
      <c r="B63" s="2446" t="s">
        <v>678</v>
      </c>
      <c r="C63" s="2448">
        <f>+'T4'!M68</f>
        <v>0</v>
      </c>
      <c r="D63" s="2446"/>
      <c r="E63" s="89">
        <f t="shared" si="8"/>
        <v>0</v>
      </c>
      <c r="F63" s="80"/>
      <c r="G63" s="2446" t="s">
        <v>678</v>
      </c>
      <c r="H63" s="2448">
        <f>+'T4'!M69</f>
        <v>0</v>
      </c>
      <c r="I63" s="2446"/>
      <c r="J63" s="89">
        <f t="shared" si="9"/>
        <v>0</v>
      </c>
      <c r="K63" s="83"/>
      <c r="L63" s="2446" t="s">
        <v>678</v>
      </c>
      <c r="M63" s="2448">
        <f>+'T4'!M70</f>
        <v>0</v>
      </c>
      <c r="N63" s="2446"/>
      <c r="O63" s="89">
        <f t="shared" si="10"/>
        <v>0</v>
      </c>
      <c r="P63" s="141"/>
      <c r="Q63" s="80"/>
      <c r="S63" s="2044"/>
      <c r="T63" s="2044"/>
      <c r="U63" s="2045"/>
      <c r="V63" s="1186"/>
      <c r="W63" s="1186"/>
      <c r="X63" s="1186"/>
      <c r="Y63" s="1186"/>
      <c r="Z63" s="1186"/>
    </row>
    <row r="64" spans="2:26" s="78" customFormat="1" ht="15.75">
      <c r="B64" s="2447"/>
      <c r="C64" s="2447"/>
      <c r="D64" s="2447"/>
      <c r="E64" s="89">
        <f t="shared" si="8"/>
        <v>0</v>
      </c>
      <c r="F64" s="80"/>
      <c r="G64" s="2447"/>
      <c r="H64" s="2447"/>
      <c r="I64" s="2447"/>
      <c r="J64" s="89">
        <f t="shared" si="9"/>
        <v>0</v>
      </c>
      <c r="K64" s="83"/>
      <c r="L64" s="2447"/>
      <c r="M64" s="2447"/>
      <c r="N64" s="2447"/>
      <c r="O64" s="89">
        <f t="shared" si="10"/>
        <v>0</v>
      </c>
      <c r="P64" s="141"/>
      <c r="Q64" s="80"/>
      <c r="R64"/>
      <c r="S64" s="2044"/>
      <c r="T64" s="2044"/>
      <c r="U64" s="2045"/>
      <c r="V64" s="1186"/>
      <c r="W64" s="1186"/>
      <c r="X64" s="1186"/>
      <c r="Y64" s="1186"/>
      <c r="Z64" s="1186"/>
    </row>
    <row r="65" spans="2:26" s="78" customFormat="1" ht="15.75">
      <c r="B65" s="2449" t="s">
        <v>704</v>
      </c>
      <c r="C65" s="2448">
        <f>+'T1 (2)'!M68</f>
        <v>0</v>
      </c>
      <c r="D65" s="2446"/>
      <c r="E65" s="89">
        <f t="shared" si="8"/>
        <v>0</v>
      </c>
      <c r="F65" s="80"/>
      <c r="G65" s="2449" t="s">
        <v>704</v>
      </c>
      <c r="H65" s="2448">
        <f>+'T1 (2)'!M69</f>
        <v>0</v>
      </c>
      <c r="I65" s="2446"/>
      <c r="J65" s="89">
        <f t="shared" si="9"/>
        <v>0</v>
      </c>
      <c r="K65" s="83"/>
      <c r="L65" s="2449" t="s">
        <v>704</v>
      </c>
      <c r="M65" s="2448">
        <f>+'T1 (2)'!M70</f>
        <v>0</v>
      </c>
      <c r="N65" s="2446"/>
      <c r="O65" s="89">
        <f t="shared" si="10"/>
        <v>0</v>
      </c>
      <c r="P65" s="141"/>
      <c r="Q65" s="80"/>
      <c r="R65"/>
      <c r="S65" s="2044"/>
      <c r="T65" s="2044"/>
      <c r="U65" s="2045"/>
      <c r="V65" s="1186"/>
      <c r="W65" s="1186"/>
      <c r="X65" s="1186"/>
      <c r="Y65" s="1186"/>
      <c r="Z65" s="1186"/>
    </row>
    <row r="66" spans="2:26" s="78" customFormat="1" ht="15.75">
      <c r="B66" s="2450"/>
      <c r="C66" s="2447"/>
      <c r="D66" s="2447"/>
      <c r="E66" s="1483"/>
      <c r="F66" s="80"/>
      <c r="G66" s="2450"/>
      <c r="H66" s="2447"/>
      <c r="I66" s="2447"/>
      <c r="J66" s="1483"/>
      <c r="K66" s="83"/>
      <c r="L66" s="2450"/>
      <c r="M66" s="2447"/>
      <c r="N66" s="2447"/>
      <c r="O66" s="1483"/>
      <c r="P66" s="141"/>
      <c r="Q66" s="80"/>
      <c r="R66"/>
      <c r="S66" s="2112"/>
      <c r="T66" s="1215"/>
      <c r="U66" s="1186"/>
      <c r="V66" s="1186"/>
      <c r="W66" s="1186"/>
      <c r="X66" s="1186"/>
      <c r="Y66" s="1186"/>
      <c r="Z66" s="1186"/>
    </row>
    <row r="67" spans="2:26" s="78" customFormat="1" ht="15.75">
      <c r="B67" s="2446" t="s">
        <v>127</v>
      </c>
      <c r="C67" s="2448">
        <f>+'T5'!M68</f>
        <v>0</v>
      </c>
      <c r="D67" s="2446"/>
      <c r="E67" s="89">
        <f t="shared" si="8"/>
        <v>0</v>
      </c>
      <c r="F67" s="80"/>
      <c r="G67" s="2446" t="s">
        <v>127</v>
      </c>
      <c r="H67" s="2448">
        <f>+'T5'!M69</f>
        <v>0</v>
      </c>
      <c r="I67" s="2446"/>
      <c r="J67" s="89">
        <f t="shared" si="9"/>
        <v>0</v>
      </c>
      <c r="K67" s="83"/>
      <c r="L67" s="2446" t="s">
        <v>127</v>
      </c>
      <c r="M67" s="2448">
        <f>+'T5'!M70</f>
        <v>0</v>
      </c>
      <c r="N67" s="2446"/>
      <c r="O67" s="89">
        <f t="shared" si="10"/>
        <v>0</v>
      </c>
      <c r="P67" s="141"/>
      <c r="Q67" s="80"/>
      <c r="R67"/>
      <c r="S67"/>
      <c r="T67"/>
      <c r="U67" s="1186"/>
      <c r="V67" s="1186"/>
      <c r="W67" s="1186"/>
      <c r="X67" s="1186"/>
      <c r="Y67" s="1186"/>
      <c r="Z67" s="1186"/>
    </row>
    <row r="68" spans="2:26" s="78" customFormat="1" ht="15.75">
      <c r="B68" s="2447"/>
      <c r="C68" s="2447"/>
      <c r="D68" s="2447"/>
      <c r="E68" s="89">
        <f t="shared" si="8"/>
        <v>0</v>
      </c>
      <c r="F68" s="80"/>
      <c r="G68" s="2447"/>
      <c r="H68" s="2447"/>
      <c r="I68" s="2447"/>
      <c r="J68" s="89">
        <f t="shared" si="9"/>
        <v>0</v>
      </c>
      <c r="K68" s="83"/>
      <c r="L68" s="2447"/>
      <c r="M68" s="2447"/>
      <c r="N68" s="2447"/>
      <c r="O68" s="89">
        <f t="shared" si="10"/>
        <v>0</v>
      </c>
      <c r="P68" s="141"/>
      <c r="Q68" s="80"/>
      <c r="R68"/>
      <c r="S68"/>
      <c r="T68"/>
    </row>
    <row r="69" spans="2:26" s="78" customFormat="1" ht="15.75">
      <c r="B69" s="2446" t="s">
        <v>128</v>
      </c>
      <c r="C69" s="2448">
        <f>+'T6'!L68</f>
        <v>0</v>
      </c>
      <c r="D69" s="2446"/>
      <c r="E69" s="89">
        <f t="shared" si="8"/>
        <v>0</v>
      </c>
      <c r="F69" s="80"/>
      <c r="G69" s="2446" t="s">
        <v>128</v>
      </c>
      <c r="H69" s="2448">
        <f>+'T6'!L69</f>
        <v>0</v>
      </c>
      <c r="I69" s="2446"/>
      <c r="J69" s="89">
        <f t="shared" si="9"/>
        <v>0</v>
      </c>
      <c r="K69" s="83"/>
      <c r="L69" s="2446" t="s">
        <v>128</v>
      </c>
      <c r="M69" s="2448">
        <f>+'T6'!L70</f>
        <v>0</v>
      </c>
      <c r="N69" s="2446"/>
      <c r="O69" s="89">
        <f t="shared" si="10"/>
        <v>0</v>
      </c>
      <c r="P69" s="141"/>
      <c r="Q69" s="80"/>
      <c r="V69" s="386"/>
    </row>
    <row r="70" spans="2:26" s="78" customFormat="1" ht="15.75">
      <c r="B70" s="2447"/>
      <c r="C70" s="2447"/>
      <c r="D70" s="2447"/>
      <c r="E70" s="89">
        <f t="shared" si="8"/>
        <v>0</v>
      </c>
      <c r="F70" s="80"/>
      <c r="G70" s="2447"/>
      <c r="H70" s="2447"/>
      <c r="I70" s="2447"/>
      <c r="J70" s="89">
        <f t="shared" si="9"/>
        <v>0</v>
      </c>
      <c r="K70" s="83"/>
      <c r="L70" s="2447"/>
      <c r="M70" s="2447"/>
      <c r="N70" s="2447"/>
      <c r="O70" s="89">
        <f t="shared" si="10"/>
        <v>0</v>
      </c>
      <c r="P70" s="141"/>
      <c r="Q70" s="80"/>
    </row>
    <row r="71" spans="2:26" s="78" customFormat="1" ht="19.5">
      <c r="B71" s="76">
        <v>15</v>
      </c>
      <c r="C71" s="76"/>
      <c r="D71" s="85"/>
      <c r="E71" s="89">
        <f t="shared" si="8"/>
        <v>0</v>
      </c>
      <c r="F71" s="80"/>
      <c r="G71" s="76">
        <v>15</v>
      </c>
      <c r="H71" s="76"/>
      <c r="I71" s="85"/>
      <c r="J71" s="89">
        <f t="shared" si="9"/>
        <v>0</v>
      </c>
      <c r="K71" s="83"/>
      <c r="L71" s="76">
        <v>15</v>
      </c>
      <c r="M71" s="76"/>
      <c r="N71" s="85"/>
      <c r="O71" s="89">
        <f t="shared" si="10"/>
        <v>0</v>
      </c>
      <c r="P71" s="141"/>
      <c r="Q71" s="80"/>
      <c r="R71" s="2489"/>
      <c r="S71" s="2489"/>
      <c r="T71" s="2489"/>
      <c r="U71" s="2489"/>
      <c r="V71" s="2489"/>
    </row>
    <row r="72" spans="2:26" s="78" customFormat="1" ht="15.75">
      <c r="B72" s="76">
        <v>16</v>
      </c>
      <c r="C72" s="76"/>
      <c r="D72" s="85"/>
      <c r="E72" s="89">
        <f t="shared" si="8"/>
        <v>0</v>
      </c>
      <c r="F72" s="80"/>
      <c r="G72" s="76">
        <v>16</v>
      </c>
      <c r="H72" s="76"/>
      <c r="I72" s="85"/>
      <c r="J72" s="89">
        <f t="shared" si="9"/>
        <v>0</v>
      </c>
      <c r="K72" s="83"/>
      <c r="L72" s="76">
        <v>16</v>
      </c>
      <c r="M72" s="76"/>
      <c r="N72" s="85"/>
      <c r="O72" s="89">
        <f t="shared" si="10"/>
        <v>0</v>
      </c>
      <c r="P72" s="141"/>
      <c r="Q72" s="80"/>
      <c r="R72" s="81"/>
      <c r="S72" s="81"/>
      <c r="T72" s="81"/>
      <c r="U72" s="81"/>
    </row>
    <row r="73" spans="2:26" s="78" customFormat="1" ht="19.5">
      <c r="B73" s="76">
        <v>17</v>
      </c>
      <c r="C73" s="76"/>
      <c r="D73" s="85"/>
      <c r="E73" s="89">
        <f t="shared" si="8"/>
        <v>0</v>
      </c>
      <c r="F73" s="80"/>
      <c r="G73" s="76">
        <v>17</v>
      </c>
      <c r="H73" s="76"/>
      <c r="I73" s="85"/>
      <c r="J73" s="89">
        <f t="shared" si="9"/>
        <v>0</v>
      </c>
      <c r="K73" s="83"/>
      <c r="L73" s="76">
        <v>17</v>
      </c>
      <c r="M73" s="76"/>
      <c r="N73" s="85"/>
      <c r="O73" s="89">
        <f t="shared" si="10"/>
        <v>0</v>
      </c>
      <c r="P73" s="141"/>
      <c r="Q73" s="80"/>
      <c r="R73" s="2454"/>
      <c r="S73" s="2454"/>
      <c r="T73" s="1490"/>
      <c r="U73" s="1482"/>
      <c r="V73" s="1482"/>
    </row>
    <row r="74" spans="2:26" s="78" customFormat="1" ht="19.5">
      <c r="B74" s="76">
        <v>18</v>
      </c>
      <c r="C74" s="76"/>
      <c r="D74" s="85"/>
      <c r="E74" s="89">
        <f t="shared" si="8"/>
        <v>0</v>
      </c>
      <c r="F74" s="80"/>
      <c r="G74" s="76">
        <v>18</v>
      </c>
      <c r="H74" s="76"/>
      <c r="I74" s="85"/>
      <c r="J74" s="89">
        <f t="shared" si="9"/>
        <v>0</v>
      </c>
      <c r="K74" s="83"/>
      <c r="L74" s="76">
        <v>18</v>
      </c>
      <c r="M74" s="76"/>
      <c r="N74" s="85"/>
      <c r="O74" s="89">
        <f t="shared" si="10"/>
        <v>0</v>
      </c>
      <c r="P74" s="141"/>
      <c r="Q74" s="80"/>
      <c r="R74" s="2454"/>
      <c r="S74" s="2454"/>
      <c r="T74" s="1490"/>
      <c r="U74" s="1482"/>
      <c r="V74" s="1482"/>
    </row>
    <row r="75" spans="2:26" s="78" customFormat="1" ht="19.5">
      <c r="B75" s="76">
        <v>19</v>
      </c>
      <c r="C75" s="76"/>
      <c r="D75" s="85"/>
      <c r="E75" s="89">
        <f t="shared" si="8"/>
        <v>0</v>
      </c>
      <c r="F75" s="80"/>
      <c r="G75" s="76">
        <v>19</v>
      </c>
      <c r="H75" s="76"/>
      <c r="I75" s="85"/>
      <c r="J75" s="89">
        <f t="shared" si="9"/>
        <v>0</v>
      </c>
      <c r="K75" s="83"/>
      <c r="L75" s="76">
        <v>19</v>
      </c>
      <c r="M75" s="76"/>
      <c r="N75" s="85"/>
      <c r="O75" s="89">
        <f t="shared" si="10"/>
        <v>0</v>
      </c>
      <c r="P75" s="141"/>
      <c r="Q75" s="80"/>
      <c r="R75" s="2454"/>
      <c r="S75" s="2454"/>
      <c r="T75" s="1490"/>
      <c r="U75" s="1482"/>
      <c r="V75" s="1482"/>
    </row>
    <row r="76" spans="2:26" s="78" customFormat="1" ht="19.5">
      <c r="B76" s="76">
        <v>20</v>
      </c>
      <c r="C76" s="76"/>
      <c r="D76" s="85"/>
      <c r="E76" s="89">
        <f t="shared" si="8"/>
        <v>0</v>
      </c>
      <c r="F76" s="80"/>
      <c r="G76" s="76">
        <v>20</v>
      </c>
      <c r="H76" s="76"/>
      <c r="I76" s="85"/>
      <c r="J76" s="89">
        <f t="shared" si="9"/>
        <v>0</v>
      </c>
      <c r="K76" s="83"/>
      <c r="L76" s="76">
        <v>20</v>
      </c>
      <c r="M76" s="76"/>
      <c r="N76" s="85"/>
      <c r="O76" s="89">
        <f t="shared" si="10"/>
        <v>0</v>
      </c>
      <c r="P76" s="141"/>
      <c r="Q76" s="80"/>
      <c r="R76" s="2454"/>
      <c r="S76" s="2454"/>
      <c r="T76" s="1490"/>
      <c r="U76" s="1482"/>
      <c r="V76" s="1482"/>
    </row>
    <row r="77" spans="2:26" s="78" customFormat="1" ht="19.5">
      <c r="B77" s="86" t="s">
        <v>3</v>
      </c>
      <c r="C77" s="307">
        <f>SUM(C57:C76)</f>
        <v>0</v>
      </c>
      <c r="D77" s="85"/>
      <c r="E77" s="1152">
        <f>SUM(E57:E76)</f>
        <v>0</v>
      </c>
      <c r="F77" s="80"/>
      <c r="G77" s="86" t="s">
        <v>3</v>
      </c>
      <c r="H77" s="307">
        <f>SUM(H57:H76)</f>
        <v>0</v>
      </c>
      <c r="I77" s="85"/>
      <c r="J77" s="1152">
        <f>SUM(J57:J76)</f>
        <v>0</v>
      </c>
      <c r="K77" s="83"/>
      <c r="L77" s="86" t="s">
        <v>3</v>
      </c>
      <c r="M77" s="307">
        <f>SUM(M57:M76)</f>
        <v>0</v>
      </c>
      <c r="N77" s="85"/>
      <c r="O77" s="1152">
        <f>SUM(O57:O76)</f>
        <v>0</v>
      </c>
      <c r="P77" s="141"/>
      <c r="Q77" s="80"/>
      <c r="R77" s="2454"/>
      <c r="S77" s="2454"/>
      <c r="T77" s="1490"/>
      <c r="U77" s="1482"/>
      <c r="V77" s="1482"/>
    </row>
    <row r="78" spans="2:26" s="78" customFormat="1" ht="19.5">
      <c r="B78" s="94"/>
      <c r="E78" s="316"/>
      <c r="F78" s="80"/>
      <c r="G78" s="94"/>
      <c r="J78" s="316"/>
      <c r="K78" s="83"/>
      <c r="L78" s="94"/>
      <c r="O78" s="316"/>
      <c r="P78" s="141"/>
      <c r="Q78" s="80"/>
      <c r="R78" s="2454"/>
      <c r="S78" s="2454"/>
      <c r="T78" s="1490"/>
      <c r="U78" s="1482"/>
      <c r="V78" s="1482"/>
    </row>
    <row r="79" spans="2:26" s="78" customFormat="1" ht="19.5">
      <c r="B79" s="2297" t="str">
        <f>+'T1'!E71</f>
        <v>MARILU</v>
      </c>
      <c r="C79" s="2297"/>
      <c r="D79" s="2297"/>
      <c r="E79" s="2297"/>
      <c r="F79" s="80"/>
      <c r="G79" s="2297" t="str">
        <f>+'T1'!E72</f>
        <v>WALLDO</v>
      </c>
      <c r="H79" s="2297"/>
      <c r="I79" s="2297"/>
      <c r="J79" s="2297"/>
      <c r="K79" s="83"/>
      <c r="L79" s="94"/>
      <c r="O79" s="316"/>
      <c r="P79" s="141"/>
      <c r="Q79" s="80"/>
      <c r="R79" s="2454"/>
      <c r="S79" s="2454"/>
      <c r="T79" s="1490"/>
      <c r="U79" s="1482"/>
      <c r="V79" s="1482"/>
    </row>
    <row r="80" spans="2:26" s="78" customFormat="1" ht="19.5">
      <c r="B80" s="93" t="s">
        <v>134</v>
      </c>
      <c r="C80" s="93" t="s">
        <v>9</v>
      </c>
      <c r="D80" s="93" t="s">
        <v>149</v>
      </c>
      <c r="E80" s="93" t="s">
        <v>146</v>
      </c>
      <c r="F80" s="80"/>
      <c r="G80" s="93" t="s">
        <v>134</v>
      </c>
      <c r="H80" s="93" t="s">
        <v>9</v>
      </c>
      <c r="I80" s="93" t="s">
        <v>149</v>
      </c>
      <c r="J80" s="93" t="s">
        <v>146</v>
      </c>
      <c r="K80" s="83"/>
      <c r="L80" s="83"/>
      <c r="M80" s="83"/>
      <c r="N80" s="83"/>
      <c r="O80" s="80"/>
      <c r="P80" s="80"/>
      <c r="Q80" s="80"/>
      <c r="R80" s="2454"/>
      <c r="S80" s="2454"/>
      <c r="T80" s="1490"/>
      <c r="U80" s="1482"/>
      <c r="V80" s="1482"/>
    </row>
    <row r="81" spans="2:22" s="78" customFormat="1" ht="19.5">
      <c r="B81" s="2446" t="s">
        <v>675</v>
      </c>
      <c r="C81" s="2448">
        <f>+'T1'!F71</f>
        <v>0</v>
      </c>
      <c r="D81" s="2446"/>
      <c r="E81" s="89">
        <f>+C81*D81/1000</f>
        <v>0</v>
      </c>
      <c r="F81" s="80"/>
      <c r="G81" s="2446" t="s">
        <v>675</v>
      </c>
      <c r="H81" s="2448">
        <f>+'T1'!H72</f>
        <v>0</v>
      </c>
      <c r="I81" s="2446"/>
      <c r="J81" s="89">
        <f>+H81*I81/1000</f>
        <v>0</v>
      </c>
      <c r="K81" s="83"/>
      <c r="L81" s="83"/>
      <c r="M81" s="83"/>
      <c r="N81" s="83"/>
      <c r="O81" s="80"/>
      <c r="P81" s="359"/>
      <c r="Q81" s="359"/>
      <c r="R81" s="2454"/>
      <c r="S81" s="2454"/>
      <c r="T81" s="1490"/>
      <c r="U81" s="1482"/>
      <c r="V81" s="1482"/>
    </row>
    <row r="82" spans="2:22" s="78" customFormat="1" ht="15.75">
      <c r="B82" s="2447"/>
      <c r="C82" s="2447"/>
      <c r="D82" s="2447"/>
      <c r="E82" s="89">
        <f t="shared" ref="E82:E89" si="11">+C82*D82/1000</f>
        <v>0</v>
      </c>
      <c r="F82" s="80"/>
      <c r="G82" s="2447"/>
      <c r="H82" s="2447"/>
      <c r="I82" s="2447"/>
      <c r="J82" s="89">
        <f t="shared" ref="J82:J89" si="12">+H82*I82/1000</f>
        <v>0</v>
      </c>
      <c r="K82" s="83"/>
      <c r="L82" s="83"/>
      <c r="M82" s="83"/>
      <c r="N82" s="83"/>
      <c r="O82" s="80"/>
      <c r="P82" s="359"/>
      <c r="Q82" s="359"/>
      <c r="R82" s="2480"/>
      <c r="S82" s="2480"/>
    </row>
    <row r="83" spans="2:22" s="78" customFormat="1" ht="15.75">
      <c r="B83" s="2446" t="s">
        <v>676</v>
      </c>
      <c r="C83" s="2448">
        <f>+'T2'!K71</f>
        <v>0</v>
      </c>
      <c r="D83" s="2446"/>
      <c r="E83" s="89">
        <f t="shared" si="11"/>
        <v>0</v>
      </c>
      <c r="F83" s="45"/>
      <c r="G83" s="2446" t="s">
        <v>676</v>
      </c>
      <c r="H83" s="2448">
        <f>+'T2'!K72</f>
        <v>0</v>
      </c>
      <c r="I83" s="2446"/>
      <c r="J83" s="89">
        <f t="shared" si="12"/>
        <v>0</v>
      </c>
      <c r="K83" s="79"/>
      <c r="L83" s="79"/>
      <c r="M83" s="79"/>
      <c r="N83" s="79"/>
      <c r="O83" s="94"/>
      <c r="P83" s="94"/>
      <c r="Q83" s="80"/>
      <c r="R83" s="2480"/>
      <c r="S83" s="2480"/>
    </row>
    <row r="84" spans="2:22" s="78" customFormat="1" ht="19.5">
      <c r="B84" s="2447"/>
      <c r="C84" s="2447"/>
      <c r="D84" s="2447"/>
      <c r="E84" s="89">
        <f t="shared" si="11"/>
        <v>0</v>
      </c>
      <c r="F84" s="45"/>
      <c r="G84" s="2447"/>
      <c r="H84" s="2447"/>
      <c r="I84" s="2447"/>
      <c r="J84" s="89">
        <f t="shared" si="12"/>
        <v>0</v>
      </c>
      <c r="K84" s="79"/>
      <c r="L84" s="79"/>
      <c r="M84" s="79"/>
      <c r="N84" s="79"/>
      <c r="O84" s="94"/>
      <c r="P84" s="94"/>
      <c r="Q84" s="80"/>
      <c r="R84" s="2454"/>
      <c r="S84" s="2454"/>
      <c r="T84" s="1490"/>
      <c r="U84" s="1482"/>
      <c r="V84" s="1482"/>
    </row>
    <row r="85" spans="2:22" s="78" customFormat="1" ht="19.5">
      <c r="B85" s="2446" t="s">
        <v>677</v>
      </c>
      <c r="C85" s="2448">
        <f>+'T3'!M71</f>
        <v>0</v>
      </c>
      <c r="D85" s="2446"/>
      <c r="E85" s="89">
        <f t="shared" si="11"/>
        <v>0</v>
      </c>
      <c r="F85" s="45"/>
      <c r="G85" s="2446" t="s">
        <v>677</v>
      </c>
      <c r="H85" s="2448">
        <f>+'T3'!M72</f>
        <v>0</v>
      </c>
      <c r="I85" s="2446"/>
      <c r="J85" s="89">
        <f t="shared" si="12"/>
        <v>0</v>
      </c>
      <c r="K85" s="79"/>
      <c r="L85" s="79"/>
      <c r="M85" s="79"/>
      <c r="N85" s="1494"/>
      <c r="O85" s="94"/>
      <c r="P85" s="94"/>
      <c r="Q85" s="80"/>
      <c r="R85" s="2453"/>
      <c r="S85" s="2453"/>
      <c r="T85" s="1482"/>
      <c r="U85" s="1482"/>
      <c r="V85" s="1482"/>
    </row>
    <row r="86" spans="2:22" s="78" customFormat="1" ht="19.5">
      <c r="B86" s="2447"/>
      <c r="C86" s="2447"/>
      <c r="D86" s="2447"/>
      <c r="E86" s="89">
        <f t="shared" si="11"/>
        <v>0</v>
      </c>
      <c r="F86" s="45"/>
      <c r="G86" s="2447"/>
      <c r="H86" s="2447"/>
      <c r="I86" s="2447"/>
      <c r="J86" s="89">
        <f t="shared" si="12"/>
        <v>0</v>
      </c>
      <c r="K86" s="79"/>
      <c r="L86" s="79"/>
      <c r="M86" s="79"/>
      <c r="N86" s="79"/>
      <c r="O86" s="94"/>
      <c r="P86" s="94"/>
      <c r="Q86" s="80"/>
      <c r="R86" s="129"/>
      <c r="S86" s="129"/>
      <c r="T86" s="1482"/>
      <c r="U86" s="1482"/>
      <c r="V86" s="1482"/>
    </row>
    <row r="87" spans="2:22" s="78" customFormat="1" ht="19.5">
      <c r="B87" s="2446" t="s">
        <v>678</v>
      </c>
      <c r="C87" s="2448">
        <f>+'T4'!M71</f>
        <v>0</v>
      </c>
      <c r="D87" s="2446"/>
      <c r="E87" s="89">
        <f t="shared" si="11"/>
        <v>0</v>
      </c>
      <c r="F87" s="45"/>
      <c r="G87" s="2446" t="s">
        <v>678</v>
      </c>
      <c r="H87" s="2448">
        <f>+'T4'!M72</f>
        <v>0</v>
      </c>
      <c r="I87" s="2446"/>
      <c r="J87" s="89">
        <f t="shared" si="12"/>
        <v>0</v>
      </c>
      <c r="K87" s="79"/>
      <c r="L87" s="79"/>
      <c r="M87" s="79"/>
      <c r="N87" s="79"/>
      <c r="O87" s="94"/>
      <c r="P87" s="94"/>
      <c r="Q87" s="80"/>
      <c r="R87" s="129"/>
      <c r="S87" s="129"/>
      <c r="T87" s="1482"/>
      <c r="U87" s="1482"/>
      <c r="V87" s="1482"/>
    </row>
    <row r="88" spans="2:22" s="78" customFormat="1" ht="19.5">
      <c r="B88" s="2447"/>
      <c r="C88" s="2447"/>
      <c r="D88" s="2447"/>
      <c r="E88" s="89">
        <f t="shared" si="11"/>
        <v>0</v>
      </c>
      <c r="F88" s="45"/>
      <c r="G88" s="2447"/>
      <c r="H88" s="2447"/>
      <c r="I88" s="2447"/>
      <c r="J88" s="89">
        <f t="shared" si="12"/>
        <v>0</v>
      </c>
      <c r="K88" s="79"/>
      <c r="L88" s="79"/>
      <c r="M88" s="79"/>
      <c r="N88" s="79"/>
      <c r="O88" s="94"/>
      <c r="P88" s="94"/>
      <c r="Q88" s="80"/>
      <c r="R88" s="129"/>
      <c r="S88" s="129"/>
      <c r="T88" s="1482"/>
      <c r="U88" s="1482"/>
      <c r="V88" s="1482"/>
    </row>
    <row r="89" spans="2:22" s="78" customFormat="1" ht="19.5">
      <c r="B89" s="2449" t="s">
        <v>704</v>
      </c>
      <c r="C89" s="2448">
        <f>+'T1 (2)'!M71</f>
        <v>0</v>
      </c>
      <c r="D89" s="2446"/>
      <c r="E89" s="89">
        <f t="shared" si="11"/>
        <v>0</v>
      </c>
      <c r="F89" s="45"/>
      <c r="G89" s="2449" t="s">
        <v>704</v>
      </c>
      <c r="H89" s="2448">
        <f>+'T1 (2)'!R71</f>
        <v>0</v>
      </c>
      <c r="I89" s="2446"/>
      <c r="J89" s="89">
        <f t="shared" si="12"/>
        <v>0</v>
      </c>
      <c r="K89" s="79"/>
      <c r="L89" s="79"/>
      <c r="M89" s="79"/>
      <c r="N89" s="79"/>
      <c r="O89" s="94"/>
      <c r="P89" s="94"/>
      <c r="Q89" s="80"/>
      <c r="R89" s="129"/>
      <c r="S89" s="129"/>
      <c r="T89" s="1482"/>
      <c r="U89" s="1482"/>
      <c r="V89" s="1482"/>
    </row>
    <row r="90" spans="2:22" s="78" customFormat="1" ht="19.5">
      <c r="B90" s="2450"/>
      <c r="C90" s="2447"/>
      <c r="D90" s="2447"/>
      <c r="E90" s="1483"/>
      <c r="F90" s="45"/>
      <c r="G90" s="2450"/>
      <c r="H90" s="2447"/>
      <c r="I90" s="2447"/>
      <c r="J90" s="1483"/>
      <c r="K90" s="79"/>
      <c r="L90" s="79"/>
      <c r="M90" s="79"/>
      <c r="N90" s="79"/>
      <c r="O90" s="94"/>
      <c r="P90" s="94"/>
      <c r="Q90" s="80"/>
      <c r="R90" s="129"/>
      <c r="S90" s="129"/>
      <c r="T90" s="1482"/>
      <c r="U90" s="1482"/>
      <c r="V90" s="1482"/>
    </row>
    <row r="91" spans="2:22" s="78" customFormat="1" ht="19.5">
      <c r="B91" s="2446" t="s">
        <v>127</v>
      </c>
      <c r="C91" s="2448">
        <f>+'T5'!M71</f>
        <v>0</v>
      </c>
      <c r="D91" s="2446"/>
      <c r="E91" s="89">
        <f t="shared" ref="E91:E100" si="13">+C91*D91/1000</f>
        <v>0</v>
      </c>
      <c r="F91" s="45"/>
      <c r="G91" s="2446" t="s">
        <v>127</v>
      </c>
      <c r="H91" s="2448">
        <f>+'T5'!M72</f>
        <v>0</v>
      </c>
      <c r="I91" s="2446"/>
      <c r="J91" s="89">
        <f t="shared" ref="J91:J100" si="14">+H91*I91/1000</f>
        <v>0</v>
      </c>
      <c r="K91" s="79"/>
      <c r="L91" s="79"/>
      <c r="M91" s="79"/>
      <c r="N91" s="79"/>
      <c r="O91" s="94"/>
      <c r="P91" s="94"/>
      <c r="Q91" s="80"/>
      <c r="R91" s="129"/>
      <c r="S91" s="129"/>
      <c r="T91" s="1482"/>
      <c r="U91" s="1482"/>
      <c r="V91" s="1482"/>
    </row>
    <row r="92" spans="2:22" s="78" customFormat="1" ht="19.5">
      <c r="B92" s="2447"/>
      <c r="C92" s="2447"/>
      <c r="D92" s="2447"/>
      <c r="E92" s="89">
        <f t="shared" si="13"/>
        <v>0</v>
      </c>
      <c r="F92" s="45"/>
      <c r="G92" s="2447"/>
      <c r="H92" s="2447"/>
      <c r="I92" s="2447"/>
      <c r="J92" s="89">
        <f t="shared" si="14"/>
        <v>0</v>
      </c>
      <c r="K92" s="79"/>
      <c r="L92" s="79"/>
      <c r="M92" s="79"/>
      <c r="N92" s="79"/>
      <c r="O92" s="94"/>
      <c r="P92" s="94"/>
      <c r="Q92" s="80"/>
      <c r="R92" s="129"/>
      <c r="S92" s="129"/>
      <c r="T92" s="1482"/>
      <c r="U92" s="1482"/>
      <c r="V92" s="1482"/>
    </row>
    <row r="93" spans="2:22" s="78" customFormat="1" ht="19.5">
      <c r="B93" s="2446" t="s">
        <v>128</v>
      </c>
      <c r="C93" s="2448">
        <f>+'T6'!L71</f>
        <v>0</v>
      </c>
      <c r="D93" s="2446"/>
      <c r="E93" s="89">
        <f t="shared" si="13"/>
        <v>0</v>
      </c>
      <c r="F93" s="45"/>
      <c r="G93" s="2446" t="s">
        <v>128</v>
      </c>
      <c r="H93" s="2448">
        <f>+'T6'!L72</f>
        <v>0</v>
      </c>
      <c r="I93" s="2446"/>
      <c r="J93" s="89">
        <f t="shared" si="14"/>
        <v>0</v>
      </c>
      <c r="K93" s="79"/>
      <c r="L93" s="79"/>
      <c r="M93" s="79"/>
      <c r="N93" s="79"/>
      <c r="O93" s="94"/>
      <c r="P93" s="94"/>
      <c r="Q93" s="80"/>
      <c r="R93" s="129"/>
      <c r="S93" s="129"/>
      <c r="T93" s="1482"/>
      <c r="U93" s="1482"/>
      <c r="V93" s="1482"/>
    </row>
    <row r="94" spans="2:22" s="78" customFormat="1" ht="19.5">
      <c r="B94" s="2447"/>
      <c r="C94" s="2447"/>
      <c r="D94" s="2447"/>
      <c r="E94" s="89">
        <f t="shared" si="13"/>
        <v>0</v>
      </c>
      <c r="F94" s="45"/>
      <c r="G94" s="2447"/>
      <c r="H94" s="2447"/>
      <c r="I94" s="2447"/>
      <c r="J94" s="89">
        <f t="shared" si="14"/>
        <v>0</v>
      </c>
      <c r="K94" s="79"/>
      <c r="L94" s="79"/>
      <c r="M94" s="79"/>
      <c r="N94" s="79"/>
      <c r="O94" s="94"/>
      <c r="P94" s="94"/>
      <c r="Q94" s="80"/>
      <c r="R94" s="129"/>
      <c r="S94" s="129"/>
      <c r="T94" s="1482"/>
      <c r="U94" s="1482"/>
      <c r="V94" s="1482"/>
    </row>
    <row r="95" spans="2:22" s="78" customFormat="1" ht="19.5">
      <c r="B95" s="76">
        <v>15</v>
      </c>
      <c r="C95" s="76"/>
      <c r="D95" s="85"/>
      <c r="E95" s="89">
        <f t="shared" si="13"/>
        <v>0</v>
      </c>
      <c r="F95" s="45"/>
      <c r="G95" s="76">
        <v>15</v>
      </c>
      <c r="H95" s="76"/>
      <c r="I95" s="85"/>
      <c r="J95" s="89">
        <f t="shared" si="14"/>
        <v>0</v>
      </c>
      <c r="K95" s="79"/>
      <c r="L95" s="79"/>
      <c r="M95" s="79"/>
      <c r="N95" s="79"/>
      <c r="O95" s="94"/>
      <c r="P95" s="94"/>
      <c r="Q95" s="80"/>
      <c r="R95" s="129"/>
      <c r="S95" s="129"/>
      <c r="T95" s="1482"/>
      <c r="U95" s="1482"/>
      <c r="V95" s="1482"/>
    </row>
    <row r="96" spans="2:22" s="78" customFormat="1" ht="19.5">
      <c r="B96" s="76">
        <v>16</v>
      </c>
      <c r="C96" s="76"/>
      <c r="D96" s="85"/>
      <c r="E96" s="89">
        <f t="shared" si="13"/>
        <v>0</v>
      </c>
      <c r="F96" s="45"/>
      <c r="G96" s="76">
        <v>16</v>
      </c>
      <c r="H96" s="76"/>
      <c r="I96" s="85"/>
      <c r="J96" s="89">
        <f t="shared" si="14"/>
        <v>0</v>
      </c>
      <c r="K96" s="79"/>
      <c r="L96" s="79"/>
      <c r="M96" s="79"/>
      <c r="N96" s="79"/>
      <c r="O96" s="94"/>
      <c r="P96" s="94"/>
      <c r="Q96" s="80"/>
      <c r="R96" s="129"/>
      <c r="S96" s="129"/>
      <c r="T96" s="1482"/>
      <c r="U96" s="1482"/>
      <c r="V96" s="1482"/>
    </row>
    <row r="97" spans="2:22" s="78" customFormat="1" ht="19.5">
      <c r="B97" s="76">
        <v>17</v>
      </c>
      <c r="C97" s="76"/>
      <c r="D97" s="85"/>
      <c r="E97" s="89">
        <f t="shared" si="13"/>
        <v>0</v>
      </c>
      <c r="F97" s="45"/>
      <c r="G97" s="76">
        <v>17</v>
      </c>
      <c r="H97" s="76"/>
      <c r="I97" s="85"/>
      <c r="J97" s="89">
        <f t="shared" si="14"/>
        <v>0</v>
      </c>
      <c r="K97" s="79"/>
      <c r="L97" s="79"/>
      <c r="M97" s="79"/>
      <c r="N97" s="79"/>
      <c r="O97" s="94"/>
      <c r="P97" s="94"/>
      <c r="Q97" s="80"/>
      <c r="R97" s="129"/>
      <c r="S97" s="129"/>
      <c r="T97" s="1482"/>
      <c r="U97" s="1482"/>
      <c r="V97" s="1482"/>
    </row>
    <row r="98" spans="2:22" s="78" customFormat="1" ht="19.5">
      <c r="B98" s="76">
        <v>18</v>
      </c>
      <c r="C98" s="76"/>
      <c r="D98" s="85"/>
      <c r="E98" s="89">
        <f t="shared" si="13"/>
        <v>0</v>
      </c>
      <c r="F98" s="45"/>
      <c r="G98" s="76">
        <v>18</v>
      </c>
      <c r="H98" s="76"/>
      <c r="I98" s="85"/>
      <c r="J98" s="89">
        <f t="shared" si="14"/>
        <v>0</v>
      </c>
      <c r="K98" s="79"/>
      <c r="L98" s="79"/>
      <c r="M98" s="79"/>
      <c r="N98" s="79"/>
      <c r="O98" s="94"/>
      <c r="P98" s="94"/>
      <c r="Q98" s="80"/>
      <c r="R98" s="129"/>
      <c r="S98" s="129"/>
      <c r="T98" s="1482"/>
      <c r="U98" s="1482"/>
      <c r="V98" s="1482"/>
    </row>
    <row r="99" spans="2:22" s="78" customFormat="1" ht="19.5">
      <c r="B99" s="76">
        <v>19</v>
      </c>
      <c r="C99" s="76"/>
      <c r="D99" s="85"/>
      <c r="E99" s="89">
        <f t="shared" si="13"/>
        <v>0</v>
      </c>
      <c r="F99" s="45"/>
      <c r="G99" s="76">
        <v>19</v>
      </c>
      <c r="H99" s="76"/>
      <c r="I99" s="85"/>
      <c r="J99" s="89">
        <f t="shared" si="14"/>
        <v>0</v>
      </c>
      <c r="K99" s="79"/>
      <c r="L99" s="79"/>
      <c r="M99" s="79"/>
      <c r="N99" s="79"/>
      <c r="O99" s="94"/>
      <c r="P99" s="94"/>
      <c r="Q99" s="80"/>
      <c r="R99" s="129"/>
      <c r="S99" s="129"/>
      <c r="T99" s="1482"/>
      <c r="U99" s="1482"/>
      <c r="V99" s="1482"/>
    </row>
    <row r="100" spans="2:22" s="78" customFormat="1" ht="19.5">
      <c r="B100" s="76">
        <v>20</v>
      </c>
      <c r="C100" s="76"/>
      <c r="D100" s="85"/>
      <c r="E100" s="89">
        <f t="shared" si="13"/>
        <v>0</v>
      </c>
      <c r="F100" s="45"/>
      <c r="G100" s="76">
        <v>20</v>
      </c>
      <c r="H100" s="76"/>
      <c r="I100" s="85"/>
      <c r="J100" s="89">
        <f t="shared" si="14"/>
        <v>0</v>
      </c>
      <c r="K100" s="79"/>
      <c r="L100" s="79"/>
      <c r="M100" s="79"/>
      <c r="N100" s="79"/>
      <c r="O100" s="94"/>
      <c r="P100" s="94"/>
      <c r="Q100" s="80"/>
      <c r="R100" s="129"/>
      <c r="S100" s="129"/>
      <c r="T100" s="1482"/>
      <c r="U100" s="1482"/>
      <c r="V100" s="1482"/>
    </row>
    <row r="101" spans="2:22" s="78" customFormat="1" ht="19.5">
      <c r="B101" s="86" t="s">
        <v>3</v>
      </c>
      <c r="C101" s="307">
        <f>SUM(C81:C100)</f>
        <v>0</v>
      </c>
      <c r="D101" s="85"/>
      <c r="E101" s="1152">
        <f>SUM(E81:E100)</f>
        <v>0</v>
      </c>
      <c r="F101" s="45"/>
      <c r="G101" s="86" t="s">
        <v>3</v>
      </c>
      <c r="H101" s="307">
        <f>SUM(H81:H100)</f>
        <v>0</v>
      </c>
      <c r="I101" s="85"/>
      <c r="J101" s="1152">
        <f>SUM(J81:J100)</f>
        <v>0</v>
      </c>
      <c r="K101" s="79"/>
      <c r="L101" s="79"/>
      <c r="M101" s="79"/>
      <c r="N101" s="79"/>
      <c r="O101" s="94"/>
      <c r="P101" s="94"/>
      <c r="Q101" s="80"/>
      <c r="R101" s="129"/>
      <c r="S101" s="129"/>
      <c r="T101" s="1482"/>
      <c r="U101" s="1482"/>
      <c r="V101" s="1482"/>
    </row>
    <row r="102" spans="2:22" s="78" customFormat="1" ht="19.5">
      <c r="B102" s="94"/>
      <c r="C102" s="81"/>
      <c r="E102" s="1476"/>
      <c r="F102" s="45"/>
      <c r="G102" s="94"/>
      <c r="H102" s="81"/>
      <c r="J102" s="316"/>
      <c r="K102" s="79"/>
      <c r="L102" s="79"/>
      <c r="M102" s="79"/>
      <c r="N102" s="79"/>
      <c r="O102" s="94"/>
      <c r="P102" s="94"/>
      <c r="Q102" s="80"/>
      <c r="R102" s="129"/>
      <c r="S102" s="129"/>
      <c r="T102" s="1482"/>
      <c r="U102" s="1482"/>
      <c r="V102" s="1482"/>
    </row>
    <row r="103" spans="2:22" s="311" customFormat="1" ht="20.25">
      <c r="B103" s="1477"/>
      <c r="C103" s="1478"/>
      <c r="D103" s="1478"/>
      <c r="E103" s="1478"/>
      <c r="F103" s="1478"/>
      <c r="G103" s="1478"/>
      <c r="H103" s="1479"/>
      <c r="I103" s="1479"/>
      <c r="J103" s="1479"/>
      <c r="K103" s="1479"/>
      <c r="L103" s="1479"/>
      <c r="M103" s="1479"/>
      <c r="N103" s="1479"/>
      <c r="O103" s="313"/>
      <c r="P103" s="313"/>
      <c r="Q103" s="312"/>
      <c r="R103" s="1480"/>
      <c r="S103" s="1480"/>
      <c r="T103" s="1481"/>
      <c r="U103" s="1481"/>
      <c r="V103" s="1481"/>
    </row>
    <row r="104" spans="2:22" s="78" customFormat="1" ht="20.25">
      <c r="B104" s="84" t="s">
        <v>432</v>
      </c>
      <c r="C104" s="45"/>
      <c r="D104" s="45"/>
      <c r="E104" s="45"/>
      <c r="F104" s="45"/>
      <c r="G104" s="45"/>
      <c r="H104" s="79"/>
      <c r="I104" s="79"/>
      <c r="J104" s="79"/>
      <c r="K104" s="79"/>
      <c r="L104" s="79"/>
      <c r="M104" s="79"/>
      <c r="N104" s="79"/>
      <c r="O104" s="94"/>
      <c r="P104" s="94"/>
      <c r="Q104" s="80"/>
      <c r="R104" s="1473"/>
      <c r="S104" s="1473"/>
      <c r="T104" s="1474"/>
      <c r="U104" s="1474"/>
      <c r="V104" s="1475"/>
    </row>
    <row r="105" spans="2:22" s="78" customFormat="1" ht="15.75">
      <c r="E105" s="45"/>
      <c r="F105" s="45"/>
      <c r="G105" s="45"/>
      <c r="H105" s="79"/>
      <c r="I105" s="79"/>
      <c r="J105" s="79"/>
      <c r="K105" s="79"/>
      <c r="L105" s="79"/>
      <c r="M105" s="79"/>
      <c r="N105" s="79"/>
      <c r="O105" s="80"/>
      <c r="P105" s="80"/>
      <c r="Q105" s="80"/>
    </row>
    <row r="106" spans="2:22" s="78" customFormat="1" ht="15.75">
      <c r="B106" s="2298" t="str">
        <f>+B6</f>
        <v xml:space="preserve">ANDRES </v>
      </c>
      <c r="C106" s="2299"/>
      <c r="D106" s="2299"/>
      <c r="E106" s="2300"/>
      <c r="F106" s="45"/>
      <c r="G106" s="2297" t="str">
        <f>+G6</f>
        <v xml:space="preserve">FLOR </v>
      </c>
      <c r="H106" s="2297"/>
      <c r="I106" s="2297"/>
      <c r="J106" s="2297"/>
      <c r="K106" s="79"/>
      <c r="L106" s="2297" t="str">
        <f>+L6</f>
        <v>HANNOY</v>
      </c>
      <c r="M106" s="2297"/>
      <c r="N106" s="2297"/>
      <c r="O106" s="2297"/>
      <c r="P106" s="138"/>
      <c r="Q106" s="80"/>
    </row>
    <row r="107" spans="2:22" s="78" customFormat="1" ht="20.25">
      <c r="B107" s="93" t="s">
        <v>134</v>
      </c>
      <c r="C107" s="93" t="s">
        <v>9</v>
      </c>
      <c r="D107" s="93" t="s">
        <v>149</v>
      </c>
      <c r="E107" s="93" t="s">
        <v>146</v>
      </c>
      <c r="F107" s="45"/>
      <c r="G107" s="93" t="s">
        <v>134</v>
      </c>
      <c r="H107" s="93" t="s">
        <v>9</v>
      </c>
      <c r="I107" s="93" t="s">
        <v>149</v>
      </c>
      <c r="J107" s="93" t="s">
        <v>146</v>
      </c>
      <c r="K107" s="79"/>
      <c r="L107" s="93" t="s">
        <v>134</v>
      </c>
      <c r="M107" s="93" t="s">
        <v>9</v>
      </c>
      <c r="N107" s="93" t="s">
        <v>149</v>
      </c>
      <c r="O107" s="93" t="s">
        <v>146</v>
      </c>
      <c r="P107" s="1139"/>
      <c r="Q107" s="203"/>
      <c r="R107" s="1211" t="s">
        <v>634</v>
      </c>
      <c r="S107" s="1211"/>
      <c r="T107" s="1211"/>
      <c r="U107" s="1211"/>
      <c r="V107" s="1140"/>
    </row>
    <row r="108" spans="2:22" s="78" customFormat="1" ht="20.25">
      <c r="B108" s="76">
        <v>1</v>
      </c>
      <c r="C108" s="1530">
        <f>+'ENV. PLACAS'!P61</f>
        <v>0</v>
      </c>
      <c r="D108" s="85"/>
      <c r="E108" s="89">
        <f>+C108*D108/1000</f>
        <v>0</v>
      </c>
      <c r="F108" s="45"/>
      <c r="G108" s="76">
        <v>1</v>
      </c>
      <c r="H108" s="1530">
        <f>+'ENV. PLACAS'!P62</f>
        <v>0</v>
      </c>
      <c r="I108" s="85"/>
      <c r="J108" s="89">
        <f>+H108*I108/1000</f>
        <v>0</v>
      </c>
      <c r="K108" s="79"/>
      <c r="L108" s="76">
        <v>1</v>
      </c>
      <c r="M108" s="1530">
        <f>+'ENV. PLACAS'!P63</f>
        <v>0</v>
      </c>
      <c r="N108" s="85"/>
      <c r="O108" s="89">
        <f>+M108*N108/1000</f>
        <v>0</v>
      </c>
      <c r="P108" s="1141"/>
      <c r="Q108" s="203"/>
      <c r="R108" s="1209" t="s">
        <v>633</v>
      </c>
      <c r="S108" s="1209"/>
      <c r="T108" s="1209" t="s">
        <v>9</v>
      </c>
      <c r="U108" s="1209"/>
      <c r="V108" s="1140"/>
    </row>
    <row r="109" spans="2:22" s="78" customFormat="1" ht="20.25">
      <c r="B109" s="76">
        <v>2</v>
      </c>
      <c r="C109" s="127"/>
      <c r="D109" s="85"/>
      <c r="E109" s="89">
        <f>+C109*D109/1000</f>
        <v>0</v>
      </c>
      <c r="F109" s="45"/>
      <c r="G109" s="76">
        <v>2</v>
      </c>
      <c r="H109" s="127"/>
      <c r="I109" s="85"/>
      <c r="J109" s="89">
        <f>+H109*I109/1000</f>
        <v>0</v>
      </c>
      <c r="K109" s="79"/>
      <c r="L109" s="76">
        <v>2</v>
      </c>
      <c r="M109" s="127"/>
      <c r="N109" s="85"/>
      <c r="O109" s="89">
        <f t="shared" ref="O109:O127" si="15">+M109*N109/1000</f>
        <v>0</v>
      </c>
      <c r="P109" s="1141"/>
      <c r="Q109" s="203"/>
      <c r="R109" s="1210" t="s">
        <v>576</v>
      </c>
      <c r="S109" s="1210"/>
      <c r="T109" s="1212">
        <f>(SUM('RES-EN'!E6:F53))*10</f>
        <v>0</v>
      </c>
      <c r="U109" s="1210"/>
      <c r="V109" s="1140"/>
    </row>
    <row r="110" spans="2:22" s="78" customFormat="1" ht="20.25">
      <c r="B110" s="76">
        <v>3</v>
      </c>
      <c r="C110" s="76"/>
      <c r="D110" s="85"/>
      <c r="E110" s="89">
        <f t="shared" ref="E110:E127" si="16">+C110*D110/1000</f>
        <v>0</v>
      </c>
      <c r="F110" s="45"/>
      <c r="G110" s="76">
        <v>3</v>
      </c>
      <c r="H110" s="127"/>
      <c r="I110" s="85"/>
      <c r="J110" s="89">
        <f t="shared" ref="J110:J127" si="17">+H110*I110/1000</f>
        <v>0</v>
      </c>
      <c r="K110" s="79"/>
      <c r="L110" s="76">
        <v>3</v>
      </c>
      <c r="M110" s="127"/>
      <c r="N110" s="85"/>
      <c r="O110" s="89">
        <f t="shared" si="15"/>
        <v>0</v>
      </c>
      <c r="P110" s="1141"/>
      <c r="Q110" s="203"/>
      <c r="R110" s="1210" t="s">
        <v>577</v>
      </c>
      <c r="S110" s="1210"/>
      <c r="T110" s="1212">
        <f>SUM('RES-EN'!G6:G53)*10</f>
        <v>0</v>
      </c>
      <c r="U110" s="1210"/>
      <c r="V110" s="1140"/>
    </row>
    <row r="111" spans="2:22" s="78" customFormat="1" ht="20.25">
      <c r="B111" s="76">
        <v>4</v>
      </c>
      <c r="C111" s="76"/>
      <c r="D111" s="85"/>
      <c r="E111" s="89">
        <f t="shared" si="16"/>
        <v>0</v>
      </c>
      <c r="F111" s="45"/>
      <c r="G111" s="76">
        <v>4</v>
      </c>
      <c r="H111" s="127"/>
      <c r="I111" s="85"/>
      <c r="J111" s="89">
        <f t="shared" si="17"/>
        <v>0</v>
      </c>
      <c r="K111" s="79"/>
      <c r="L111" s="76">
        <v>4</v>
      </c>
      <c r="M111" s="76"/>
      <c r="N111" s="85"/>
      <c r="O111" s="89">
        <f t="shared" si="15"/>
        <v>0</v>
      </c>
      <c r="P111" s="1141"/>
      <c r="Q111" s="203"/>
      <c r="R111" s="1210" t="s">
        <v>578</v>
      </c>
      <c r="S111" s="1210"/>
      <c r="T111" s="1212">
        <f>SUM('RES-EN'!I6:I53)*10</f>
        <v>0</v>
      </c>
      <c r="U111" s="1210"/>
      <c r="V111" s="1140"/>
    </row>
    <row r="112" spans="2:22" s="78" customFormat="1" ht="20.25">
      <c r="B112" s="76">
        <v>5</v>
      </c>
      <c r="C112" s="76"/>
      <c r="D112" s="85"/>
      <c r="E112" s="89">
        <f t="shared" si="16"/>
        <v>0</v>
      </c>
      <c r="F112" s="45"/>
      <c r="G112" s="76">
        <v>5</v>
      </c>
      <c r="H112" s="76"/>
      <c r="I112" s="85"/>
      <c r="J112" s="89">
        <f t="shared" si="17"/>
        <v>0</v>
      </c>
      <c r="K112" s="79"/>
      <c r="L112" s="76">
        <v>5</v>
      </c>
      <c r="M112" s="76"/>
      <c r="N112" s="85"/>
      <c r="O112" s="89">
        <f t="shared" si="15"/>
        <v>0</v>
      </c>
      <c r="P112" s="1141"/>
      <c r="Q112" s="203"/>
      <c r="R112" s="1210" t="s">
        <v>579</v>
      </c>
      <c r="S112" s="1210"/>
      <c r="T112" s="1212">
        <f>SUM('RES-EN'!K6:K53)*10</f>
        <v>0</v>
      </c>
      <c r="U112" s="1210"/>
      <c r="V112" s="1140"/>
    </row>
    <row r="113" spans="2:22" s="78" customFormat="1" ht="20.25">
      <c r="B113" s="76">
        <v>6</v>
      </c>
      <c r="C113" s="76"/>
      <c r="D113" s="85"/>
      <c r="E113" s="89">
        <f t="shared" si="16"/>
        <v>0</v>
      </c>
      <c r="G113" s="76">
        <v>6</v>
      </c>
      <c r="H113" s="76"/>
      <c r="I113" s="85"/>
      <c r="J113" s="89">
        <f t="shared" si="17"/>
        <v>0</v>
      </c>
      <c r="K113" s="79"/>
      <c r="L113" s="76">
        <v>6</v>
      </c>
      <c r="M113" s="127"/>
      <c r="N113" s="85"/>
      <c r="O113" s="89">
        <f t="shared" si="15"/>
        <v>0</v>
      </c>
      <c r="P113" s="1141"/>
      <c r="Q113" s="203"/>
      <c r="R113" s="1210" t="s">
        <v>580</v>
      </c>
      <c r="S113" s="1210"/>
      <c r="T113" s="1212">
        <f>SUM('RES-EN'!M6:M53)*10</f>
        <v>0</v>
      </c>
      <c r="U113" s="1210"/>
      <c r="V113" s="1140"/>
    </row>
    <row r="114" spans="2:22" s="78" customFormat="1" ht="20.25">
      <c r="B114" s="76">
        <v>7</v>
      </c>
      <c r="C114" s="76"/>
      <c r="D114" s="85"/>
      <c r="E114" s="89">
        <f t="shared" si="16"/>
        <v>0</v>
      </c>
      <c r="G114" s="76">
        <v>7</v>
      </c>
      <c r="H114" s="76"/>
      <c r="I114" s="85"/>
      <c r="J114" s="89">
        <f t="shared" si="17"/>
        <v>0</v>
      </c>
      <c r="K114" s="79"/>
      <c r="L114" s="76">
        <v>7</v>
      </c>
      <c r="M114" s="127"/>
      <c r="N114" s="85"/>
      <c r="O114" s="89">
        <f t="shared" si="15"/>
        <v>0</v>
      </c>
      <c r="P114" s="1141"/>
      <c r="Q114" s="203"/>
      <c r="R114" s="1210" t="s">
        <v>581</v>
      </c>
      <c r="S114" s="1210"/>
      <c r="T114" s="1212">
        <f>SUM('RES-EN'!O6:P53)*10</f>
        <v>0</v>
      </c>
      <c r="U114" s="1210"/>
      <c r="V114" s="1140"/>
    </row>
    <row r="115" spans="2:22" s="78" customFormat="1" ht="20.25">
      <c r="B115" s="76">
        <v>8</v>
      </c>
      <c r="C115" s="76"/>
      <c r="D115" s="85"/>
      <c r="E115" s="89">
        <f t="shared" si="16"/>
        <v>0</v>
      </c>
      <c r="G115" s="76">
        <v>8</v>
      </c>
      <c r="H115" s="76"/>
      <c r="I115" s="85"/>
      <c r="J115" s="89">
        <f t="shared" si="17"/>
        <v>0</v>
      </c>
      <c r="K115" s="79"/>
      <c r="L115" s="76">
        <v>8</v>
      </c>
      <c r="M115" s="127"/>
      <c r="N115" s="85"/>
      <c r="O115" s="89">
        <f t="shared" si="15"/>
        <v>0</v>
      </c>
      <c r="P115" s="1141"/>
      <c r="Q115" s="203"/>
      <c r="R115" s="1209" t="s">
        <v>3</v>
      </c>
      <c r="S115" s="1209"/>
      <c r="T115" s="1213">
        <f>SUM(T109:T114)</f>
        <v>0</v>
      </c>
      <c r="U115" s="1209"/>
      <c r="V115" s="1140"/>
    </row>
    <row r="116" spans="2:22" s="78" customFormat="1" ht="20.25">
      <c r="B116" s="76">
        <v>9</v>
      </c>
      <c r="C116" s="127"/>
      <c r="D116" s="85"/>
      <c r="E116" s="89">
        <f t="shared" si="16"/>
        <v>0</v>
      </c>
      <c r="G116" s="76">
        <v>9</v>
      </c>
      <c r="H116" s="127"/>
      <c r="I116" s="85"/>
      <c r="J116" s="89">
        <f t="shared" si="17"/>
        <v>0</v>
      </c>
      <c r="K116" s="79"/>
      <c r="L116" s="76">
        <v>9</v>
      </c>
      <c r="M116" s="127"/>
      <c r="N116" s="85"/>
      <c r="O116" s="89">
        <f t="shared" si="15"/>
        <v>0</v>
      </c>
      <c r="P116" s="1141"/>
      <c r="Q116" s="203"/>
      <c r="S116" s="1140"/>
      <c r="T116" s="1140"/>
      <c r="U116" s="1140"/>
      <c r="V116" s="1140"/>
    </row>
    <row r="117" spans="2:22" s="78" customFormat="1" ht="20.25">
      <c r="B117" s="76">
        <v>10</v>
      </c>
      <c r="C117" s="127"/>
      <c r="D117" s="85"/>
      <c r="E117" s="89">
        <f t="shared" si="16"/>
        <v>0</v>
      </c>
      <c r="G117" s="76">
        <v>10</v>
      </c>
      <c r="H117" s="127"/>
      <c r="I117" s="85"/>
      <c r="J117" s="89">
        <f t="shared" si="17"/>
        <v>0</v>
      </c>
      <c r="K117" s="79"/>
      <c r="L117" s="76">
        <v>10</v>
      </c>
      <c r="M117" s="127"/>
      <c r="N117" s="85"/>
      <c r="O117" s="89">
        <f t="shared" si="15"/>
        <v>0</v>
      </c>
      <c r="P117" s="1141"/>
      <c r="Q117" s="203"/>
      <c r="R117" s="1214"/>
      <c r="S117" s="1214"/>
      <c r="T117" s="1214"/>
      <c r="U117" s="1214"/>
      <c r="V117" s="1140"/>
    </row>
    <row r="118" spans="2:22" s="78" customFormat="1" ht="20.25">
      <c r="B118" s="2443" t="s">
        <v>632</v>
      </c>
      <c r="C118" s="2444"/>
      <c r="D118" s="2444"/>
      <c r="E118" s="2445"/>
      <c r="G118" s="2443" t="s">
        <v>632</v>
      </c>
      <c r="H118" s="2444"/>
      <c r="I118" s="2444"/>
      <c r="J118" s="2445"/>
      <c r="K118" s="79"/>
      <c r="L118" s="2443" t="s">
        <v>632</v>
      </c>
      <c r="M118" s="2444"/>
      <c r="N118" s="2444"/>
      <c r="O118" s="2445"/>
      <c r="P118" s="1141"/>
      <c r="Q118" s="203"/>
      <c r="R118" s="2487" t="s">
        <v>636</v>
      </c>
      <c r="S118" s="2487"/>
      <c r="T118" s="2487"/>
      <c r="U118" s="2487"/>
      <c r="V118" s="2487"/>
    </row>
    <row r="119" spans="2:22" s="78" customFormat="1" ht="20.25">
      <c r="B119" s="76">
        <v>12</v>
      </c>
      <c r="C119" s="127"/>
      <c r="D119" s="85"/>
      <c r="E119" s="89">
        <f t="shared" si="16"/>
        <v>0</v>
      </c>
      <c r="G119" s="76">
        <v>12</v>
      </c>
      <c r="H119" s="127"/>
      <c r="I119" s="85"/>
      <c r="J119" s="89">
        <f t="shared" si="17"/>
        <v>0</v>
      </c>
      <c r="K119" s="79"/>
      <c r="L119" s="76">
        <v>12</v>
      </c>
      <c r="M119" s="127"/>
      <c r="N119" s="85"/>
      <c r="O119" s="89">
        <f t="shared" si="15"/>
        <v>0</v>
      </c>
      <c r="P119" s="1141"/>
      <c r="Q119" s="203"/>
      <c r="R119" s="1269" t="s">
        <v>633</v>
      </c>
      <c r="S119" s="1269" t="s">
        <v>637</v>
      </c>
      <c r="T119" s="1269" t="s">
        <v>9</v>
      </c>
      <c r="U119" s="1269" t="s">
        <v>638</v>
      </c>
      <c r="V119" s="1269" t="s">
        <v>186</v>
      </c>
    </row>
    <row r="120" spans="2:22" s="78" customFormat="1" ht="20.25">
      <c r="B120" s="76">
        <v>13</v>
      </c>
      <c r="C120" s="127"/>
      <c r="D120" s="85"/>
      <c r="E120" s="89">
        <f t="shared" si="16"/>
        <v>0</v>
      </c>
      <c r="G120" s="76">
        <v>13</v>
      </c>
      <c r="H120" s="127"/>
      <c r="I120" s="85"/>
      <c r="J120" s="89">
        <f t="shared" si="17"/>
        <v>0</v>
      </c>
      <c r="K120" s="79"/>
      <c r="L120" s="76">
        <v>13</v>
      </c>
      <c r="M120" s="127"/>
      <c r="N120" s="85"/>
      <c r="O120" s="89">
        <f t="shared" si="15"/>
        <v>0</v>
      </c>
      <c r="P120" s="1141"/>
      <c r="Q120" s="203"/>
      <c r="R120" s="1268" t="s">
        <v>576</v>
      </c>
      <c r="S120" s="1271">
        <f>SUM('RES-EN'!E6:F53)</f>
        <v>0</v>
      </c>
      <c r="T120" s="1271">
        <f t="shared" ref="T120:T125" si="18">S120*10</f>
        <v>0</v>
      </c>
      <c r="U120" s="1271">
        <f t="shared" ref="U120:U125" si="19">S120/2</f>
        <v>0</v>
      </c>
      <c r="V120" s="1275"/>
    </row>
    <row r="121" spans="2:22" s="78" customFormat="1" ht="20.25">
      <c r="B121" s="76">
        <v>14</v>
      </c>
      <c r="C121" s="76"/>
      <c r="D121" s="85"/>
      <c r="E121" s="89">
        <f t="shared" si="16"/>
        <v>0</v>
      </c>
      <c r="G121" s="76">
        <v>14</v>
      </c>
      <c r="H121" s="127"/>
      <c r="I121" s="85"/>
      <c r="J121" s="89">
        <f t="shared" si="17"/>
        <v>0</v>
      </c>
      <c r="K121" s="79"/>
      <c r="L121" s="76">
        <v>14</v>
      </c>
      <c r="M121" s="76"/>
      <c r="N121" s="85"/>
      <c r="O121" s="89">
        <f t="shared" si="15"/>
        <v>0</v>
      </c>
      <c r="P121" s="1141"/>
      <c r="Q121" s="203"/>
      <c r="R121" s="1268" t="s">
        <v>577</v>
      </c>
      <c r="S121" s="1271">
        <f>SUM('RES-EN'!G6:G53)</f>
        <v>0</v>
      </c>
      <c r="T121" s="1271">
        <f t="shared" si="18"/>
        <v>0</v>
      </c>
      <c r="U121" s="1271">
        <f t="shared" si="19"/>
        <v>0</v>
      </c>
      <c r="V121" s="1275"/>
    </row>
    <row r="122" spans="2:22" s="78" customFormat="1" ht="15.75">
      <c r="B122" s="76">
        <v>15</v>
      </c>
      <c r="C122" s="76"/>
      <c r="D122" s="85"/>
      <c r="E122" s="89">
        <f t="shared" si="16"/>
        <v>0</v>
      </c>
      <c r="G122" s="76">
        <v>15</v>
      </c>
      <c r="H122" s="76"/>
      <c r="I122" s="85"/>
      <c r="J122" s="89">
        <f t="shared" si="17"/>
        <v>0</v>
      </c>
      <c r="K122" s="79"/>
      <c r="L122" s="76">
        <v>15</v>
      </c>
      <c r="M122" s="76"/>
      <c r="N122" s="85"/>
      <c r="O122" s="89">
        <f t="shared" si="15"/>
        <v>0</v>
      </c>
      <c r="P122" s="386"/>
      <c r="Q122" s="80"/>
      <c r="R122" s="1268" t="s">
        <v>578</v>
      </c>
      <c r="S122" s="1271">
        <f>SUM('RES-EN'!I6:I53)</f>
        <v>0</v>
      </c>
      <c r="T122" s="1271">
        <f t="shared" si="18"/>
        <v>0</v>
      </c>
      <c r="U122" s="1271">
        <f t="shared" si="19"/>
        <v>0</v>
      </c>
      <c r="V122" s="1275"/>
    </row>
    <row r="123" spans="2:22" s="78" customFormat="1" ht="15.75">
      <c r="B123" s="76">
        <v>16</v>
      </c>
      <c r="C123" s="76"/>
      <c r="D123" s="85"/>
      <c r="E123" s="89">
        <f t="shared" si="16"/>
        <v>0</v>
      </c>
      <c r="G123" s="76">
        <v>16</v>
      </c>
      <c r="H123" s="127"/>
      <c r="I123" s="85"/>
      <c r="J123" s="89">
        <f t="shared" si="17"/>
        <v>0</v>
      </c>
      <c r="K123" s="79"/>
      <c r="L123" s="76">
        <v>16</v>
      </c>
      <c r="M123" s="76"/>
      <c r="N123" s="85"/>
      <c r="O123" s="89">
        <f t="shared" si="15"/>
        <v>0</v>
      </c>
      <c r="P123" s="386"/>
      <c r="Q123" s="80"/>
      <c r="R123" s="1268" t="s">
        <v>579</v>
      </c>
      <c r="S123" s="1271">
        <f>SUM('RES-EN'!K6:K53)</f>
        <v>0</v>
      </c>
      <c r="T123" s="1271">
        <f t="shared" si="18"/>
        <v>0</v>
      </c>
      <c r="U123" s="1271">
        <f t="shared" si="19"/>
        <v>0</v>
      </c>
      <c r="V123" s="1275"/>
    </row>
    <row r="124" spans="2:22" s="78" customFormat="1" ht="15.75">
      <c r="B124" s="76">
        <v>17</v>
      </c>
      <c r="C124" s="76"/>
      <c r="D124" s="85"/>
      <c r="E124" s="89">
        <f t="shared" si="16"/>
        <v>0</v>
      </c>
      <c r="G124" s="76">
        <v>17</v>
      </c>
      <c r="H124" s="76"/>
      <c r="I124" s="85"/>
      <c r="J124" s="89">
        <f t="shared" si="17"/>
        <v>0</v>
      </c>
      <c r="K124" s="79"/>
      <c r="L124" s="76">
        <v>17</v>
      </c>
      <c r="M124" s="127"/>
      <c r="N124" s="85"/>
      <c r="O124" s="89">
        <f t="shared" si="15"/>
        <v>0</v>
      </c>
      <c r="P124" s="386"/>
      <c r="Q124" s="80"/>
      <c r="R124" s="1268" t="s">
        <v>580</v>
      </c>
      <c r="S124" s="1271">
        <f>SUM('RES-EN'!M6:M53)</f>
        <v>0</v>
      </c>
      <c r="T124" s="1271">
        <f t="shared" si="18"/>
        <v>0</v>
      </c>
      <c r="U124" s="1271">
        <f t="shared" si="19"/>
        <v>0</v>
      </c>
      <c r="V124" s="1275"/>
    </row>
    <row r="125" spans="2:22" s="78" customFormat="1" ht="15.75">
      <c r="B125" s="76">
        <v>18</v>
      </c>
      <c r="C125" s="127"/>
      <c r="D125" s="85"/>
      <c r="E125" s="89">
        <f t="shared" si="16"/>
        <v>0</v>
      </c>
      <c r="G125" s="76">
        <v>18</v>
      </c>
      <c r="H125" s="76"/>
      <c r="I125" s="85"/>
      <c r="J125" s="89">
        <f t="shared" si="17"/>
        <v>0</v>
      </c>
      <c r="K125" s="79"/>
      <c r="L125" s="76">
        <v>18</v>
      </c>
      <c r="M125" s="76"/>
      <c r="N125" s="85"/>
      <c r="O125" s="89">
        <f t="shared" si="15"/>
        <v>0</v>
      </c>
      <c r="P125" s="386"/>
      <c r="Q125" s="80"/>
      <c r="R125" s="1268" t="s">
        <v>581</v>
      </c>
      <c r="S125" s="1271">
        <f>SUM('RES-EN'!O6:P53)</f>
        <v>0</v>
      </c>
      <c r="T125" s="1271">
        <f t="shared" si="18"/>
        <v>0</v>
      </c>
      <c r="U125" s="1271">
        <f t="shared" si="19"/>
        <v>0</v>
      </c>
      <c r="V125" s="1275"/>
    </row>
    <row r="126" spans="2:22" s="78" customFormat="1" ht="15.75">
      <c r="B126" s="76">
        <v>19</v>
      </c>
      <c r="C126" s="76"/>
      <c r="D126" s="85"/>
      <c r="E126" s="89">
        <f t="shared" si="16"/>
        <v>0</v>
      </c>
      <c r="G126" s="76">
        <v>19</v>
      </c>
      <c r="H126" s="76"/>
      <c r="I126" s="85"/>
      <c r="J126" s="89">
        <f t="shared" si="17"/>
        <v>0</v>
      </c>
      <c r="K126" s="79"/>
      <c r="L126" s="76">
        <v>19</v>
      </c>
      <c r="M126" s="76"/>
      <c r="N126" s="85"/>
      <c r="O126" s="89">
        <f t="shared" si="15"/>
        <v>0</v>
      </c>
      <c r="P126" s="386"/>
      <c r="Q126" s="80"/>
      <c r="R126" s="1270" t="s">
        <v>3</v>
      </c>
      <c r="S126" s="1272">
        <f>SUM(S120:S125)</f>
        <v>0</v>
      </c>
      <c r="T126" s="1272">
        <f>SUM(T120:T125)</f>
        <v>0</v>
      </c>
      <c r="U126" s="1272">
        <f>SUM(U120:U125)</f>
        <v>0</v>
      </c>
      <c r="V126" s="1270"/>
    </row>
    <row r="127" spans="2:22" s="78" customFormat="1" ht="15.75">
      <c r="B127" s="76">
        <v>20</v>
      </c>
      <c r="C127" s="76"/>
      <c r="D127" s="85"/>
      <c r="E127" s="89">
        <f t="shared" si="16"/>
        <v>0</v>
      </c>
      <c r="G127" s="76">
        <v>20</v>
      </c>
      <c r="H127" s="76"/>
      <c r="I127" s="85"/>
      <c r="J127" s="89">
        <f t="shared" si="17"/>
        <v>0</v>
      </c>
      <c r="K127" s="79"/>
      <c r="L127" s="76">
        <v>20</v>
      </c>
      <c r="M127" s="76"/>
      <c r="N127" s="85"/>
      <c r="O127" s="89">
        <f t="shared" si="15"/>
        <v>0</v>
      </c>
      <c r="P127" s="140"/>
      <c r="Q127" s="80"/>
      <c r="R127"/>
      <c r="S127"/>
      <c r="T127"/>
      <c r="U127"/>
      <c r="V127"/>
    </row>
    <row r="128" spans="2:22" s="78" customFormat="1" ht="15.75">
      <c r="B128" s="86" t="s">
        <v>3</v>
      </c>
      <c r="C128" s="85">
        <f>SUM(C108:C127)</f>
        <v>0</v>
      </c>
      <c r="D128" s="85"/>
      <c r="E128" s="95">
        <f>SUM(E108:E119)</f>
        <v>0</v>
      </c>
      <c r="F128" s="79"/>
      <c r="G128" s="86" t="s">
        <v>3</v>
      </c>
      <c r="H128" s="85">
        <f>SUM(H108:H127)</f>
        <v>0</v>
      </c>
      <c r="I128" s="85"/>
      <c r="J128" s="95">
        <f>SUM(J108:J119)</f>
        <v>0</v>
      </c>
      <c r="K128" s="79"/>
      <c r="L128" s="86" t="s">
        <v>3</v>
      </c>
      <c r="M128" s="85">
        <f>SUM(M108:M127)</f>
        <v>0</v>
      </c>
      <c r="N128" s="85"/>
      <c r="O128" s="95">
        <f>SUM(O108:O119)</f>
        <v>0</v>
      </c>
      <c r="P128" s="141"/>
      <c r="Q128" s="80"/>
      <c r="R128" s="1273" t="s">
        <v>613</v>
      </c>
      <c r="S128" s="1273" t="s">
        <v>629</v>
      </c>
      <c r="T128" s="1273" t="s">
        <v>138</v>
      </c>
      <c r="U128" s="1273" t="s">
        <v>630</v>
      </c>
      <c r="V128" s="1273" t="s">
        <v>423</v>
      </c>
    </row>
    <row r="129" spans="2:22" s="78" customFormat="1" ht="15.75">
      <c r="H129" s="79"/>
      <c r="I129" s="79"/>
      <c r="J129" s="79"/>
      <c r="K129" s="79"/>
      <c r="L129" s="79"/>
      <c r="M129" s="79"/>
      <c r="N129" s="79"/>
      <c r="O129" s="80"/>
      <c r="P129" s="359"/>
      <c r="Q129" s="80"/>
      <c r="R129" s="1273"/>
      <c r="S129" s="1273" t="s">
        <v>155</v>
      </c>
      <c r="T129" s="1273" t="s">
        <v>635</v>
      </c>
      <c r="U129" s="1273" t="s">
        <v>639</v>
      </c>
      <c r="V129" s="1273" t="s">
        <v>640</v>
      </c>
    </row>
    <row r="130" spans="2:22" s="78" customFormat="1" ht="15.75">
      <c r="B130" s="2297" t="str">
        <f>+B30</f>
        <v>CHERLITA</v>
      </c>
      <c r="C130" s="2297"/>
      <c r="D130" s="2297"/>
      <c r="E130" s="2297"/>
      <c r="G130" s="2297" t="str">
        <f>+G30</f>
        <v>CHARLY</v>
      </c>
      <c r="H130" s="2297"/>
      <c r="I130" s="2297"/>
      <c r="J130" s="2297"/>
      <c r="K130" s="79"/>
      <c r="L130" s="2297" t="str">
        <f>+L30</f>
        <v>POLANCO</v>
      </c>
      <c r="M130" s="2297"/>
      <c r="N130" s="2297"/>
      <c r="O130" s="2297"/>
      <c r="P130" s="138"/>
      <c r="Q130" s="80"/>
      <c r="R130"/>
      <c r="S130"/>
      <c r="T130"/>
      <c r="U130"/>
      <c r="V130"/>
    </row>
    <row r="131" spans="2:22" s="78" customFormat="1" ht="15.75">
      <c r="B131" s="93" t="s">
        <v>134</v>
      </c>
      <c r="C131" s="93" t="s">
        <v>9</v>
      </c>
      <c r="D131" s="93" t="s">
        <v>149</v>
      </c>
      <c r="E131" s="93" t="s">
        <v>146</v>
      </c>
      <c r="G131" s="93" t="s">
        <v>134</v>
      </c>
      <c r="H131" s="93" t="s">
        <v>9</v>
      </c>
      <c r="I131" s="93" t="s">
        <v>149</v>
      </c>
      <c r="J131" s="93" t="s">
        <v>146</v>
      </c>
      <c r="K131" s="81"/>
      <c r="L131" s="93" t="s">
        <v>134</v>
      </c>
      <c r="M131" s="93" t="s">
        <v>9</v>
      </c>
      <c r="N131" s="93" t="s">
        <v>149</v>
      </c>
      <c r="O131" s="93" t="s">
        <v>146</v>
      </c>
      <c r="P131" s="138"/>
      <c r="Q131" s="80"/>
      <c r="R131" s="1274" t="s">
        <v>641</v>
      </c>
      <c r="S131" s="2488" t="s">
        <v>642</v>
      </c>
      <c r="T131" s="2488"/>
      <c r="U131" s="2488"/>
      <c r="V131" s="2488"/>
    </row>
    <row r="132" spans="2:22" s="78" customFormat="1" ht="15.75">
      <c r="B132" s="76">
        <v>1</v>
      </c>
      <c r="C132" s="1531">
        <f>+'ENV. PLACAS'!P64</f>
        <v>0</v>
      </c>
      <c r="D132" s="85"/>
      <c r="E132" s="89">
        <f>+C132*D132/1000</f>
        <v>0</v>
      </c>
      <c r="G132" s="76">
        <v>1</v>
      </c>
      <c r="H132" s="1531">
        <f>+'ENV. PLACAS'!P65</f>
        <v>0</v>
      </c>
      <c r="I132" s="85"/>
      <c r="J132" s="89">
        <f>+H132*I132/1000</f>
        <v>0</v>
      </c>
      <c r="K132" s="81"/>
      <c r="L132" s="76">
        <v>1</v>
      </c>
      <c r="M132" s="1531">
        <f>+'ENV. PLACAS'!P66</f>
        <v>0</v>
      </c>
      <c r="N132" s="85"/>
      <c r="O132" s="89">
        <f>+M132*N132/1000</f>
        <v>0</v>
      </c>
      <c r="P132" s="140"/>
      <c r="Q132" s="80"/>
      <c r="R132"/>
      <c r="S132"/>
      <c r="T132"/>
      <c r="U132"/>
      <c r="V132"/>
    </row>
    <row r="133" spans="2:22" s="78" customFormat="1" ht="15.75">
      <c r="B133" s="76">
        <v>2</v>
      </c>
      <c r="C133" s="76"/>
      <c r="D133" s="85"/>
      <c r="E133" s="89">
        <f t="shared" ref="E133:E151" si="20">+C133*D133/1000</f>
        <v>0</v>
      </c>
      <c r="F133" s="82"/>
      <c r="G133" s="76">
        <v>2</v>
      </c>
      <c r="H133" s="76"/>
      <c r="I133" s="85"/>
      <c r="J133" s="89">
        <f>+H133*I133/1000</f>
        <v>0</v>
      </c>
      <c r="K133" s="81"/>
      <c r="L133" s="76">
        <v>2</v>
      </c>
      <c r="M133" s="76"/>
      <c r="N133" s="85"/>
      <c r="O133" s="89">
        <f t="shared" ref="O133:O151" si="21">+M133*N133/1000</f>
        <v>0</v>
      </c>
      <c r="P133" s="386"/>
      <c r="Q133" s="80"/>
      <c r="R133"/>
      <c r="S133"/>
      <c r="T133"/>
      <c r="U133"/>
      <c r="V133"/>
    </row>
    <row r="134" spans="2:22" s="78" customFormat="1" ht="15.75">
      <c r="B134" s="76">
        <v>3</v>
      </c>
      <c r="C134" s="76"/>
      <c r="D134" s="85"/>
      <c r="E134" s="89">
        <f t="shared" si="20"/>
        <v>0</v>
      </c>
      <c r="F134" s="80"/>
      <c r="G134" s="76">
        <v>3</v>
      </c>
      <c r="H134" s="76"/>
      <c r="I134" s="85"/>
      <c r="J134" s="89">
        <f>+H134*I134/1000</f>
        <v>0</v>
      </c>
      <c r="K134" s="81"/>
      <c r="L134" s="76">
        <v>3</v>
      </c>
      <c r="M134" s="76"/>
      <c r="N134" s="85"/>
      <c r="O134" s="89">
        <f t="shared" si="21"/>
        <v>0</v>
      </c>
      <c r="P134" s="386"/>
      <c r="Q134" s="80"/>
      <c r="R134"/>
      <c r="S134"/>
      <c r="T134"/>
      <c r="U134"/>
      <c r="V134"/>
    </row>
    <row r="135" spans="2:22" s="78" customFormat="1" ht="15.75">
      <c r="B135" s="76">
        <v>4</v>
      </c>
      <c r="C135" s="76"/>
      <c r="D135" s="85"/>
      <c r="E135" s="89">
        <f t="shared" si="20"/>
        <v>0</v>
      </c>
      <c r="F135" s="80"/>
      <c r="G135" s="76">
        <v>4</v>
      </c>
      <c r="H135" s="76"/>
      <c r="I135" s="85"/>
      <c r="J135" s="89">
        <f>+H135*I135/1000</f>
        <v>0</v>
      </c>
      <c r="K135" s="81"/>
      <c r="L135" s="76">
        <v>4</v>
      </c>
      <c r="M135" s="76"/>
      <c r="N135" s="85"/>
      <c r="O135" s="89">
        <f t="shared" si="21"/>
        <v>0</v>
      </c>
      <c r="P135" s="386"/>
      <c r="Q135" s="80"/>
    </row>
    <row r="136" spans="2:22" s="78" customFormat="1" ht="15.75">
      <c r="B136" s="76">
        <v>5</v>
      </c>
      <c r="C136" s="76"/>
      <c r="D136" s="85"/>
      <c r="E136" s="89">
        <f t="shared" si="20"/>
        <v>0</v>
      </c>
      <c r="F136" s="80"/>
      <c r="G136" s="76">
        <v>5</v>
      </c>
      <c r="H136" s="76"/>
      <c r="I136" s="85"/>
      <c r="J136" s="89">
        <f t="shared" ref="J136:J151" si="22">+H136*I136/1000</f>
        <v>0</v>
      </c>
      <c r="K136" s="81"/>
      <c r="L136" s="76">
        <v>5</v>
      </c>
      <c r="M136" s="76"/>
      <c r="N136" s="85"/>
      <c r="O136" s="89">
        <f t="shared" si="21"/>
        <v>0</v>
      </c>
      <c r="P136" s="386"/>
      <c r="Q136" s="80"/>
    </row>
    <row r="137" spans="2:22" s="78" customFormat="1" ht="15.75">
      <c r="B137" s="76">
        <v>6</v>
      </c>
      <c r="C137" s="76"/>
      <c r="D137" s="85"/>
      <c r="E137" s="89">
        <f t="shared" si="20"/>
        <v>0</v>
      </c>
      <c r="G137" s="76">
        <v>6</v>
      </c>
      <c r="H137" s="76"/>
      <c r="I137" s="85"/>
      <c r="J137" s="89">
        <f t="shared" si="22"/>
        <v>0</v>
      </c>
      <c r="K137" s="81"/>
      <c r="L137" s="76">
        <v>6</v>
      </c>
      <c r="M137" s="76"/>
      <c r="N137" s="85"/>
      <c r="O137" s="89">
        <f t="shared" si="21"/>
        <v>0</v>
      </c>
      <c r="P137" s="386"/>
      <c r="Q137" s="80"/>
    </row>
    <row r="138" spans="2:22" s="78" customFormat="1" ht="15.75">
      <c r="B138" s="76">
        <v>7</v>
      </c>
      <c r="C138" s="76"/>
      <c r="D138" s="85"/>
      <c r="E138" s="89">
        <f t="shared" si="20"/>
        <v>0</v>
      </c>
      <c r="G138" s="76">
        <v>7</v>
      </c>
      <c r="H138" s="76"/>
      <c r="I138" s="85"/>
      <c r="J138" s="89">
        <f t="shared" si="22"/>
        <v>0</v>
      </c>
      <c r="K138" s="83"/>
      <c r="L138" s="76">
        <v>7</v>
      </c>
      <c r="M138" s="76"/>
      <c r="N138" s="85"/>
      <c r="O138" s="89">
        <f t="shared" si="21"/>
        <v>0</v>
      </c>
      <c r="P138" s="386"/>
      <c r="Q138" s="80"/>
    </row>
    <row r="139" spans="2:22" s="78" customFormat="1" ht="15.75">
      <c r="B139" s="76">
        <v>8</v>
      </c>
      <c r="C139" s="76"/>
      <c r="D139" s="85"/>
      <c r="E139" s="89">
        <f t="shared" si="20"/>
        <v>0</v>
      </c>
      <c r="G139" s="76">
        <v>8</v>
      </c>
      <c r="H139" s="76"/>
      <c r="I139" s="85"/>
      <c r="J139" s="89">
        <f t="shared" si="22"/>
        <v>0</v>
      </c>
      <c r="K139" s="83"/>
      <c r="L139" s="76">
        <v>8</v>
      </c>
      <c r="M139" s="76"/>
      <c r="N139" s="85"/>
      <c r="O139" s="89">
        <f t="shared" si="21"/>
        <v>0</v>
      </c>
      <c r="P139" s="386"/>
      <c r="Q139" s="80"/>
    </row>
    <row r="140" spans="2:22" s="78" customFormat="1" ht="15.75">
      <c r="B140" s="76">
        <v>9</v>
      </c>
      <c r="C140" s="76"/>
      <c r="D140" s="85"/>
      <c r="E140" s="89">
        <f t="shared" si="20"/>
        <v>0</v>
      </c>
      <c r="F140" s="80"/>
      <c r="G140" s="76">
        <v>9</v>
      </c>
      <c r="H140" s="76"/>
      <c r="I140" s="85"/>
      <c r="J140" s="89">
        <f t="shared" si="22"/>
        <v>0</v>
      </c>
      <c r="K140" s="83"/>
      <c r="L140" s="76">
        <v>9</v>
      </c>
      <c r="M140" s="76"/>
      <c r="N140" s="85"/>
      <c r="O140" s="89">
        <f t="shared" si="21"/>
        <v>0</v>
      </c>
      <c r="P140" s="386"/>
    </row>
    <row r="141" spans="2:22" s="78" customFormat="1" ht="15.75">
      <c r="B141" s="76">
        <v>10</v>
      </c>
      <c r="C141" s="76"/>
      <c r="D141" s="85"/>
      <c r="E141" s="89">
        <f t="shared" si="20"/>
        <v>0</v>
      </c>
      <c r="F141" s="80"/>
      <c r="G141" s="76">
        <v>10</v>
      </c>
      <c r="H141" s="76"/>
      <c r="I141" s="85"/>
      <c r="J141" s="89">
        <f t="shared" si="22"/>
        <v>0</v>
      </c>
      <c r="K141" s="83"/>
      <c r="L141" s="76">
        <v>10</v>
      </c>
      <c r="M141" s="76"/>
      <c r="N141" s="85"/>
      <c r="O141" s="89">
        <f t="shared" si="21"/>
        <v>0</v>
      </c>
      <c r="P141" s="386"/>
    </row>
    <row r="142" spans="2:22" s="78" customFormat="1" ht="15.75">
      <c r="B142" s="76">
        <v>11</v>
      </c>
      <c r="C142" s="76"/>
      <c r="D142" s="85"/>
      <c r="E142" s="89">
        <f t="shared" si="20"/>
        <v>0</v>
      </c>
      <c r="F142" s="80"/>
      <c r="G142" s="76">
        <v>11</v>
      </c>
      <c r="H142" s="76"/>
      <c r="I142" s="85"/>
      <c r="J142" s="89">
        <f t="shared" si="22"/>
        <v>0</v>
      </c>
      <c r="K142" s="83"/>
      <c r="L142" s="76">
        <v>11</v>
      </c>
      <c r="M142" s="76"/>
      <c r="N142" s="85"/>
      <c r="O142" s="89">
        <f t="shared" si="21"/>
        <v>0</v>
      </c>
      <c r="P142" s="386"/>
    </row>
    <row r="143" spans="2:22" s="78" customFormat="1" ht="15.75">
      <c r="B143" s="2443" t="s">
        <v>632</v>
      </c>
      <c r="C143" s="2444"/>
      <c r="D143" s="2444"/>
      <c r="E143" s="2445"/>
      <c r="F143" s="80"/>
      <c r="G143" s="2443" t="s">
        <v>632</v>
      </c>
      <c r="H143" s="2444"/>
      <c r="I143" s="2444"/>
      <c r="J143" s="2445"/>
      <c r="K143" s="83"/>
      <c r="L143" s="2443" t="s">
        <v>632</v>
      </c>
      <c r="M143" s="2444"/>
      <c r="N143" s="2444"/>
      <c r="O143" s="2445"/>
      <c r="P143" s="386"/>
    </row>
    <row r="144" spans="2:22" s="78" customFormat="1" ht="15.75">
      <c r="B144" s="76">
        <v>13</v>
      </c>
      <c r="C144" s="76"/>
      <c r="D144" s="85"/>
      <c r="E144" s="89">
        <f t="shared" si="20"/>
        <v>0</v>
      </c>
      <c r="F144" s="80"/>
      <c r="G144" s="76">
        <v>13</v>
      </c>
      <c r="H144" s="76"/>
      <c r="I144" s="85"/>
      <c r="J144" s="89">
        <f t="shared" si="22"/>
        <v>0</v>
      </c>
      <c r="K144" s="83"/>
      <c r="L144" s="76">
        <v>13</v>
      </c>
      <c r="M144" s="76"/>
      <c r="N144" s="85"/>
      <c r="O144" s="89">
        <f t="shared" si="21"/>
        <v>0</v>
      </c>
      <c r="P144" s="386"/>
    </row>
    <row r="145" spans="2:17" s="78" customFormat="1" ht="15.75">
      <c r="B145" s="76">
        <v>14</v>
      </c>
      <c r="C145" s="76"/>
      <c r="D145" s="85"/>
      <c r="E145" s="89">
        <f t="shared" si="20"/>
        <v>0</v>
      </c>
      <c r="F145" s="80"/>
      <c r="G145" s="76">
        <v>14</v>
      </c>
      <c r="H145" s="76"/>
      <c r="I145" s="85"/>
      <c r="J145" s="89">
        <f t="shared" si="22"/>
        <v>0</v>
      </c>
      <c r="K145" s="83"/>
      <c r="L145" s="76">
        <v>14</v>
      </c>
      <c r="M145" s="76"/>
      <c r="N145" s="85"/>
      <c r="O145" s="89">
        <f t="shared" si="21"/>
        <v>0</v>
      </c>
      <c r="P145" s="386"/>
    </row>
    <row r="146" spans="2:17" s="78" customFormat="1" ht="15.75">
      <c r="B146" s="76">
        <v>15</v>
      </c>
      <c r="C146" s="76"/>
      <c r="D146" s="85"/>
      <c r="E146" s="89">
        <f t="shared" si="20"/>
        <v>0</v>
      </c>
      <c r="F146" s="80"/>
      <c r="G146" s="76">
        <v>15</v>
      </c>
      <c r="H146" s="76"/>
      <c r="I146" s="85"/>
      <c r="J146" s="89">
        <f t="shared" si="22"/>
        <v>0</v>
      </c>
      <c r="K146" s="83"/>
      <c r="L146" s="76">
        <v>15</v>
      </c>
      <c r="M146" s="76"/>
      <c r="N146" s="85"/>
      <c r="O146" s="89">
        <f t="shared" si="21"/>
        <v>0</v>
      </c>
      <c r="P146" s="386"/>
    </row>
    <row r="147" spans="2:17" s="78" customFormat="1" ht="15.75">
      <c r="B147" s="76">
        <v>16</v>
      </c>
      <c r="C147" s="76"/>
      <c r="D147" s="85"/>
      <c r="E147" s="89">
        <f t="shared" si="20"/>
        <v>0</v>
      </c>
      <c r="F147" s="80"/>
      <c r="G147" s="76">
        <v>16</v>
      </c>
      <c r="H147" s="76"/>
      <c r="I147" s="85"/>
      <c r="J147" s="89">
        <f t="shared" si="22"/>
        <v>0</v>
      </c>
      <c r="K147" s="83"/>
      <c r="L147" s="76">
        <v>16</v>
      </c>
      <c r="M147" s="76"/>
      <c r="N147" s="85"/>
      <c r="O147" s="89">
        <f t="shared" si="21"/>
        <v>0</v>
      </c>
      <c r="P147" s="386"/>
    </row>
    <row r="148" spans="2:17" s="78" customFormat="1" ht="15.75">
      <c r="B148" s="76">
        <v>17</v>
      </c>
      <c r="C148" s="76"/>
      <c r="D148" s="85"/>
      <c r="E148" s="89">
        <f t="shared" si="20"/>
        <v>0</v>
      </c>
      <c r="F148" s="80"/>
      <c r="G148" s="76">
        <v>17</v>
      </c>
      <c r="H148" s="76"/>
      <c r="I148" s="85"/>
      <c r="J148" s="89">
        <f t="shared" si="22"/>
        <v>0</v>
      </c>
      <c r="K148" s="83"/>
      <c r="L148" s="76">
        <v>17</v>
      </c>
      <c r="M148" s="76"/>
      <c r="N148" s="85"/>
      <c r="O148" s="89">
        <f t="shared" si="21"/>
        <v>0</v>
      </c>
      <c r="P148" s="386"/>
    </row>
    <row r="149" spans="2:17" s="78" customFormat="1" ht="15.75">
      <c r="B149" s="76">
        <v>18</v>
      </c>
      <c r="C149" s="76"/>
      <c r="D149" s="85"/>
      <c r="E149" s="89">
        <f t="shared" si="20"/>
        <v>0</v>
      </c>
      <c r="F149" s="80"/>
      <c r="G149" s="76">
        <v>18</v>
      </c>
      <c r="H149" s="76"/>
      <c r="I149" s="85"/>
      <c r="J149" s="89">
        <f t="shared" si="22"/>
        <v>0</v>
      </c>
      <c r="K149" s="83"/>
      <c r="L149" s="76">
        <v>18</v>
      </c>
      <c r="M149" s="76"/>
      <c r="N149" s="85"/>
      <c r="O149" s="89">
        <f t="shared" si="21"/>
        <v>0</v>
      </c>
      <c r="P149" s="386"/>
    </row>
    <row r="150" spans="2:17" s="78" customFormat="1" ht="15.75">
      <c r="B150" s="76">
        <v>19</v>
      </c>
      <c r="C150" s="76"/>
      <c r="D150" s="85"/>
      <c r="E150" s="89">
        <f t="shared" si="20"/>
        <v>0</v>
      </c>
      <c r="F150" s="80"/>
      <c r="G150" s="76">
        <v>19</v>
      </c>
      <c r="H150" s="76"/>
      <c r="I150" s="85"/>
      <c r="J150" s="89">
        <f t="shared" si="22"/>
        <v>0</v>
      </c>
      <c r="K150" s="83"/>
      <c r="L150" s="76">
        <v>19</v>
      </c>
      <c r="M150" s="76"/>
      <c r="N150" s="85"/>
      <c r="O150" s="89">
        <f t="shared" si="21"/>
        <v>0</v>
      </c>
      <c r="P150" s="386"/>
    </row>
    <row r="151" spans="2:17" s="78" customFormat="1" ht="15.75">
      <c r="B151" s="76">
        <v>20</v>
      </c>
      <c r="C151" s="76"/>
      <c r="D151" s="85"/>
      <c r="E151" s="89">
        <f t="shared" si="20"/>
        <v>0</v>
      </c>
      <c r="F151" s="80"/>
      <c r="G151" s="76">
        <v>20</v>
      </c>
      <c r="H151" s="76"/>
      <c r="I151" s="85"/>
      <c r="J151" s="89">
        <f t="shared" si="22"/>
        <v>0</v>
      </c>
      <c r="K151" s="83"/>
      <c r="L151" s="76">
        <v>20</v>
      </c>
      <c r="M151" s="76"/>
      <c r="N151" s="85"/>
      <c r="O151" s="89">
        <f t="shared" si="21"/>
        <v>0</v>
      </c>
      <c r="P151" s="386"/>
    </row>
    <row r="152" spans="2:17" s="78" customFormat="1" ht="15.75">
      <c r="B152" s="86" t="s">
        <v>3</v>
      </c>
      <c r="C152" s="85">
        <f>SUM(C132:C151)</f>
        <v>0</v>
      </c>
      <c r="D152" s="85"/>
      <c r="E152" s="95">
        <f>SUM(E132:E151)</f>
        <v>0</v>
      </c>
      <c r="F152" s="79"/>
      <c r="G152" s="86" t="s">
        <v>3</v>
      </c>
      <c r="H152" s="85">
        <f>SUM(H132:H151)</f>
        <v>0</v>
      </c>
      <c r="I152" s="85"/>
      <c r="J152" s="95">
        <f>SUM(J132:J151)</f>
        <v>0</v>
      </c>
      <c r="K152" s="79"/>
      <c r="L152" s="86" t="s">
        <v>3</v>
      </c>
      <c r="M152" s="85">
        <f>SUM(M132:M151)</f>
        <v>0</v>
      </c>
      <c r="N152" s="85"/>
      <c r="O152" s="95">
        <f>SUM(O132:O151)</f>
        <v>0</v>
      </c>
      <c r="P152" s="316"/>
      <c r="Q152" s="80"/>
    </row>
    <row r="154" spans="2:17">
      <c r="B154" s="2297" t="str">
        <f>+B55</f>
        <v>ELIANA</v>
      </c>
      <c r="C154" s="2297"/>
      <c r="D154" s="2297"/>
      <c r="E154" s="2297"/>
      <c r="G154" s="2297" t="str">
        <f>+G55</f>
        <v>ALENET</v>
      </c>
      <c r="H154" s="2297"/>
      <c r="I154" s="2297"/>
      <c r="J154" s="2297"/>
      <c r="L154" s="2297" t="str">
        <f>+L55</f>
        <v>ERIKA</v>
      </c>
      <c r="M154" s="2297"/>
      <c r="N154" s="2297"/>
      <c r="O154" s="2297"/>
    </row>
    <row r="155" spans="2:17" ht="19.5" customHeight="1">
      <c r="B155" s="93" t="s">
        <v>134</v>
      </c>
      <c r="C155" s="93" t="s">
        <v>9</v>
      </c>
      <c r="D155" s="93" t="s">
        <v>149</v>
      </c>
      <c r="E155" s="93" t="s">
        <v>146</v>
      </c>
      <c r="G155" s="93" t="s">
        <v>134</v>
      </c>
      <c r="H155" s="93" t="s">
        <v>9</v>
      </c>
      <c r="I155" s="93" t="s">
        <v>149</v>
      </c>
      <c r="J155" s="93" t="s">
        <v>146</v>
      </c>
      <c r="L155" s="93" t="s">
        <v>134</v>
      </c>
      <c r="M155" s="93" t="s">
        <v>9</v>
      </c>
      <c r="N155" s="93" t="s">
        <v>149</v>
      </c>
      <c r="O155" s="93" t="s">
        <v>146</v>
      </c>
    </row>
    <row r="156" spans="2:17" ht="19.5" customHeight="1">
      <c r="B156" s="76">
        <v>1</v>
      </c>
      <c r="C156" s="1531">
        <f>+'ENV. PLACAS'!P67</f>
        <v>0</v>
      </c>
      <c r="D156" s="85"/>
      <c r="E156" s="89">
        <f>+C156*D156/1000</f>
        <v>0</v>
      </c>
      <c r="G156" s="76">
        <v>1</v>
      </c>
      <c r="H156" s="1531">
        <f>+'ENV. PLACAS'!P68</f>
        <v>0</v>
      </c>
      <c r="I156" s="85"/>
      <c r="J156" s="89">
        <f>+H156*I156/1000</f>
        <v>0</v>
      </c>
      <c r="L156" s="76">
        <v>1</v>
      </c>
      <c r="M156" s="1531">
        <f>+'ENV. PLACAS'!P69</f>
        <v>0</v>
      </c>
      <c r="N156" s="85"/>
      <c r="O156" s="89">
        <f>+M156*N156/1000</f>
        <v>0</v>
      </c>
    </row>
    <row r="157" spans="2:17" ht="19.5" customHeight="1">
      <c r="B157" s="76">
        <v>2</v>
      </c>
      <c r="C157" s="76"/>
      <c r="D157" s="85"/>
      <c r="E157" s="89">
        <f t="shared" ref="E157:E175" si="23">+C157*D157/1000</f>
        <v>0</v>
      </c>
      <c r="G157" s="76">
        <v>2</v>
      </c>
      <c r="H157" s="76"/>
      <c r="I157" s="85"/>
      <c r="J157" s="89">
        <f t="shared" ref="J157:J175" si="24">+H157*I157/1000</f>
        <v>0</v>
      </c>
      <c r="L157" s="76">
        <v>2</v>
      </c>
      <c r="M157" s="76"/>
      <c r="N157" s="85"/>
      <c r="O157" s="89">
        <f t="shared" ref="O157:O175" si="25">+M157*N157/1000</f>
        <v>0</v>
      </c>
    </row>
    <row r="158" spans="2:17" ht="19.5" customHeight="1">
      <c r="B158" s="76">
        <v>3</v>
      </c>
      <c r="C158" s="76"/>
      <c r="D158" s="85"/>
      <c r="E158" s="89">
        <f t="shared" si="23"/>
        <v>0</v>
      </c>
      <c r="G158" s="76">
        <v>3</v>
      </c>
      <c r="H158" s="76"/>
      <c r="I158" s="85"/>
      <c r="J158" s="89">
        <f t="shared" si="24"/>
        <v>0</v>
      </c>
      <c r="L158" s="76">
        <v>3</v>
      </c>
      <c r="M158" s="76"/>
      <c r="N158" s="85"/>
      <c r="O158" s="89">
        <f t="shared" si="25"/>
        <v>0</v>
      </c>
    </row>
    <row r="159" spans="2:17" ht="19.5" customHeight="1">
      <c r="B159" s="76">
        <v>4</v>
      </c>
      <c r="C159" s="76"/>
      <c r="D159" s="85"/>
      <c r="E159" s="89">
        <f t="shared" si="23"/>
        <v>0</v>
      </c>
      <c r="G159" s="76">
        <v>4</v>
      </c>
      <c r="H159" s="76"/>
      <c r="I159" s="85"/>
      <c r="J159" s="89">
        <f t="shared" si="24"/>
        <v>0</v>
      </c>
      <c r="L159" s="76">
        <v>4</v>
      </c>
      <c r="M159" s="76"/>
      <c r="N159" s="85"/>
      <c r="O159" s="89">
        <f t="shared" si="25"/>
        <v>0</v>
      </c>
    </row>
    <row r="160" spans="2:17" ht="19.5" customHeight="1">
      <c r="B160" s="76">
        <v>5</v>
      </c>
      <c r="C160" s="76"/>
      <c r="D160" s="85"/>
      <c r="E160" s="89">
        <f t="shared" si="23"/>
        <v>0</v>
      </c>
      <c r="G160" s="76">
        <v>5</v>
      </c>
      <c r="H160" s="76"/>
      <c r="I160" s="85"/>
      <c r="J160" s="89">
        <f t="shared" si="24"/>
        <v>0</v>
      </c>
      <c r="L160" s="76">
        <v>5</v>
      </c>
      <c r="M160" s="76"/>
      <c r="N160" s="85"/>
      <c r="O160" s="89">
        <f t="shared" si="25"/>
        <v>0</v>
      </c>
    </row>
    <row r="161" spans="2:19" ht="19.5" customHeight="1">
      <c r="B161" s="76">
        <v>6</v>
      </c>
      <c r="C161" s="76"/>
      <c r="D161" s="85"/>
      <c r="E161" s="89">
        <f t="shared" si="23"/>
        <v>0</v>
      </c>
      <c r="G161" s="76">
        <v>6</v>
      </c>
      <c r="H161" s="76"/>
      <c r="I161" s="85"/>
      <c r="J161" s="89">
        <f t="shared" si="24"/>
        <v>0</v>
      </c>
      <c r="L161" s="76">
        <v>6</v>
      </c>
      <c r="M161" s="76"/>
      <c r="N161" s="85"/>
      <c r="O161" s="89">
        <f t="shared" si="25"/>
        <v>0</v>
      </c>
    </row>
    <row r="162" spans="2:19" ht="19.5" customHeight="1">
      <c r="B162" s="76">
        <v>7</v>
      </c>
      <c r="C162" s="76"/>
      <c r="D162" s="85"/>
      <c r="E162" s="89">
        <f t="shared" si="23"/>
        <v>0</v>
      </c>
      <c r="G162" s="76">
        <v>7</v>
      </c>
      <c r="H162" s="76"/>
      <c r="I162" s="85"/>
      <c r="J162" s="89">
        <f t="shared" si="24"/>
        <v>0</v>
      </c>
      <c r="L162" s="76">
        <v>7</v>
      </c>
      <c r="M162" s="76"/>
      <c r="N162" s="85"/>
      <c r="O162" s="89">
        <f t="shared" si="25"/>
        <v>0</v>
      </c>
    </row>
    <row r="163" spans="2:19" ht="19.5" customHeight="1">
      <c r="B163" s="76">
        <v>8</v>
      </c>
      <c r="C163" s="76"/>
      <c r="D163" s="85"/>
      <c r="E163" s="89">
        <f t="shared" si="23"/>
        <v>0</v>
      </c>
      <c r="G163" s="76">
        <v>8</v>
      </c>
      <c r="H163" s="76"/>
      <c r="I163" s="85"/>
      <c r="J163" s="89">
        <f t="shared" si="24"/>
        <v>0</v>
      </c>
      <c r="L163" s="76">
        <v>8</v>
      </c>
      <c r="M163" s="76"/>
      <c r="N163" s="85"/>
      <c r="O163" s="89">
        <f t="shared" si="25"/>
        <v>0</v>
      </c>
    </row>
    <row r="164" spans="2:19" ht="19.5" customHeight="1">
      <c r="B164" s="76">
        <v>9</v>
      </c>
      <c r="C164" s="76"/>
      <c r="D164" s="85"/>
      <c r="E164" s="89">
        <f t="shared" si="23"/>
        <v>0</v>
      </c>
      <c r="G164" s="76">
        <v>9</v>
      </c>
      <c r="H164" s="76"/>
      <c r="I164" s="85"/>
      <c r="J164" s="89">
        <f t="shared" si="24"/>
        <v>0</v>
      </c>
      <c r="L164" s="76">
        <v>9</v>
      </c>
      <c r="M164" s="76"/>
      <c r="N164" s="85"/>
      <c r="O164" s="89">
        <f t="shared" si="25"/>
        <v>0</v>
      </c>
    </row>
    <row r="165" spans="2:19" ht="19.5" customHeight="1">
      <c r="B165" s="76">
        <v>10</v>
      </c>
      <c r="C165" s="76"/>
      <c r="D165" s="85"/>
      <c r="E165" s="89">
        <f t="shared" si="23"/>
        <v>0</v>
      </c>
      <c r="G165" s="76">
        <v>10</v>
      </c>
      <c r="H165" s="76"/>
      <c r="I165" s="85"/>
      <c r="J165" s="89">
        <f t="shared" si="24"/>
        <v>0</v>
      </c>
      <c r="L165" s="76">
        <v>10</v>
      </c>
      <c r="M165" s="76"/>
      <c r="N165" s="85"/>
      <c r="O165" s="89">
        <f t="shared" si="25"/>
        <v>0</v>
      </c>
    </row>
    <row r="166" spans="2:19" ht="19.5" customHeight="1">
      <c r="B166" s="76">
        <v>11</v>
      </c>
      <c r="C166" s="76"/>
      <c r="D166" s="85"/>
      <c r="E166" s="89">
        <f t="shared" si="23"/>
        <v>0</v>
      </c>
      <c r="G166" s="76">
        <v>11</v>
      </c>
      <c r="H166" s="76"/>
      <c r="I166" s="85"/>
      <c r="J166" s="89">
        <f t="shared" si="24"/>
        <v>0</v>
      </c>
      <c r="L166" s="76">
        <v>11</v>
      </c>
      <c r="M166" s="76"/>
      <c r="N166" s="85"/>
      <c r="O166" s="89">
        <f t="shared" si="25"/>
        <v>0</v>
      </c>
    </row>
    <row r="167" spans="2:19" ht="19.5" customHeight="1">
      <c r="B167" s="2443" t="s">
        <v>632</v>
      </c>
      <c r="C167" s="2444"/>
      <c r="D167" s="2444"/>
      <c r="E167" s="2445"/>
      <c r="G167" s="2443" t="s">
        <v>632</v>
      </c>
      <c r="H167" s="2444"/>
      <c r="I167" s="2444"/>
      <c r="J167" s="2445"/>
      <c r="L167" s="2443" t="s">
        <v>632</v>
      </c>
      <c r="M167" s="2444"/>
      <c r="N167" s="2444"/>
      <c r="O167" s="2445"/>
    </row>
    <row r="168" spans="2:19" ht="19.5" customHeight="1">
      <c r="B168" s="76">
        <v>13</v>
      </c>
      <c r="C168" s="76"/>
      <c r="D168" s="85"/>
      <c r="E168" s="89">
        <f t="shared" si="23"/>
        <v>0</v>
      </c>
      <c r="G168" s="76">
        <v>13</v>
      </c>
      <c r="H168" s="76"/>
      <c r="I168" s="85"/>
      <c r="J168" s="89">
        <f t="shared" si="24"/>
        <v>0</v>
      </c>
      <c r="L168" s="76">
        <v>13</v>
      </c>
      <c r="M168" s="76"/>
      <c r="N168" s="85"/>
      <c r="O168" s="89">
        <f t="shared" si="25"/>
        <v>0</v>
      </c>
    </row>
    <row r="169" spans="2:19" ht="19.5" customHeight="1">
      <c r="B169" s="76">
        <v>14</v>
      </c>
      <c r="C169" s="76"/>
      <c r="D169" s="85"/>
      <c r="E169" s="89">
        <f t="shared" si="23"/>
        <v>0</v>
      </c>
      <c r="G169" s="76">
        <v>14</v>
      </c>
      <c r="H169" s="76"/>
      <c r="I169" s="85"/>
      <c r="J169" s="89">
        <f t="shared" si="24"/>
        <v>0</v>
      </c>
      <c r="L169" s="76">
        <v>14</v>
      </c>
      <c r="M169" s="76"/>
      <c r="N169" s="85"/>
      <c r="O169" s="89">
        <f t="shared" si="25"/>
        <v>0</v>
      </c>
      <c r="R169" s="1489"/>
      <c r="S169" s="1489"/>
    </row>
    <row r="170" spans="2:19" ht="19.5" customHeight="1">
      <c r="B170" s="76">
        <v>15</v>
      </c>
      <c r="C170" s="76"/>
      <c r="D170" s="85"/>
      <c r="E170" s="89">
        <f t="shared" si="23"/>
        <v>0</v>
      </c>
      <c r="G170" s="76">
        <v>15</v>
      </c>
      <c r="H170" s="76"/>
      <c r="I170" s="85"/>
      <c r="J170" s="89">
        <f t="shared" si="24"/>
        <v>0</v>
      </c>
      <c r="L170" s="76">
        <v>15</v>
      </c>
      <c r="M170" s="76"/>
      <c r="N170" s="85"/>
      <c r="O170" s="89">
        <f t="shared" si="25"/>
        <v>0</v>
      </c>
    </row>
    <row r="171" spans="2:19" ht="19.5" customHeight="1">
      <c r="B171" s="76">
        <v>16</v>
      </c>
      <c r="C171" s="76"/>
      <c r="D171" s="85"/>
      <c r="E171" s="89">
        <f t="shared" si="23"/>
        <v>0</v>
      </c>
      <c r="G171" s="76">
        <v>16</v>
      </c>
      <c r="H171" s="76"/>
      <c r="I171" s="85"/>
      <c r="J171" s="89">
        <f t="shared" si="24"/>
        <v>0</v>
      </c>
      <c r="L171" s="76">
        <v>16</v>
      </c>
      <c r="M171" s="76"/>
      <c r="N171" s="85"/>
      <c r="O171" s="89">
        <f t="shared" si="25"/>
        <v>0</v>
      </c>
    </row>
    <row r="172" spans="2:19" ht="19.5" customHeight="1">
      <c r="B172" s="76">
        <v>17</v>
      </c>
      <c r="C172" s="76"/>
      <c r="D172" s="85"/>
      <c r="E172" s="89">
        <f t="shared" si="23"/>
        <v>0</v>
      </c>
      <c r="G172" s="76">
        <v>17</v>
      </c>
      <c r="H172" s="76"/>
      <c r="I172" s="85"/>
      <c r="J172" s="89">
        <f t="shared" si="24"/>
        <v>0</v>
      </c>
      <c r="L172" s="76">
        <v>17</v>
      </c>
      <c r="M172" s="76"/>
      <c r="N172" s="85"/>
      <c r="O172" s="89">
        <f t="shared" si="25"/>
        <v>0</v>
      </c>
    </row>
    <row r="173" spans="2:19" ht="19.5" customHeight="1">
      <c r="B173" s="76">
        <v>18</v>
      </c>
      <c r="C173" s="76"/>
      <c r="D173" s="85"/>
      <c r="E173" s="89">
        <f t="shared" si="23"/>
        <v>0</v>
      </c>
      <c r="G173" s="76">
        <v>18</v>
      </c>
      <c r="H173" s="76"/>
      <c r="I173" s="85"/>
      <c r="J173" s="89">
        <f t="shared" si="24"/>
        <v>0</v>
      </c>
      <c r="L173" s="76">
        <v>18</v>
      </c>
      <c r="M173" s="76"/>
      <c r="N173" s="85"/>
      <c r="O173" s="89">
        <f t="shared" si="25"/>
        <v>0</v>
      </c>
    </row>
    <row r="174" spans="2:19" ht="19.5" customHeight="1">
      <c r="B174" s="76">
        <v>19</v>
      </c>
      <c r="C174" s="76"/>
      <c r="D174" s="85"/>
      <c r="E174" s="89">
        <f t="shared" si="23"/>
        <v>0</v>
      </c>
      <c r="G174" s="76">
        <v>19</v>
      </c>
      <c r="H174" s="76"/>
      <c r="I174" s="85"/>
      <c r="J174" s="89">
        <f t="shared" si="24"/>
        <v>0</v>
      </c>
      <c r="L174" s="76">
        <v>19</v>
      </c>
      <c r="M174" s="76"/>
      <c r="N174" s="85"/>
      <c r="O174" s="89">
        <f t="shared" si="25"/>
        <v>0</v>
      </c>
      <c r="R174" s="1489"/>
    </row>
    <row r="175" spans="2:19" ht="19.5" customHeight="1">
      <c r="B175" s="76">
        <v>20</v>
      </c>
      <c r="C175" s="76"/>
      <c r="D175" s="85"/>
      <c r="E175" s="89">
        <f t="shared" si="23"/>
        <v>0</v>
      </c>
      <c r="G175" s="76">
        <v>20</v>
      </c>
      <c r="H175" s="76"/>
      <c r="I175" s="85"/>
      <c r="J175" s="89">
        <f t="shared" si="24"/>
        <v>0</v>
      </c>
      <c r="L175" s="76">
        <v>20</v>
      </c>
      <c r="M175" s="76"/>
      <c r="N175" s="85"/>
      <c r="O175" s="89">
        <f t="shared" si="25"/>
        <v>0</v>
      </c>
    </row>
    <row r="176" spans="2:19">
      <c r="B176" s="86" t="s">
        <v>3</v>
      </c>
      <c r="C176" s="85">
        <f>SUM(C156:C175)</f>
        <v>0</v>
      </c>
      <c r="D176" s="85"/>
      <c r="E176" s="95">
        <f>SUM(E156:E175)</f>
        <v>0</v>
      </c>
      <c r="G176" s="86" t="s">
        <v>3</v>
      </c>
      <c r="H176" s="307">
        <f>SUM(H156:H175)</f>
        <v>0</v>
      </c>
      <c r="I176" s="85"/>
      <c r="J176" s="1152">
        <f>SUM(J156:J175)</f>
        <v>0</v>
      </c>
      <c r="L176" s="86" t="s">
        <v>3</v>
      </c>
      <c r="M176" s="307">
        <f>SUM(M156:M175)</f>
        <v>0</v>
      </c>
      <c r="N176" s="85"/>
      <c r="O176" s="1152">
        <f>SUM(O156:O175)</f>
        <v>0</v>
      </c>
    </row>
    <row r="179" spans="2:10">
      <c r="B179" s="2297" t="str">
        <f>+B79</f>
        <v>MARILU</v>
      </c>
      <c r="C179" s="2297"/>
      <c r="D179" s="2297"/>
      <c r="E179" s="2297"/>
      <c r="G179" s="2297" t="str">
        <f>+G79</f>
        <v>WALLDO</v>
      </c>
      <c r="H179" s="2297"/>
      <c r="I179" s="2297"/>
      <c r="J179" s="2297"/>
    </row>
    <row r="180" spans="2:10">
      <c r="B180" s="93" t="s">
        <v>134</v>
      </c>
      <c r="C180" s="93" t="s">
        <v>9</v>
      </c>
      <c r="D180" s="93" t="s">
        <v>149</v>
      </c>
      <c r="E180" s="93" t="s">
        <v>146</v>
      </c>
      <c r="G180" s="93" t="s">
        <v>134</v>
      </c>
      <c r="H180" s="93" t="s">
        <v>9</v>
      </c>
      <c r="I180" s="93" t="s">
        <v>149</v>
      </c>
      <c r="J180" s="93" t="s">
        <v>146</v>
      </c>
    </row>
    <row r="181" spans="2:10">
      <c r="B181" s="76">
        <v>1</v>
      </c>
      <c r="C181" s="1531">
        <f>+'ENV. PLACAS'!P70</f>
        <v>0</v>
      </c>
      <c r="D181" s="85"/>
      <c r="E181" s="89">
        <f>+C181*D181/1000</f>
        <v>0</v>
      </c>
      <c r="G181" s="76">
        <v>1</v>
      </c>
      <c r="H181" s="1531">
        <f>+'ENV. PLACAS'!P71</f>
        <v>0</v>
      </c>
      <c r="I181" s="85"/>
      <c r="J181" s="89">
        <f>+H181*I181/1000</f>
        <v>0</v>
      </c>
    </row>
    <row r="182" spans="2:10">
      <c r="B182" s="76">
        <v>2</v>
      </c>
      <c r="C182" s="76"/>
      <c r="D182" s="85"/>
      <c r="E182" s="89">
        <f t="shared" ref="E182:E189" si="26">+C182*D182/1000</f>
        <v>0</v>
      </c>
      <c r="G182" s="76">
        <v>2</v>
      </c>
      <c r="H182" s="76"/>
      <c r="I182" s="85"/>
      <c r="J182" s="89">
        <f t="shared" ref="J182:J189" si="27">+H182*I182/1000</f>
        <v>0</v>
      </c>
    </row>
    <row r="183" spans="2:10">
      <c r="B183" s="76">
        <v>3</v>
      </c>
      <c r="C183" s="76"/>
      <c r="D183" s="85"/>
      <c r="E183" s="89">
        <f t="shared" si="26"/>
        <v>0</v>
      </c>
      <c r="G183" s="76">
        <v>3</v>
      </c>
      <c r="H183" s="76"/>
      <c r="I183" s="85"/>
      <c r="J183" s="89">
        <f t="shared" si="27"/>
        <v>0</v>
      </c>
    </row>
    <row r="184" spans="2:10">
      <c r="B184" s="76">
        <v>4</v>
      </c>
      <c r="C184" s="76"/>
      <c r="D184" s="85"/>
      <c r="E184" s="89">
        <f t="shared" si="26"/>
        <v>0</v>
      </c>
      <c r="G184" s="76">
        <v>4</v>
      </c>
      <c r="H184" s="76"/>
      <c r="I184" s="85"/>
      <c r="J184" s="89">
        <f t="shared" si="27"/>
        <v>0</v>
      </c>
    </row>
    <row r="185" spans="2:10">
      <c r="B185" s="76">
        <v>5</v>
      </c>
      <c r="C185" s="76"/>
      <c r="D185" s="85"/>
      <c r="E185" s="89">
        <f t="shared" si="26"/>
        <v>0</v>
      </c>
      <c r="G185" s="76">
        <v>5</v>
      </c>
      <c r="H185" s="76"/>
      <c r="I185" s="85"/>
      <c r="J185" s="89">
        <f t="shared" si="27"/>
        <v>0</v>
      </c>
    </row>
    <row r="186" spans="2:10">
      <c r="B186" s="76">
        <v>6</v>
      </c>
      <c r="C186" s="76"/>
      <c r="D186" s="85"/>
      <c r="E186" s="89">
        <f t="shared" si="26"/>
        <v>0</v>
      </c>
      <c r="G186" s="76">
        <v>6</v>
      </c>
      <c r="H186" s="76"/>
      <c r="I186" s="85"/>
      <c r="J186" s="89">
        <f t="shared" si="27"/>
        <v>0</v>
      </c>
    </row>
    <row r="187" spans="2:10">
      <c r="B187" s="76">
        <v>7</v>
      </c>
      <c r="C187" s="76"/>
      <c r="D187" s="85"/>
      <c r="E187" s="89">
        <f t="shared" si="26"/>
        <v>0</v>
      </c>
      <c r="G187" s="76">
        <v>7</v>
      </c>
      <c r="H187" s="76"/>
      <c r="I187" s="85"/>
      <c r="J187" s="89">
        <f t="shared" si="27"/>
        <v>0</v>
      </c>
    </row>
    <row r="188" spans="2:10">
      <c r="B188" s="76">
        <v>8</v>
      </c>
      <c r="C188" s="76"/>
      <c r="D188" s="85"/>
      <c r="E188" s="89">
        <f t="shared" si="26"/>
        <v>0</v>
      </c>
      <c r="G188" s="76">
        <v>8</v>
      </c>
      <c r="H188" s="76"/>
      <c r="I188" s="85"/>
      <c r="J188" s="89">
        <f t="shared" si="27"/>
        <v>0</v>
      </c>
    </row>
    <row r="189" spans="2:10" ht="23.25" customHeight="1">
      <c r="B189" s="76">
        <v>9</v>
      </c>
      <c r="C189" s="76"/>
      <c r="D189" s="85"/>
      <c r="E189" s="89">
        <f t="shared" si="26"/>
        <v>0</v>
      </c>
      <c r="G189" s="76">
        <v>9</v>
      </c>
      <c r="H189" s="76"/>
      <c r="I189" s="85"/>
      <c r="J189" s="89">
        <f t="shared" si="27"/>
        <v>0</v>
      </c>
    </row>
    <row r="190" spans="2:10">
      <c r="B190" s="2443" t="s">
        <v>632</v>
      </c>
      <c r="C190" s="2444"/>
      <c r="D190" s="2444"/>
      <c r="E190" s="2445"/>
      <c r="G190" s="2443" t="s">
        <v>632</v>
      </c>
      <c r="H190" s="2444"/>
      <c r="I190" s="2444"/>
      <c r="J190" s="2445"/>
    </row>
    <row r="191" spans="2:10">
      <c r="B191" s="76">
        <v>11</v>
      </c>
      <c r="C191" s="76"/>
      <c r="D191" s="85"/>
      <c r="E191" s="89">
        <f t="shared" ref="E191:E200" si="28">+C191*D191/1000</f>
        <v>0</v>
      </c>
      <c r="G191" s="76">
        <v>11</v>
      </c>
      <c r="H191" s="76"/>
      <c r="I191" s="85"/>
      <c r="J191" s="89">
        <f t="shared" ref="J191:J200" si="29">+H191*I191/1000</f>
        <v>0</v>
      </c>
    </row>
    <row r="192" spans="2:10">
      <c r="B192" s="76">
        <v>12</v>
      </c>
      <c r="C192" s="76"/>
      <c r="D192" s="85"/>
      <c r="E192" s="89">
        <f t="shared" si="28"/>
        <v>0</v>
      </c>
      <c r="G192" s="76">
        <v>12</v>
      </c>
      <c r="H192" s="76"/>
      <c r="I192" s="85"/>
      <c r="J192" s="89">
        <f t="shared" si="29"/>
        <v>0</v>
      </c>
    </row>
    <row r="193" spans="2:10">
      <c r="B193" s="76">
        <v>13</v>
      </c>
      <c r="C193" s="76"/>
      <c r="D193" s="85"/>
      <c r="E193" s="89">
        <f t="shared" si="28"/>
        <v>0</v>
      </c>
      <c r="G193" s="76">
        <v>13</v>
      </c>
      <c r="H193" s="76"/>
      <c r="I193" s="85"/>
      <c r="J193" s="89">
        <f t="shared" si="29"/>
        <v>0</v>
      </c>
    </row>
    <row r="194" spans="2:10">
      <c r="B194" s="76">
        <v>14</v>
      </c>
      <c r="C194" s="76"/>
      <c r="D194" s="85"/>
      <c r="E194" s="89">
        <f t="shared" si="28"/>
        <v>0</v>
      </c>
      <c r="G194" s="76">
        <v>14</v>
      </c>
      <c r="H194" s="76"/>
      <c r="I194" s="85"/>
      <c r="J194" s="89">
        <f t="shared" si="29"/>
        <v>0</v>
      </c>
    </row>
    <row r="195" spans="2:10">
      <c r="B195" s="76">
        <v>15</v>
      </c>
      <c r="C195" s="76"/>
      <c r="D195" s="85"/>
      <c r="E195" s="89">
        <f t="shared" si="28"/>
        <v>0</v>
      </c>
      <c r="G195" s="76">
        <v>15</v>
      </c>
      <c r="H195" s="76"/>
      <c r="I195" s="85"/>
      <c r="J195" s="89">
        <f t="shared" si="29"/>
        <v>0</v>
      </c>
    </row>
    <row r="196" spans="2:10">
      <c r="B196" s="76">
        <v>16</v>
      </c>
      <c r="C196" s="76"/>
      <c r="D196" s="85"/>
      <c r="E196" s="89">
        <f t="shared" si="28"/>
        <v>0</v>
      </c>
      <c r="G196" s="76">
        <v>16</v>
      </c>
      <c r="H196" s="76"/>
      <c r="I196" s="85"/>
      <c r="J196" s="89">
        <f t="shared" si="29"/>
        <v>0</v>
      </c>
    </row>
    <row r="197" spans="2:10">
      <c r="B197" s="76">
        <v>17</v>
      </c>
      <c r="C197" s="76"/>
      <c r="D197" s="85"/>
      <c r="E197" s="89">
        <f t="shared" si="28"/>
        <v>0</v>
      </c>
      <c r="G197" s="76">
        <v>17</v>
      </c>
      <c r="H197" s="76"/>
      <c r="I197" s="85"/>
      <c r="J197" s="89">
        <f t="shared" si="29"/>
        <v>0</v>
      </c>
    </row>
    <row r="198" spans="2:10">
      <c r="B198" s="76">
        <v>18</v>
      </c>
      <c r="C198" s="76"/>
      <c r="D198" s="85"/>
      <c r="E198" s="89">
        <f t="shared" si="28"/>
        <v>0</v>
      </c>
      <c r="G198" s="76">
        <v>18</v>
      </c>
      <c r="H198" s="76"/>
      <c r="I198" s="85"/>
      <c r="J198" s="89">
        <f t="shared" si="29"/>
        <v>0</v>
      </c>
    </row>
    <row r="199" spans="2:10">
      <c r="B199" s="76">
        <v>19</v>
      </c>
      <c r="C199" s="76"/>
      <c r="D199" s="85"/>
      <c r="E199" s="89">
        <f t="shared" si="28"/>
        <v>0</v>
      </c>
      <c r="G199" s="76">
        <v>19</v>
      </c>
      <c r="H199" s="76"/>
      <c r="I199" s="85"/>
      <c r="J199" s="89">
        <f t="shared" si="29"/>
        <v>0</v>
      </c>
    </row>
    <row r="200" spans="2:10">
      <c r="B200" s="76">
        <v>20</v>
      </c>
      <c r="C200" s="76"/>
      <c r="D200" s="85"/>
      <c r="E200" s="89">
        <f t="shared" si="28"/>
        <v>0</v>
      </c>
      <c r="G200" s="76">
        <v>20</v>
      </c>
      <c r="H200" s="76"/>
      <c r="I200" s="85"/>
      <c r="J200" s="89">
        <f t="shared" si="29"/>
        <v>0</v>
      </c>
    </row>
    <row r="201" spans="2:10">
      <c r="B201" s="86" t="s">
        <v>3</v>
      </c>
      <c r="C201" s="307">
        <f>SUM(C181:C200)</f>
        <v>0</v>
      </c>
      <c r="D201" s="85"/>
      <c r="E201" s="1152">
        <f>SUM(E181:E200)</f>
        <v>0</v>
      </c>
      <c r="G201" s="86" t="s">
        <v>3</v>
      </c>
      <c r="H201" s="307">
        <f>SUM(H181:H200)</f>
        <v>0</v>
      </c>
      <c r="I201" s="85"/>
      <c r="J201" s="1152">
        <f>SUM(J181:J200)</f>
        <v>0</v>
      </c>
    </row>
  </sheetData>
  <mergeCells count="322">
    <mergeCell ref="B106:E106"/>
    <mergeCell ref="B143:E143"/>
    <mergeCell ref="G143:J143"/>
    <mergeCell ref="L143:O143"/>
    <mergeCell ref="G106:J106"/>
    <mergeCell ref="L106:O106"/>
    <mergeCell ref="H59:H60"/>
    <mergeCell ref="I59:I60"/>
    <mergeCell ref="G61:G62"/>
    <mergeCell ref="H61:H62"/>
    <mergeCell ref="I61:I62"/>
    <mergeCell ref="G59:G60"/>
    <mergeCell ref="G63:G64"/>
    <mergeCell ref="H63:H64"/>
    <mergeCell ref="I63:I64"/>
    <mergeCell ref="G65:G66"/>
    <mergeCell ref="H65:H66"/>
    <mergeCell ref="I65:I66"/>
    <mergeCell ref="L63:L64"/>
    <mergeCell ref="M63:M64"/>
    <mergeCell ref="N63:N64"/>
    <mergeCell ref="L65:L66"/>
    <mergeCell ref="M65:M66"/>
    <mergeCell ref="N65:N66"/>
    <mergeCell ref="R118:V118"/>
    <mergeCell ref="S131:V131"/>
    <mergeCell ref="L130:O130"/>
    <mergeCell ref="G154:J154"/>
    <mergeCell ref="L154:O154"/>
    <mergeCell ref="C69:C70"/>
    <mergeCell ref="D69:D70"/>
    <mergeCell ref="B63:B64"/>
    <mergeCell ref="C63:C64"/>
    <mergeCell ref="D63:D64"/>
    <mergeCell ref="B65:B66"/>
    <mergeCell ref="C65:C66"/>
    <mergeCell ref="D65:D66"/>
    <mergeCell ref="R81:S81"/>
    <mergeCell ref="R82:S82"/>
    <mergeCell ref="R83:S83"/>
    <mergeCell ref="R84:S84"/>
    <mergeCell ref="B81:B82"/>
    <mergeCell ref="C81:C82"/>
    <mergeCell ref="D81:D82"/>
    <mergeCell ref="B83:B84"/>
    <mergeCell ref="R75:S75"/>
    <mergeCell ref="R76:S76"/>
    <mergeCell ref="R71:V71"/>
    <mergeCell ref="B167:E167"/>
    <mergeCell ref="G167:J167"/>
    <mergeCell ref="L167:O167"/>
    <mergeCell ref="B118:E118"/>
    <mergeCell ref="G118:J118"/>
    <mergeCell ref="L118:O118"/>
    <mergeCell ref="B154:E154"/>
    <mergeCell ref="B130:E130"/>
    <mergeCell ref="G130:J130"/>
    <mergeCell ref="Q41:R41"/>
    <mergeCell ref="Q42:R42"/>
    <mergeCell ref="Q43:R43"/>
    <mergeCell ref="S42:T42"/>
    <mergeCell ref="B30:E30"/>
    <mergeCell ref="G30:J30"/>
    <mergeCell ref="L30:O30"/>
    <mergeCell ref="C2:O3"/>
    <mergeCell ref="B6:E6"/>
    <mergeCell ref="G6:J6"/>
    <mergeCell ref="L6:O6"/>
    <mergeCell ref="D14:D15"/>
    <mergeCell ref="D16:D17"/>
    <mergeCell ref="E8:E9"/>
    <mergeCell ref="E10:E11"/>
    <mergeCell ref="E12:E13"/>
    <mergeCell ref="E14:E15"/>
    <mergeCell ref="Q27:R27"/>
    <mergeCell ref="Q39:R39"/>
    <mergeCell ref="S39:T39"/>
    <mergeCell ref="Q40:R40"/>
    <mergeCell ref="S40:T40"/>
    <mergeCell ref="Q28:R28"/>
    <mergeCell ref="S41:T41"/>
    <mergeCell ref="S55:T55"/>
    <mergeCell ref="R53:V53"/>
    <mergeCell ref="S54:T54"/>
    <mergeCell ref="U54:V54"/>
    <mergeCell ref="Q47:R47"/>
    <mergeCell ref="Q48:R48"/>
    <mergeCell ref="S47:T47"/>
    <mergeCell ref="S43:T43"/>
    <mergeCell ref="Q45:R45"/>
    <mergeCell ref="Q50:R50"/>
    <mergeCell ref="S45:T45"/>
    <mergeCell ref="S50:T50"/>
    <mergeCell ref="Q44:R44"/>
    <mergeCell ref="S44:T44"/>
    <mergeCell ref="Q46:R46"/>
    <mergeCell ref="Q49:R49"/>
    <mergeCell ref="S46:T46"/>
    <mergeCell ref="S49:T49"/>
    <mergeCell ref="U56:V56"/>
    <mergeCell ref="S56:T56"/>
    <mergeCell ref="R74:S74"/>
    <mergeCell ref="S48:T48"/>
    <mergeCell ref="R78:S78"/>
    <mergeCell ref="R79:S79"/>
    <mergeCell ref="R80:S80"/>
    <mergeCell ref="B69:B70"/>
    <mergeCell ref="B67:B68"/>
    <mergeCell ref="C67:C68"/>
    <mergeCell ref="D67:D68"/>
    <mergeCell ref="B59:B60"/>
    <mergeCell ref="C59:C60"/>
    <mergeCell ref="D59:D60"/>
    <mergeCell ref="B61:B62"/>
    <mergeCell ref="C61:C62"/>
    <mergeCell ref="D61:D62"/>
    <mergeCell ref="G67:G68"/>
    <mergeCell ref="H67:H68"/>
    <mergeCell ref="I67:I68"/>
    <mergeCell ref="G69:G70"/>
    <mergeCell ref="H69:H70"/>
    <mergeCell ref="I69:I70"/>
    <mergeCell ref="U55:V55"/>
    <mergeCell ref="B179:E179"/>
    <mergeCell ref="B190:E190"/>
    <mergeCell ref="B8:B9"/>
    <mergeCell ref="B10:B11"/>
    <mergeCell ref="B12:B13"/>
    <mergeCell ref="B14:B15"/>
    <mergeCell ref="B16:B17"/>
    <mergeCell ref="C8:C9"/>
    <mergeCell ref="D8:D9"/>
    <mergeCell ref="C10:C11"/>
    <mergeCell ref="D10:D11"/>
    <mergeCell ref="C12:C13"/>
    <mergeCell ref="C14:C15"/>
    <mergeCell ref="C16:C17"/>
    <mergeCell ref="D12:D13"/>
    <mergeCell ref="B40:B41"/>
    <mergeCell ref="C40:C41"/>
    <mergeCell ref="D40:D41"/>
    <mergeCell ref="B42:B43"/>
    <mergeCell ref="C42:C43"/>
    <mergeCell ref="D42:D43"/>
    <mergeCell ref="B36:B37"/>
    <mergeCell ref="C36:C37"/>
    <mergeCell ref="D36:D37"/>
    <mergeCell ref="R85:S85"/>
    <mergeCell ref="R77:S77"/>
    <mergeCell ref="B79:E79"/>
    <mergeCell ref="G79:J79"/>
    <mergeCell ref="G8:G9"/>
    <mergeCell ref="H8:H9"/>
    <mergeCell ref="I8:I9"/>
    <mergeCell ref="G10:G11"/>
    <mergeCell ref="H10:H11"/>
    <mergeCell ref="I10:I11"/>
    <mergeCell ref="E16:E17"/>
    <mergeCell ref="B18:B19"/>
    <mergeCell ref="B20:B21"/>
    <mergeCell ref="C18:C19"/>
    <mergeCell ref="C20:C21"/>
    <mergeCell ref="D18:D19"/>
    <mergeCell ref="D20:D21"/>
    <mergeCell ref="E18:E19"/>
    <mergeCell ref="E20:E21"/>
    <mergeCell ref="G16:G17"/>
    <mergeCell ref="H16:H17"/>
    <mergeCell ref="I16:I17"/>
    <mergeCell ref="G18:G19"/>
    <mergeCell ref="R73:S73"/>
    <mergeCell ref="H18:H19"/>
    <mergeCell ref="I18:I19"/>
    <mergeCell ref="G12:G13"/>
    <mergeCell ref="H12:H13"/>
    <mergeCell ref="I12:I13"/>
    <mergeCell ref="G14:G15"/>
    <mergeCell ref="H14:H15"/>
    <mergeCell ref="I14:I15"/>
    <mergeCell ref="N14:N15"/>
    <mergeCell ref="L16:L17"/>
    <mergeCell ref="M16:M17"/>
    <mergeCell ref="N16:N17"/>
    <mergeCell ref="L18:L19"/>
    <mergeCell ref="M18:M19"/>
    <mergeCell ref="N18:N19"/>
    <mergeCell ref="L14:L15"/>
    <mergeCell ref="M14:M15"/>
    <mergeCell ref="N8:N9"/>
    <mergeCell ref="L10:L11"/>
    <mergeCell ref="M10:M11"/>
    <mergeCell ref="N10:N11"/>
    <mergeCell ref="L12:L13"/>
    <mergeCell ref="M12:M13"/>
    <mergeCell ref="N12:N13"/>
    <mergeCell ref="L8:L9"/>
    <mergeCell ref="M8:M9"/>
    <mergeCell ref="N20:N21"/>
    <mergeCell ref="B32:B33"/>
    <mergeCell ref="C32:C33"/>
    <mergeCell ref="D32:D33"/>
    <mergeCell ref="B34:B35"/>
    <mergeCell ref="C34:C35"/>
    <mergeCell ref="D34:D35"/>
    <mergeCell ref="I32:I33"/>
    <mergeCell ref="I34:I35"/>
    <mergeCell ref="M32:M33"/>
    <mergeCell ref="N32:N33"/>
    <mergeCell ref="M34:M35"/>
    <mergeCell ref="N34:N35"/>
    <mergeCell ref="G20:G21"/>
    <mergeCell ref="H20:H21"/>
    <mergeCell ref="I20:I21"/>
    <mergeCell ref="L20:L21"/>
    <mergeCell ref="M20:M21"/>
    <mergeCell ref="B38:B39"/>
    <mergeCell ref="C38:C39"/>
    <mergeCell ref="D38:D39"/>
    <mergeCell ref="I42:I43"/>
    <mergeCell ref="G44:G45"/>
    <mergeCell ref="H44:H45"/>
    <mergeCell ref="I44:I45"/>
    <mergeCell ref="L32:L33"/>
    <mergeCell ref="L34:L35"/>
    <mergeCell ref="L36:L37"/>
    <mergeCell ref="L40:L41"/>
    <mergeCell ref="L44:L45"/>
    <mergeCell ref="I36:I37"/>
    <mergeCell ref="G38:G39"/>
    <mergeCell ref="H38:H39"/>
    <mergeCell ref="I38:I39"/>
    <mergeCell ref="G40:G41"/>
    <mergeCell ref="H40:H41"/>
    <mergeCell ref="I40:I41"/>
    <mergeCell ref="G32:G33"/>
    <mergeCell ref="H32:H33"/>
    <mergeCell ref="G34:G35"/>
    <mergeCell ref="H34:H35"/>
    <mergeCell ref="G36:G37"/>
    <mergeCell ref="H36:H37"/>
    <mergeCell ref="G42:G43"/>
    <mergeCell ref="H42:H43"/>
    <mergeCell ref="M40:M41"/>
    <mergeCell ref="N40:N41"/>
    <mergeCell ref="L42:L43"/>
    <mergeCell ref="M42:M43"/>
    <mergeCell ref="N42:N43"/>
    <mergeCell ref="M36:M37"/>
    <mergeCell ref="N36:N37"/>
    <mergeCell ref="L38:L39"/>
    <mergeCell ref="M38:M39"/>
    <mergeCell ref="N38:N39"/>
    <mergeCell ref="C57:C58"/>
    <mergeCell ref="D57:D58"/>
    <mergeCell ref="G57:G58"/>
    <mergeCell ref="H57:H58"/>
    <mergeCell ref="I57:I58"/>
    <mergeCell ref="L57:L58"/>
    <mergeCell ref="M57:M58"/>
    <mergeCell ref="N57:N58"/>
    <mergeCell ref="B44:B45"/>
    <mergeCell ref="C44:C45"/>
    <mergeCell ref="D44:D45"/>
    <mergeCell ref="B55:E55"/>
    <mergeCell ref="G55:J55"/>
    <mergeCell ref="L55:O55"/>
    <mergeCell ref="L59:L60"/>
    <mergeCell ref="M59:M60"/>
    <mergeCell ref="N59:N60"/>
    <mergeCell ref="L61:L62"/>
    <mergeCell ref="M61:M62"/>
    <mergeCell ref="N61:N62"/>
    <mergeCell ref="T28:Y28"/>
    <mergeCell ref="B91:B92"/>
    <mergeCell ref="C91:C92"/>
    <mergeCell ref="D91:D92"/>
    <mergeCell ref="C83:C84"/>
    <mergeCell ref="D83:D84"/>
    <mergeCell ref="B85:B86"/>
    <mergeCell ref="C85:C86"/>
    <mergeCell ref="D85:D86"/>
    <mergeCell ref="L67:L68"/>
    <mergeCell ref="M67:M68"/>
    <mergeCell ref="N67:N68"/>
    <mergeCell ref="L69:L70"/>
    <mergeCell ref="M69:M70"/>
    <mergeCell ref="N69:N70"/>
    <mergeCell ref="M44:M45"/>
    <mergeCell ref="N44:N45"/>
    <mergeCell ref="B57:B58"/>
    <mergeCell ref="B93:B94"/>
    <mergeCell ref="C93:C94"/>
    <mergeCell ref="D93:D94"/>
    <mergeCell ref="B87:B88"/>
    <mergeCell ref="C87:C88"/>
    <mergeCell ref="D87:D88"/>
    <mergeCell ref="B89:B90"/>
    <mergeCell ref="C89:C90"/>
    <mergeCell ref="D89:D90"/>
    <mergeCell ref="G81:G82"/>
    <mergeCell ref="H81:H82"/>
    <mergeCell ref="I81:I82"/>
    <mergeCell ref="G83:G84"/>
    <mergeCell ref="H83:H84"/>
    <mergeCell ref="I83:I84"/>
    <mergeCell ref="G85:G86"/>
    <mergeCell ref="H85:H86"/>
    <mergeCell ref="I85:I86"/>
    <mergeCell ref="G190:J190"/>
    <mergeCell ref="G93:G94"/>
    <mergeCell ref="H93:H94"/>
    <mergeCell ref="I93:I94"/>
    <mergeCell ref="G179:J179"/>
    <mergeCell ref="G87:G88"/>
    <mergeCell ref="H87:H88"/>
    <mergeCell ref="I87:I88"/>
    <mergeCell ref="G89:G90"/>
    <mergeCell ref="H89:H90"/>
    <mergeCell ref="I89:I90"/>
    <mergeCell ref="G91:G92"/>
    <mergeCell ref="H91:H92"/>
    <mergeCell ref="I91:I92"/>
  </mergeCells>
  <dataValidations disablePrompts="1" count="1">
    <dataValidation type="list" allowBlank="1" showInputMessage="1" promptTitle="Cuadrilla" prompt="Selecciona la cuadrilla que llenó el túnel." sqref="V120:V125" xr:uid="{F105C4E5-36B9-4FB5-925D-0CFBCBB4428F}">
      <formula1>"ANDRES,CHARLY,MARILUZ,HANNOY,CHERLITA,FLOR,ELIANA,PALANCO"</formula1>
    </dataValidation>
  </dataValidations>
  <pageMargins left="0.19685039370078741" right="0.11811023622047245" top="0.31496062992125984" bottom="0.31496062992125984" header="0.31496062992125984" footer="0.31496062992125984"/>
  <pageSetup paperSize="9" scale="21" fitToHeight="0" orientation="portrait" horizontalDpi="4294967293" verticalDpi="36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09BD0-63FB-4648-86E6-70B875C189AE}">
  <sheetPr codeName="Hoja6">
    <pageSetUpPr fitToPage="1"/>
  </sheetPr>
  <dimension ref="A1:CD165"/>
  <sheetViews>
    <sheetView topLeftCell="B1" zoomScale="55" zoomScaleNormal="55" workbookViewId="0">
      <pane ySplit="5" topLeftCell="A6" activePane="bottomLeft" state="frozen"/>
      <selection activeCell="C32" sqref="C32"/>
      <selection pane="bottomLeft" activeCell="X63" sqref="X63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8.85546875" style="26" bestFit="1" customWidth="1"/>
    <col min="4" max="4" width="99.85546875" style="26" customWidth="1"/>
    <col min="5" max="5" width="10.85546875" style="26" customWidth="1"/>
    <col min="6" max="6" width="11.28515625" style="26" customWidth="1"/>
    <col min="7" max="10" width="9.140625" style="26" customWidth="1"/>
    <col min="11" max="11" width="12.42578125" style="26" customWidth="1"/>
    <col min="12" max="12" width="9.42578125" style="26" customWidth="1"/>
    <col min="13" max="13" width="9.140625" style="26" customWidth="1"/>
    <col min="14" max="16" width="10" style="26" customWidth="1"/>
    <col min="17" max="17" width="30.85546875" style="26" customWidth="1"/>
    <col min="18" max="18" width="26.7109375" style="26" customWidth="1"/>
    <col min="19" max="19" width="34" style="26" hidden="1" customWidth="1"/>
    <col min="20" max="21" width="25.28515625" style="26" customWidth="1"/>
    <col min="22" max="22" width="15.140625" style="26" customWidth="1"/>
    <col min="23" max="23" width="9.85546875" style="26" bestFit="1" customWidth="1"/>
    <col min="24" max="24" width="113.28515625" style="26" bestFit="1" customWidth="1"/>
    <col min="25" max="26" width="11.5703125" style="26" customWidth="1"/>
    <col min="27" max="27" width="11" style="26" customWidth="1"/>
    <col min="28" max="29" width="11.5703125" style="26" customWidth="1"/>
    <col min="30" max="36" width="11" style="26" customWidth="1"/>
    <col min="37" max="37" width="26.7109375" style="26" customWidth="1"/>
    <col min="38" max="41" width="22.42578125" style="26" customWidth="1"/>
    <col min="42" max="43" width="13.85546875" style="26" customWidth="1"/>
    <col min="44" max="44" width="8.7109375" style="26" customWidth="1"/>
    <col min="45" max="45" width="94" style="26" customWidth="1"/>
    <col min="46" max="46" width="21.140625" style="26" customWidth="1"/>
    <col min="47" max="47" width="16.5703125" style="26" customWidth="1"/>
    <col min="48" max="78" width="13.85546875" style="26" customWidth="1"/>
    <col min="79" max="79" width="12.140625" style="26" bestFit="1" customWidth="1"/>
    <col min="80" max="82" width="28.28515625" style="26" customWidth="1"/>
    <col min="83" max="16384" width="11.42578125" style="26"/>
  </cols>
  <sheetData>
    <row r="1" spans="1:52" ht="45.75" hidden="1" customHeight="1" thickBot="1">
      <c r="B1" s="37"/>
      <c r="C1" s="37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</row>
    <row r="2" spans="1:52" ht="46.5" thickBot="1">
      <c r="B2" s="38"/>
      <c r="C2" s="2266" t="s">
        <v>41</v>
      </c>
      <c r="D2" s="2267"/>
      <c r="E2" s="2502" t="str">
        <f>+PP!E13</f>
        <v>1055PPF26062026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69"/>
      <c r="Q2" s="2269"/>
      <c r="R2" s="2503"/>
      <c r="S2" s="2504"/>
      <c r="T2" s="1721"/>
      <c r="U2" s="1721"/>
      <c r="V2" s="1716"/>
      <c r="W2" s="1716"/>
      <c r="X2" s="1716"/>
      <c r="Y2" s="1716"/>
      <c r="Z2" s="1716"/>
      <c r="AA2" s="38"/>
      <c r="AB2" s="38"/>
      <c r="AC2" s="38"/>
      <c r="AD2" s="38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</row>
    <row r="3" spans="1:52" ht="17.25" thickBot="1">
      <c r="C3" s="28"/>
      <c r="T3" s="452"/>
      <c r="U3" s="452"/>
      <c r="V3" s="452"/>
      <c r="W3" s="452"/>
      <c r="X3" s="452"/>
      <c r="Y3" s="452"/>
      <c r="Z3" s="452"/>
      <c r="AX3" s="28"/>
      <c r="AY3" s="28"/>
      <c r="AZ3" s="28"/>
    </row>
    <row r="4" spans="1:52" ht="38.25" customHeight="1" thickBot="1">
      <c r="C4" s="28"/>
      <c r="E4" s="2510" t="s">
        <v>112</v>
      </c>
      <c r="F4" s="2511"/>
      <c r="G4" s="2511"/>
      <c r="H4" s="2511"/>
      <c r="I4" s="2511"/>
      <c r="J4" s="2511"/>
      <c r="K4" s="2511"/>
      <c r="L4" s="2511"/>
      <c r="M4" s="2511"/>
      <c r="N4" s="2511"/>
      <c r="O4" s="2511"/>
      <c r="P4" s="2511"/>
      <c r="Q4" s="2511"/>
      <c r="R4" s="2511"/>
      <c r="S4" s="2512"/>
      <c r="T4" s="452"/>
      <c r="U4" s="452"/>
      <c r="V4" s="452"/>
      <c r="W4" s="2505" t="s">
        <v>504</v>
      </c>
      <c r="X4" s="2506"/>
      <c r="Y4" s="2506"/>
      <c r="Z4" s="2506"/>
      <c r="AA4" s="2507"/>
      <c r="AB4" s="2508"/>
      <c r="AC4" s="2508"/>
      <c r="AD4" s="2508"/>
      <c r="AE4" s="2508"/>
      <c r="AF4" s="2508"/>
      <c r="AG4" s="2508"/>
      <c r="AH4" s="2508"/>
      <c r="AI4" s="2508"/>
      <c r="AJ4" s="2508"/>
      <c r="AK4" s="2508"/>
      <c r="AL4" s="2508"/>
      <c r="AM4" s="2508"/>
      <c r="AN4" s="2508"/>
      <c r="AO4" s="2509"/>
      <c r="AR4" s="2513" t="s">
        <v>511</v>
      </c>
      <c r="AS4" s="2514"/>
      <c r="AT4" s="2514"/>
      <c r="AU4" s="2515"/>
      <c r="AX4" s="28"/>
      <c r="AY4" s="28"/>
      <c r="AZ4" s="28"/>
    </row>
    <row r="5" spans="1:52" ht="102" thickBot="1">
      <c r="A5" s="2257"/>
      <c r="C5" s="543" t="s">
        <v>15</v>
      </c>
      <c r="D5" s="485" t="s">
        <v>6</v>
      </c>
      <c r="E5" s="2122" t="s">
        <v>349</v>
      </c>
      <c r="F5" s="2123" t="s">
        <v>350</v>
      </c>
      <c r="G5" s="2123" t="s">
        <v>351</v>
      </c>
      <c r="H5" s="2123" t="s">
        <v>352</v>
      </c>
      <c r="I5" s="2123" t="s">
        <v>353</v>
      </c>
      <c r="J5" s="2123" t="s">
        <v>354</v>
      </c>
      <c r="K5" s="2123" t="s">
        <v>355</v>
      </c>
      <c r="L5" s="2123" t="s">
        <v>356</v>
      </c>
      <c r="M5" s="2123" t="s">
        <v>357</v>
      </c>
      <c r="N5" s="2123" t="s">
        <v>325</v>
      </c>
      <c r="O5" s="2123" t="s">
        <v>326</v>
      </c>
      <c r="P5" s="2124" t="s">
        <v>327</v>
      </c>
      <c r="Q5" s="2125" t="s">
        <v>108</v>
      </c>
      <c r="R5" s="2126" t="s">
        <v>107</v>
      </c>
      <c r="S5" s="1828" t="s">
        <v>3</v>
      </c>
      <c r="T5" s="2915" t="s">
        <v>3</v>
      </c>
      <c r="U5" s="2913"/>
      <c r="V5" s="452"/>
      <c r="W5" s="2133" t="s">
        <v>15</v>
      </c>
      <c r="X5" s="2133" t="s">
        <v>6</v>
      </c>
      <c r="Y5" s="2129" t="s">
        <v>349</v>
      </c>
      <c r="Z5" s="2130" t="s">
        <v>350</v>
      </c>
      <c r="AA5" s="2131" t="s">
        <v>351</v>
      </c>
      <c r="AB5" s="1777" t="s">
        <v>352</v>
      </c>
      <c r="AC5" s="1777" t="s">
        <v>353</v>
      </c>
      <c r="AD5" s="1777" t="s">
        <v>354</v>
      </c>
      <c r="AE5" s="1777" t="s">
        <v>355</v>
      </c>
      <c r="AF5" s="1777" t="s">
        <v>356</v>
      </c>
      <c r="AG5" s="1777" t="s">
        <v>357</v>
      </c>
      <c r="AH5" s="1777" t="s">
        <v>325</v>
      </c>
      <c r="AI5" s="1777" t="s">
        <v>326</v>
      </c>
      <c r="AJ5" s="1777" t="s">
        <v>327</v>
      </c>
      <c r="AK5" s="1777" t="s">
        <v>502</v>
      </c>
      <c r="AL5" s="1777" t="s">
        <v>503</v>
      </c>
      <c r="AM5" s="1777" t="s">
        <v>8</v>
      </c>
      <c r="AN5" s="1778" t="s">
        <v>505</v>
      </c>
      <c r="AO5" s="1779" t="s">
        <v>511</v>
      </c>
      <c r="AR5" s="488" t="s">
        <v>15</v>
      </c>
      <c r="AS5" s="488" t="s">
        <v>6</v>
      </c>
      <c r="AT5" s="488" t="s">
        <v>8</v>
      </c>
      <c r="AU5" s="488" t="s">
        <v>513</v>
      </c>
    </row>
    <row r="6" spans="1:52" ht="45.75">
      <c r="A6" s="2257"/>
      <c r="C6" s="41">
        <f>+PP!B24</f>
        <v>1</v>
      </c>
      <c r="D6" s="1023" t="str">
        <f>+PP!C24</f>
        <v>ANILLAS BLANCAS SM ST</v>
      </c>
      <c r="E6" s="1934"/>
      <c r="F6" s="1007"/>
      <c r="G6" s="1007"/>
      <c r="H6" s="1007"/>
      <c r="I6" s="1007"/>
      <c r="J6" s="1007"/>
      <c r="K6" s="1007"/>
      <c r="L6" s="1007"/>
      <c r="M6" s="1007"/>
      <c r="N6" s="1007"/>
      <c r="O6" s="1007"/>
      <c r="P6" s="1497"/>
      <c r="Q6" s="510">
        <f t="shared" ref="Q6:Q53" si="0">SUM(E6:P6)</f>
        <v>0</v>
      </c>
      <c r="R6" s="510">
        <f t="shared" ref="R6:R53" si="1">Q6/2</f>
        <v>0</v>
      </c>
      <c r="S6" s="510">
        <f t="shared" ref="S6:T53" si="2">+Q6*10</f>
        <v>0</v>
      </c>
      <c r="T6" s="2916">
        <f>+R6*10</f>
        <v>0</v>
      </c>
      <c r="U6" s="574"/>
      <c r="V6" s="452"/>
      <c r="W6" s="2134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</f>
        <v/>
      </c>
      <c r="X6" s="2132" t="str">
        <f>IF($W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)</f>
        <v/>
      </c>
      <c r="Y6" s="1714" t="str">
        <f t="shared" ref="Y6:Y53" si="3">IF($W6="","",IFERROR(IF(INDEX($E$6:$E$53,MATCH($W6,$C$6:$C$53,0))&gt;0,INDEX($E$6:$E$53,MATCH($W6,$C$6:$C$53,0)),""),""))</f>
        <v/>
      </c>
      <c r="Z6" s="1714" t="str">
        <f t="shared" ref="Z6:Z53" si="4">IF($W6="","",IFERROR(IF(INDEX($F$6:$F$53,MATCH($W6,$C$6:$C$53,0))&gt;0,INDEX($F$6:$F$53,MATCH($W6,$C$6:$C$53,0)),""),""))</f>
        <v/>
      </c>
      <c r="AA6" s="1961" t="str">
        <f t="shared" ref="AA6:AA53" si="5">IF($W6="","",IFERROR(IF(INDEX($G$6:$G$53,MATCH($W6,$C$6:$C$53,0))&gt;0,INDEX($G$6:$G$53,MATCH($W6,$C$6:$C$53,0)),""),""))</f>
        <v/>
      </c>
      <c r="AB6" s="1491" t="str">
        <f t="shared" ref="AB6:AB53" si="6">IF($W6="","",IFERROR(IF(INDEX($H$6:$H$53,MATCH($W6,$C$6:$C$53,0))&gt;0,INDEX($H$6:$H$53,MATCH($W6,$C$6:$C$53,0)),""),""))</f>
        <v/>
      </c>
      <c r="AC6" s="1491" t="str">
        <f t="shared" ref="AC6:AC53" si="7">IF($W6="","",IFERROR(IF(INDEX($I$6:$I$53,MATCH($W6,$C$6:$C$53,0))&gt;0,INDEX($I$6:$I$53,MATCH($W6,$C$6:$C$53,0)),""),""))</f>
        <v/>
      </c>
      <c r="AD6" s="1491" t="str">
        <f t="shared" ref="AD6:AD53" si="8">IF($W6="","",IFERROR(IF(INDEX($J$6:$J$53,MATCH($W6,$C$6:$C$53,0))&gt;0,INDEX($J$6:$J$53,MATCH($W6,$C$6:$C$53,0)),""),""))</f>
        <v/>
      </c>
      <c r="AE6" s="1491" t="str">
        <f t="shared" ref="AE6:AE53" si="9">IF($W6="","",IFERROR(IF(INDEX($K$6:$K$53,MATCH($W6,$C$6:$C$53,0))&gt;0,INDEX($K$6:$K$53,MATCH($W6,$C$6:$C$53,0)),""),""))</f>
        <v/>
      </c>
      <c r="AF6" s="1491" t="str">
        <f t="shared" ref="AF6:AF53" si="10">IF($W6="","",IFERROR(IF(INDEX($L$6:$L$53,MATCH($W6,$C$6:$C$53,0))&gt;0,INDEX($L$6:$L$53,MATCH($W6,$C$6:$C$53,0)),""),""))</f>
        <v/>
      </c>
      <c r="AG6" s="1491" t="str">
        <f t="shared" ref="AG6:AG53" si="11">IF($W6="","",IFERROR(IF(INDEX($M$6:$M$53,MATCH($W6,$C$6:$C$53,0))&gt;0,INDEX($M$6:$M$53,MATCH($W6,$C$6:$C$53,0)),""),""))</f>
        <v/>
      </c>
      <c r="AH6" s="1491" t="str">
        <f t="shared" ref="AH6:AH53" si="12">IF($W6="","",IFERROR(IF(INDEX($N$6:$N$53,MATCH($W6,$C$6:$C$53,0))&gt;0,INDEX($N$6:$N$53,MATCH($W6,$C$6:$C$53,0)),""),""))</f>
        <v/>
      </c>
      <c r="AI6" s="1491" t="str">
        <f t="shared" ref="AI6:AI53" si="13">IF($W6="","",IFERROR(IF(INDEX($O$6:$O$53,MATCH($W6,$C$6:$C$53,0))&gt;0,INDEX($O$6:$O$53,MATCH($W6,$C$6:$C$53,0)),""),""))</f>
        <v/>
      </c>
      <c r="AJ6" s="1491" t="str">
        <f t="shared" ref="AJ6:AJ53" si="14">IF($W6="","",IFERROR(IF(INDEX($P$6:$P$53,MATCH($W6,$C$6:$C$53,0))&gt;0,INDEX($P$6:$P$53,MATCH($W6,$C$6:$C$53,0)),""),""))</f>
        <v/>
      </c>
      <c r="AK6" s="1491" t="str">
        <f t="shared" ref="AK6:AK27" si="15">IF($W6="","",SUM($Y6:$AJ6))</f>
        <v/>
      </c>
      <c r="AL6" s="1166" t="str">
        <f t="shared" ref="AL6:AL27" si="16">IF($W6="","",$AK6/2)</f>
        <v/>
      </c>
      <c r="AM6" s="1166" t="str">
        <f t="shared" ref="AM6:AM27" si="17">IF($W6="","",$AK6*10)</f>
        <v/>
      </c>
      <c r="AN6" s="1166" t="str">
        <f t="shared" ref="AN6:AN27" si="18">IF($W6="","",IF(MAX($Y6:$AJ6)&gt;50,"REVISIÓN: EXCEDE 50","OK"))</f>
        <v/>
      </c>
      <c r="AO6" s="1161" t="str">
        <f t="shared" ref="AO6:AO27" si="19">IF($W6="","",IF(MOD($AM6,20)=10,"SÍ","NO"))</f>
        <v/>
      </c>
      <c r="AR6" s="494" t="str">
        <f>IFERROR(INDEX($C$6:$C$53,_xlfn.AGGREGATE(15,6,(ROW($Q$6:$Q$53)-ROW($Q$6)+1)/(($Q$6:$Q$53&gt;0)*(MOD($S$6:$S$53,20)=10)),1)),"")</f>
        <v/>
      </c>
      <c r="AS6" s="495" t="str">
        <f>IF($AR6="","",IFERROR(INDEX($D$6:$D$53,_xlfn.AGGREGATE(15,6,(ROW($Q$6:$Q$53)-ROW($Q$6)+1)/(($Q$6:$Q$53&gt;0)*(MOD($S$6:$S$53,20)=10)),1)),""))</f>
        <v/>
      </c>
      <c r="AT6" s="496" t="str">
        <f>IF($AR6="","",IFERROR(INDEX($S$6:$S$53,_xlfn.AGGREGATE(15,6,(ROW($Q$6:$Q$53)-ROW($Q$6)+1)/(($Q$6:$Q$53&gt;0)*(MOD($S$6:$S$53,20)=10)),1)),""))</f>
        <v/>
      </c>
      <c r="AU6" s="497" t="str">
        <f t="shared" ref="AU6:AU27" si="20">IF($AR6="","","10 KG")</f>
        <v/>
      </c>
    </row>
    <row r="7" spans="1:52" ht="45.75">
      <c r="A7" s="2257"/>
      <c r="C7" s="42">
        <f>+PP!B25</f>
        <v>2</v>
      </c>
      <c r="D7" s="1022" t="str">
        <f>+PP!C25</f>
        <v>ANILLAS AMARILLAS SM ST</v>
      </c>
      <c r="E7" s="1935"/>
      <c r="F7" s="388"/>
      <c r="G7" s="388"/>
      <c r="H7" s="388"/>
      <c r="I7" s="388"/>
      <c r="J7" s="388"/>
      <c r="K7" s="388"/>
      <c r="L7" s="388"/>
      <c r="M7" s="388"/>
      <c r="N7" s="388"/>
      <c r="O7" s="388"/>
      <c r="P7" s="1502"/>
      <c r="Q7" s="525">
        <f t="shared" si="0"/>
        <v>0</v>
      </c>
      <c r="R7" s="525">
        <f t="shared" si="1"/>
        <v>0</v>
      </c>
      <c r="S7" s="525">
        <f t="shared" si="2"/>
        <v>0</v>
      </c>
      <c r="T7" s="2917">
        <f t="shared" si="2"/>
        <v>0</v>
      </c>
      <c r="U7" s="574"/>
      <c r="V7" s="452"/>
      <c r="W7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</f>
        <v/>
      </c>
      <c r="X7" s="1772" t="str">
        <f>IF($W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)</f>
        <v/>
      </c>
      <c r="Y7" s="1714" t="str">
        <f t="shared" si="3"/>
        <v/>
      </c>
      <c r="Z7" s="1714" t="str">
        <f t="shared" si="4"/>
        <v/>
      </c>
      <c r="AA7" s="1704" t="str">
        <f t="shared" si="5"/>
        <v/>
      </c>
      <c r="AB7" s="1492" t="str">
        <f t="shared" si="6"/>
        <v/>
      </c>
      <c r="AC7" s="1492" t="str">
        <f t="shared" si="7"/>
        <v/>
      </c>
      <c r="AD7" s="1492" t="str">
        <f t="shared" si="8"/>
        <v/>
      </c>
      <c r="AE7" s="1492" t="str">
        <f t="shared" si="9"/>
        <v/>
      </c>
      <c r="AF7" s="1492" t="str">
        <f t="shared" si="10"/>
        <v/>
      </c>
      <c r="AG7" s="1492" t="str">
        <f t="shared" si="11"/>
        <v/>
      </c>
      <c r="AH7" s="1492" t="str">
        <f t="shared" si="12"/>
        <v/>
      </c>
      <c r="AI7" s="1492" t="str">
        <f t="shared" si="13"/>
        <v/>
      </c>
      <c r="AJ7" s="1492" t="str">
        <f t="shared" si="14"/>
        <v/>
      </c>
      <c r="AK7" s="1492" t="str">
        <f t="shared" si="15"/>
        <v/>
      </c>
      <c r="AL7" s="1167" t="str">
        <f t="shared" si="16"/>
        <v/>
      </c>
      <c r="AM7" s="1167" t="str">
        <f t="shared" si="17"/>
        <v/>
      </c>
      <c r="AN7" s="1167" t="str">
        <f t="shared" si="18"/>
        <v/>
      </c>
      <c r="AO7" s="1163" t="str">
        <f t="shared" si="19"/>
        <v/>
      </c>
      <c r="AR7" s="502" t="str">
        <f>IFERROR(INDEX($C$6:$C$53,_xlfn.AGGREGATE(15,6,(ROW($Q$6:$Q$53)-ROW($Q$6)+1)/(($Q$6:$Q$53&gt;0)*(MOD($S$6:$S$53,20)=10)),2)),"")</f>
        <v/>
      </c>
      <c r="AS7" s="503" t="str">
        <f>IF($AR7="","",IFERROR(INDEX($D$6:$D$53,_xlfn.AGGREGATE(15,6,(ROW($Q$6:$Q$53)-ROW($Q$6)+1)/(($Q$6:$Q$53&gt;0)*(MOD($S$6:$S$53,20)=10)),2)),""))</f>
        <v/>
      </c>
      <c r="AT7" s="504" t="str">
        <f>IF($AR7="","",IFERROR(INDEX($S$6:$S$53,_xlfn.AGGREGATE(15,6,(ROW($Q$6:$Q$53)-ROW($Q$6)+1)/(($Q$6:$Q$53&gt;0)*(MOD($S$6:$S$53,20)=10)),2)),""))</f>
        <v/>
      </c>
      <c r="AU7" s="505" t="str">
        <f t="shared" si="20"/>
        <v/>
      </c>
    </row>
    <row r="8" spans="1:52" ht="46.5" thickBot="1">
      <c r="A8" s="2257"/>
      <c r="C8" s="40">
        <f>+PP!B26</f>
        <v>3</v>
      </c>
      <c r="D8" s="1266" t="str">
        <f>+PP!C26</f>
        <v>ANILLAS BLANCAS SM ST MEDIANA</v>
      </c>
      <c r="E8" s="1936"/>
      <c r="F8" s="1008"/>
      <c r="G8" s="1008"/>
      <c r="H8" s="1008"/>
      <c r="I8" s="1008"/>
      <c r="J8" s="1008"/>
      <c r="K8" s="1008"/>
      <c r="L8" s="1008"/>
      <c r="M8" s="1008"/>
      <c r="N8" s="1008"/>
      <c r="O8" s="1008"/>
      <c r="P8" s="1500"/>
      <c r="Q8" s="511">
        <f t="shared" si="0"/>
        <v>0</v>
      </c>
      <c r="R8" s="511">
        <f t="shared" si="1"/>
        <v>0</v>
      </c>
      <c r="S8" s="511">
        <f t="shared" si="2"/>
        <v>0</v>
      </c>
      <c r="T8" s="2917">
        <f t="shared" si="2"/>
        <v>0</v>
      </c>
      <c r="U8" s="574"/>
      <c r="V8" s="452"/>
      <c r="W8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</f>
        <v/>
      </c>
      <c r="X8" s="1772" t="str">
        <f>IF($W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)</f>
        <v/>
      </c>
      <c r="Y8" s="1714" t="str">
        <f t="shared" si="3"/>
        <v/>
      </c>
      <c r="Z8" s="1714" t="str">
        <f t="shared" si="4"/>
        <v/>
      </c>
      <c r="AA8" s="1704" t="str">
        <f t="shared" si="5"/>
        <v/>
      </c>
      <c r="AB8" s="1492" t="str">
        <f t="shared" si="6"/>
        <v/>
      </c>
      <c r="AC8" s="1492" t="str">
        <f t="shared" si="7"/>
        <v/>
      </c>
      <c r="AD8" s="1492" t="str">
        <f t="shared" si="8"/>
        <v/>
      </c>
      <c r="AE8" s="1492" t="str">
        <f t="shared" si="9"/>
        <v/>
      </c>
      <c r="AF8" s="1492" t="str">
        <f t="shared" si="10"/>
        <v/>
      </c>
      <c r="AG8" s="1492" t="str">
        <f t="shared" si="11"/>
        <v/>
      </c>
      <c r="AH8" s="1492" t="str">
        <f t="shared" si="12"/>
        <v/>
      </c>
      <c r="AI8" s="1492" t="str">
        <f t="shared" si="13"/>
        <v/>
      </c>
      <c r="AJ8" s="1492" t="str">
        <f t="shared" si="14"/>
        <v/>
      </c>
      <c r="AK8" s="1492" t="str">
        <f t="shared" si="15"/>
        <v/>
      </c>
      <c r="AL8" s="1167" t="str">
        <f t="shared" si="16"/>
        <v/>
      </c>
      <c r="AM8" s="1167" t="str">
        <f t="shared" si="17"/>
        <v/>
      </c>
      <c r="AN8" s="1167" t="str">
        <f t="shared" si="18"/>
        <v/>
      </c>
      <c r="AO8" s="1163" t="str">
        <f t="shared" si="19"/>
        <v/>
      </c>
      <c r="AR8" s="502" t="str">
        <f>IFERROR(INDEX($C$6:$C$53,_xlfn.AGGREGATE(15,6,(ROW($Q$6:$Q$53)-ROW($Q$6)+1)/(($Q$6:$Q$53&gt;0)*(MOD($S$6:$S$53,20)=10)),3)),"")</f>
        <v/>
      </c>
      <c r="AS8" s="503" t="str">
        <f>IF($AR8="","",IFERROR(INDEX($D$6:$D$53,_xlfn.AGGREGATE(15,6,(ROW($Q$6:$Q$53)-ROW($Q$6)+1)/(($Q$6:$Q$53&gt;0)*(MOD($S$6:$S$53,20)=10)),3)),""))</f>
        <v/>
      </c>
      <c r="AT8" s="504" t="str">
        <f>IF($AR8="","",IFERROR(INDEX($S$6:$S$53,_xlfn.AGGREGATE(15,6,(ROW($Q$6:$Q$53)-ROW($Q$6)+1)/(($Q$6:$Q$53&gt;0)*(MOD($S$6:$S$53,20)=10)),3)),""))</f>
        <v/>
      </c>
      <c r="AU8" s="505" t="str">
        <f t="shared" si="20"/>
        <v/>
      </c>
    </row>
    <row r="9" spans="1:52" ht="46.5">
      <c r="A9" s="2257"/>
      <c r="C9" s="41">
        <f>+PP!B27</f>
        <v>4</v>
      </c>
      <c r="D9" s="1023" t="str">
        <f>+PP!C27</f>
        <v>ALETA FRESCA CORTE CRUZ</v>
      </c>
      <c r="E9" s="1937"/>
      <c r="F9" s="1938"/>
      <c r="G9" s="1938"/>
      <c r="H9" s="1938"/>
      <c r="I9" s="1938"/>
      <c r="J9" s="1938"/>
      <c r="K9" s="1938"/>
      <c r="L9" s="1938"/>
      <c r="M9" s="1938"/>
      <c r="N9" s="1938"/>
      <c r="O9" s="1938"/>
      <c r="P9" s="1939"/>
      <c r="Q9" s="525">
        <f t="shared" si="0"/>
        <v>0</v>
      </c>
      <c r="R9" s="510">
        <f t="shared" si="1"/>
        <v>0</v>
      </c>
      <c r="S9" s="514">
        <f t="shared" si="2"/>
        <v>0</v>
      </c>
      <c r="T9" s="490">
        <f t="shared" si="2"/>
        <v>0</v>
      </c>
      <c r="U9" s="574"/>
      <c r="V9" s="452"/>
      <c r="W9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</f>
        <v/>
      </c>
      <c r="X9" s="1772" t="str">
        <f>IF($W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)</f>
        <v/>
      </c>
      <c r="Y9" s="1714" t="str">
        <f t="shared" si="3"/>
        <v/>
      </c>
      <c r="Z9" s="1714" t="str">
        <f t="shared" si="4"/>
        <v/>
      </c>
      <c r="AA9" s="1704" t="str">
        <f t="shared" si="5"/>
        <v/>
      </c>
      <c r="AB9" s="1492" t="str">
        <f t="shared" si="6"/>
        <v/>
      </c>
      <c r="AC9" s="1492" t="str">
        <f t="shared" si="7"/>
        <v/>
      </c>
      <c r="AD9" s="1492" t="str">
        <f t="shared" si="8"/>
        <v/>
      </c>
      <c r="AE9" s="1492" t="str">
        <f t="shared" si="9"/>
        <v/>
      </c>
      <c r="AF9" s="1492" t="str">
        <f t="shared" si="10"/>
        <v/>
      </c>
      <c r="AG9" s="1492" t="str">
        <f t="shared" si="11"/>
        <v/>
      </c>
      <c r="AH9" s="1492" t="str">
        <f t="shared" si="12"/>
        <v/>
      </c>
      <c r="AI9" s="1492" t="str">
        <f t="shared" si="13"/>
        <v/>
      </c>
      <c r="AJ9" s="1492" t="str">
        <f t="shared" si="14"/>
        <v/>
      </c>
      <c r="AK9" s="1492" t="str">
        <f t="shared" si="15"/>
        <v/>
      </c>
      <c r="AL9" s="1167" t="str">
        <f t="shared" si="16"/>
        <v/>
      </c>
      <c r="AM9" s="1167" t="str">
        <f t="shared" si="17"/>
        <v/>
      </c>
      <c r="AN9" s="1167" t="str">
        <f t="shared" si="18"/>
        <v/>
      </c>
      <c r="AO9" s="1163" t="str">
        <f t="shared" si="19"/>
        <v/>
      </c>
      <c r="AR9" s="502" t="str">
        <f>IFERROR(INDEX($C$6:$C$53,_xlfn.AGGREGATE(15,6,(ROW($Q$6:$Q$53)-ROW($Q$6)+1)/(($Q$6:$Q$53&gt;0)*(MOD($S$6:$S$53,20)=10)),4)),"")</f>
        <v/>
      </c>
      <c r="AS9" s="503" t="str">
        <f>IF($AR9="","",IFERROR(INDEX($D$6:$D$53,_xlfn.AGGREGATE(15,6,(ROW($Q$6:$Q$53)-ROW($Q$6)+1)/(($Q$6:$Q$53&gt;0)*(MOD($S$6:$S$53,20)=10)),4)),""))</f>
        <v/>
      </c>
      <c r="AT9" s="504" t="str">
        <f>IF($AR9="","",IFERROR(INDEX($S$6:$S$53,_xlfn.AGGREGATE(15,6,(ROW($Q$6:$Q$53)-ROW($Q$6)+1)/(($Q$6:$Q$53&gt;0)*(MOD($S$6:$S$53,20)=10)),4)),""))</f>
        <v/>
      </c>
      <c r="AU9" s="505" t="str">
        <f t="shared" si="20"/>
        <v/>
      </c>
    </row>
    <row r="10" spans="1:52" ht="46.5">
      <c r="A10" s="2257"/>
      <c r="C10" s="42">
        <f>+PP!B28</f>
        <v>5</v>
      </c>
      <c r="D10" s="1022" t="str">
        <f>+PP!C28</f>
        <v>ALETA ENTERA 100-500 g/pza</v>
      </c>
      <c r="E10" s="1940"/>
      <c r="F10" s="1941"/>
      <c r="G10" s="1941"/>
      <c r="H10" s="1941"/>
      <c r="I10" s="1941"/>
      <c r="J10" s="1941"/>
      <c r="K10" s="1941"/>
      <c r="L10" s="1941"/>
      <c r="M10" s="1941"/>
      <c r="N10" s="1941"/>
      <c r="O10" s="1941"/>
      <c r="P10" s="1942"/>
      <c r="Q10" s="525">
        <f t="shared" si="0"/>
        <v>0</v>
      </c>
      <c r="R10" s="525">
        <f t="shared" si="1"/>
        <v>0</v>
      </c>
      <c r="S10" s="508">
        <f t="shared" si="2"/>
        <v>0</v>
      </c>
      <c r="T10" s="552">
        <f t="shared" si="2"/>
        <v>0</v>
      </c>
      <c r="U10" s="574"/>
      <c r="V10" s="452"/>
      <c r="W10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</f>
        <v/>
      </c>
      <c r="X10" s="1772" t="str">
        <f>IF($W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)</f>
        <v/>
      </c>
      <c r="Y10" s="1714" t="str">
        <f t="shared" si="3"/>
        <v/>
      </c>
      <c r="Z10" s="1714" t="str">
        <f t="shared" si="4"/>
        <v/>
      </c>
      <c r="AA10" s="1704" t="str">
        <f t="shared" si="5"/>
        <v/>
      </c>
      <c r="AB10" s="1492" t="str">
        <f t="shared" si="6"/>
        <v/>
      </c>
      <c r="AC10" s="1492" t="str">
        <f t="shared" si="7"/>
        <v/>
      </c>
      <c r="AD10" s="1492" t="str">
        <f t="shared" si="8"/>
        <v/>
      </c>
      <c r="AE10" s="1492" t="str">
        <f t="shared" si="9"/>
        <v/>
      </c>
      <c r="AF10" s="1492" t="str">
        <f t="shared" si="10"/>
        <v/>
      </c>
      <c r="AG10" s="1492" t="str">
        <f t="shared" si="11"/>
        <v/>
      </c>
      <c r="AH10" s="1492" t="str">
        <f t="shared" si="12"/>
        <v/>
      </c>
      <c r="AI10" s="1492" t="str">
        <f t="shared" si="13"/>
        <v/>
      </c>
      <c r="AJ10" s="1492" t="str">
        <f t="shared" si="14"/>
        <v/>
      </c>
      <c r="AK10" s="1492" t="str">
        <f t="shared" si="15"/>
        <v/>
      </c>
      <c r="AL10" s="1167" t="str">
        <f t="shared" si="16"/>
        <v/>
      </c>
      <c r="AM10" s="1167" t="str">
        <f t="shared" si="17"/>
        <v/>
      </c>
      <c r="AN10" s="1167" t="str">
        <f t="shared" si="18"/>
        <v/>
      </c>
      <c r="AO10" s="1163" t="str">
        <f t="shared" si="19"/>
        <v/>
      </c>
      <c r="AR10" s="502" t="str">
        <f>IFERROR(INDEX($C$6:$C$53,_xlfn.AGGREGATE(15,6,(ROW($Q$6:$Q$53)-ROW($Q$6)+1)/(($Q$6:$Q$53&gt;0)*(MOD($S$6:$S$53,20)=10)),5)),"")</f>
        <v/>
      </c>
      <c r="AS10" s="503" t="str">
        <f>IF($AR10="","",IFERROR(INDEX($D$6:$D$53,_xlfn.AGGREGATE(15,6,(ROW($Q$6:$Q$53)-ROW($Q$6)+1)/(($Q$6:$Q$53&gt;0)*(MOD($S$6:$S$53,20)=10)),5)),""))</f>
        <v/>
      </c>
      <c r="AT10" s="504" t="str">
        <f>IF($AR10="","",IFERROR(INDEX($S$6:$S$53,_xlfn.AGGREGATE(15,6,(ROW($Q$6:$Q$53)-ROW($Q$6)+1)/(($Q$6:$Q$53&gt;0)*(MOD($S$6:$S$53,20)=10)),5)),""))</f>
        <v/>
      </c>
      <c r="AU10" s="505" t="str">
        <f t="shared" si="20"/>
        <v/>
      </c>
    </row>
    <row r="11" spans="1:52" ht="46.5">
      <c r="A11" s="2257"/>
      <c r="C11" s="42">
        <f>+PP!B29</f>
        <v>6</v>
      </c>
      <c r="D11" s="1022" t="str">
        <f>+PP!C29</f>
        <v>ALETA ENTERA 500-1000 g/pza</v>
      </c>
      <c r="E11" s="1940"/>
      <c r="F11" s="1941"/>
      <c r="G11" s="1941"/>
      <c r="H11" s="1941"/>
      <c r="I11" s="1941"/>
      <c r="J11" s="1941"/>
      <c r="K11" s="1941"/>
      <c r="L11" s="1941"/>
      <c r="M11" s="1941"/>
      <c r="N11" s="1941"/>
      <c r="O11" s="1941"/>
      <c r="P11" s="1942"/>
      <c r="Q11" s="525">
        <f t="shared" si="0"/>
        <v>0</v>
      </c>
      <c r="R11" s="525">
        <f t="shared" si="1"/>
        <v>0</v>
      </c>
      <c r="S11" s="508">
        <f t="shared" si="2"/>
        <v>0</v>
      </c>
      <c r="T11" s="552">
        <f t="shared" si="2"/>
        <v>0</v>
      </c>
      <c r="U11" s="574"/>
      <c r="V11" s="452"/>
      <c r="W11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</f>
        <v/>
      </c>
      <c r="X11" s="1772" t="str">
        <f>IF($W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)</f>
        <v/>
      </c>
      <c r="Y11" s="1714" t="str">
        <f t="shared" si="3"/>
        <v/>
      </c>
      <c r="Z11" s="1714" t="str">
        <f t="shared" si="4"/>
        <v/>
      </c>
      <c r="AA11" s="1704" t="str">
        <f t="shared" si="5"/>
        <v/>
      </c>
      <c r="AB11" s="1492" t="str">
        <f t="shared" si="6"/>
        <v/>
      </c>
      <c r="AC11" s="1492" t="str">
        <f t="shared" si="7"/>
        <v/>
      </c>
      <c r="AD11" s="1492" t="str">
        <f t="shared" si="8"/>
        <v/>
      </c>
      <c r="AE11" s="1492" t="str">
        <f t="shared" si="9"/>
        <v/>
      </c>
      <c r="AF11" s="1492" t="str">
        <f t="shared" si="10"/>
        <v/>
      </c>
      <c r="AG11" s="1492" t="str">
        <f t="shared" si="11"/>
        <v/>
      </c>
      <c r="AH11" s="1492" t="str">
        <f t="shared" si="12"/>
        <v/>
      </c>
      <c r="AI11" s="1492" t="str">
        <f t="shared" si="13"/>
        <v/>
      </c>
      <c r="AJ11" s="1492" t="str">
        <f t="shared" si="14"/>
        <v/>
      </c>
      <c r="AK11" s="1492" t="str">
        <f t="shared" si="15"/>
        <v/>
      </c>
      <c r="AL11" s="1167" t="str">
        <f t="shared" si="16"/>
        <v/>
      </c>
      <c r="AM11" s="1167" t="str">
        <f t="shared" si="17"/>
        <v/>
      </c>
      <c r="AN11" s="1167" t="str">
        <f t="shared" si="18"/>
        <v/>
      </c>
      <c r="AO11" s="1163" t="str">
        <f t="shared" si="19"/>
        <v/>
      </c>
      <c r="AR11" s="502" t="str">
        <f>IFERROR(INDEX($C$6:$C$53,_xlfn.AGGREGATE(15,6,(ROW($Q$6:$Q$53)-ROW($Q$6)+1)/(($Q$6:$Q$53&gt;0)*(MOD($S$6:$S$53,20)=10)),6)),"")</f>
        <v/>
      </c>
      <c r="AS11" s="503" t="str">
        <f>IF($AR11="","",IFERROR(INDEX($D$6:$D$53,_xlfn.AGGREGATE(15,6,(ROW($Q$6:$Q$53)-ROW($Q$6)+1)/(($Q$6:$Q$53&gt;0)*(MOD($S$6:$S$53,20)=10)),6)),""))</f>
        <v/>
      </c>
      <c r="AT11" s="504" t="str">
        <f>IF($AR11="","",IFERROR(INDEX($S$6:$S$53,_xlfn.AGGREGATE(15,6,(ROW($Q$6:$Q$53)-ROW($Q$6)+1)/(($Q$6:$Q$53&gt;0)*(MOD($S$6:$S$53,20)=10)),6)),""))</f>
        <v/>
      </c>
      <c r="AU11" s="505" t="str">
        <f t="shared" si="20"/>
        <v/>
      </c>
    </row>
    <row r="12" spans="1:52" ht="46.5">
      <c r="A12" s="2257"/>
      <c r="C12" s="42">
        <f>+PP!B30</f>
        <v>7</v>
      </c>
      <c r="D12" s="1022" t="str">
        <f>+PP!C30</f>
        <v>ALETA ENTERA 1.0-2.0 kg/pza</v>
      </c>
      <c r="E12" s="1940"/>
      <c r="F12" s="388"/>
      <c r="G12" s="388"/>
      <c r="H12" s="388"/>
      <c r="I12" s="388"/>
      <c r="J12" s="388"/>
      <c r="K12" s="388"/>
      <c r="L12" s="1941"/>
      <c r="M12" s="1941"/>
      <c r="N12" s="1941"/>
      <c r="O12" s="388"/>
      <c r="P12" s="1942"/>
      <c r="Q12" s="525">
        <f t="shared" si="0"/>
        <v>0</v>
      </c>
      <c r="R12" s="525">
        <f t="shared" si="1"/>
        <v>0</v>
      </c>
      <c r="S12" s="508">
        <f t="shared" si="2"/>
        <v>0</v>
      </c>
      <c r="T12" s="552">
        <f>+R12*10</f>
        <v>0</v>
      </c>
      <c r="U12" s="574"/>
      <c r="V12" s="452"/>
      <c r="W12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</f>
        <v/>
      </c>
      <c r="X12" s="1772" t="str">
        <f>IF($W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)</f>
        <v/>
      </c>
      <c r="Y12" s="1714" t="str">
        <f t="shared" si="3"/>
        <v/>
      </c>
      <c r="Z12" s="1714" t="str">
        <f t="shared" si="4"/>
        <v/>
      </c>
      <c r="AA12" s="1704" t="str">
        <f t="shared" si="5"/>
        <v/>
      </c>
      <c r="AB12" s="1492" t="str">
        <f t="shared" si="6"/>
        <v/>
      </c>
      <c r="AC12" s="1492" t="str">
        <f t="shared" si="7"/>
        <v/>
      </c>
      <c r="AD12" s="1492" t="str">
        <f t="shared" si="8"/>
        <v/>
      </c>
      <c r="AE12" s="1492" t="str">
        <f t="shared" si="9"/>
        <v/>
      </c>
      <c r="AF12" s="1492" t="str">
        <f t="shared" si="10"/>
        <v/>
      </c>
      <c r="AG12" s="1492" t="str">
        <f t="shared" si="11"/>
        <v/>
      </c>
      <c r="AH12" s="1492" t="str">
        <f t="shared" si="12"/>
        <v/>
      </c>
      <c r="AI12" s="1492" t="str">
        <f t="shared" si="13"/>
        <v/>
      </c>
      <c r="AJ12" s="1492" t="str">
        <f t="shared" si="14"/>
        <v/>
      </c>
      <c r="AK12" s="1492" t="str">
        <f t="shared" si="15"/>
        <v/>
      </c>
      <c r="AL12" s="1167" t="str">
        <f t="shared" si="16"/>
        <v/>
      </c>
      <c r="AM12" s="1167" t="str">
        <f t="shared" si="17"/>
        <v/>
      </c>
      <c r="AN12" s="1167" t="str">
        <f t="shared" si="18"/>
        <v/>
      </c>
      <c r="AO12" s="1163" t="str">
        <f t="shared" si="19"/>
        <v/>
      </c>
      <c r="AR12" s="502" t="str">
        <f>IFERROR(INDEX($C$6:$C$53,_xlfn.AGGREGATE(15,6,(ROW($Q$6:$Q$53)-ROW($Q$6)+1)/(($Q$6:$Q$53&gt;0)*(MOD($S$6:$S$53,20)=10)),7)),"")</f>
        <v/>
      </c>
      <c r="AS12" s="503" t="str">
        <f>IF($AR12="","",IFERROR(INDEX($D$6:$D$53,_xlfn.AGGREGATE(15,6,(ROW($Q$6:$Q$53)-ROW($Q$6)+1)/(($Q$6:$Q$53&gt;0)*(MOD($S$6:$S$53,20)=10)),7)),""))</f>
        <v/>
      </c>
      <c r="AT12" s="504" t="str">
        <f>IF($AR12="","",IFERROR(INDEX($S$6:$S$53,_xlfn.AGGREGATE(15,6,(ROW($Q$6:$Q$53)-ROW($Q$6)+1)/(($Q$6:$Q$53&gt;0)*(MOD($S$6:$S$53,20)=10)),7)),""))</f>
        <v/>
      </c>
      <c r="AU12" s="505" t="str">
        <f t="shared" si="20"/>
        <v/>
      </c>
    </row>
    <row r="13" spans="1:52" ht="46.5">
      <c r="A13" s="2257"/>
      <c r="C13" s="42">
        <f>+PP!B31</f>
        <v>8</v>
      </c>
      <c r="D13" s="1022" t="str">
        <f>+PP!C31</f>
        <v>ALETA FRESCA PARTIDA 2.0-4.0 kg/pza</v>
      </c>
      <c r="E13" s="1940"/>
      <c r="F13" s="388"/>
      <c r="G13" s="388"/>
      <c r="H13" s="388"/>
      <c r="I13" s="388"/>
      <c r="J13" s="388"/>
      <c r="K13" s="388"/>
      <c r="L13" s="1941"/>
      <c r="M13" s="1941"/>
      <c r="N13" s="1941"/>
      <c r="O13" s="388"/>
      <c r="P13" s="1942"/>
      <c r="Q13" s="525">
        <f t="shared" si="0"/>
        <v>0</v>
      </c>
      <c r="R13" s="525">
        <f t="shared" si="1"/>
        <v>0</v>
      </c>
      <c r="S13" s="508">
        <f t="shared" si="2"/>
        <v>0</v>
      </c>
      <c r="T13" s="552">
        <f t="shared" si="2"/>
        <v>0</v>
      </c>
      <c r="U13" s="574"/>
      <c r="V13" s="452"/>
      <c r="W13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</f>
        <v/>
      </c>
      <c r="X13" s="1772" t="str">
        <f>IF($W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)</f>
        <v/>
      </c>
      <c r="Y13" s="1714" t="str">
        <f t="shared" si="3"/>
        <v/>
      </c>
      <c r="Z13" s="1714" t="str">
        <f t="shared" si="4"/>
        <v/>
      </c>
      <c r="AA13" s="1704" t="str">
        <f t="shared" si="5"/>
        <v/>
      </c>
      <c r="AB13" s="1492" t="str">
        <f t="shared" si="6"/>
        <v/>
      </c>
      <c r="AC13" s="1492" t="str">
        <f t="shared" si="7"/>
        <v/>
      </c>
      <c r="AD13" s="1492" t="str">
        <f t="shared" si="8"/>
        <v/>
      </c>
      <c r="AE13" s="1492" t="str">
        <f t="shared" si="9"/>
        <v/>
      </c>
      <c r="AF13" s="1492" t="str">
        <f t="shared" si="10"/>
        <v/>
      </c>
      <c r="AG13" s="1492" t="str">
        <f t="shared" si="11"/>
        <v/>
      </c>
      <c r="AH13" s="1492" t="str">
        <f t="shared" si="12"/>
        <v/>
      </c>
      <c r="AI13" s="1492" t="str">
        <f t="shared" si="13"/>
        <v/>
      </c>
      <c r="AJ13" s="1492" t="str">
        <f t="shared" si="14"/>
        <v/>
      </c>
      <c r="AK13" s="1492" t="str">
        <f t="shared" si="15"/>
        <v/>
      </c>
      <c r="AL13" s="1167" t="str">
        <f t="shared" si="16"/>
        <v/>
      </c>
      <c r="AM13" s="1167" t="str">
        <f t="shared" si="17"/>
        <v/>
      </c>
      <c r="AN13" s="1167" t="str">
        <f t="shared" si="18"/>
        <v/>
      </c>
      <c r="AO13" s="1163" t="str">
        <f t="shared" si="19"/>
        <v/>
      </c>
      <c r="AR13" s="502" t="str">
        <f>IFERROR(INDEX($C$6:$C$53,_xlfn.AGGREGATE(15,6,(ROW($Q$6:$Q$53)-ROW($Q$6)+1)/(($Q$6:$Q$53&gt;0)*(MOD($S$6:$S$53,20)=10)),8)),"")</f>
        <v/>
      </c>
      <c r="AS13" s="503" t="str">
        <f>IF($AR13="","",IFERROR(INDEX($D$6:$D$53,_xlfn.AGGREGATE(15,6,(ROW($Q$6:$Q$53)-ROW($Q$6)+1)/(($Q$6:$Q$53&gt;0)*(MOD($S$6:$S$53,20)=10)),8)),""))</f>
        <v/>
      </c>
      <c r="AT13" s="504" t="str">
        <f>IF($AR13="","",IFERROR(INDEX($S$6:$S$53,_xlfn.AGGREGATE(15,6,(ROW($Q$6:$Q$53)-ROW($Q$6)+1)/(($Q$6:$Q$53&gt;0)*(MOD($S$6:$S$53,20)=10)),8)),""))</f>
        <v/>
      </c>
      <c r="AU13" s="505" t="str">
        <f t="shared" si="20"/>
        <v/>
      </c>
    </row>
    <row r="14" spans="1:52" ht="46.5">
      <c r="A14" s="2257"/>
      <c r="C14" s="42">
        <f>+PP!B32</f>
        <v>9</v>
      </c>
      <c r="D14" s="1022" t="str">
        <f>+PP!C32</f>
        <v>ALETA PRECOCIDA ENTERA 300-UP g/pza</v>
      </c>
      <c r="E14" s="1940"/>
      <c r="F14" s="388"/>
      <c r="G14" s="388"/>
      <c r="H14" s="388"/>
      <c r="I14" s="388"/>
      <c r="J14" s="388"/>
      <c r="K14" s="388"/>
      <c r="L14" s="1941"/>
      <c r="M14" s="1941"/>
      <c r="N14" s="1941"/>
      <c r="O14" s="388"/>
      <c r="P14" s="1942"/>
      <c r="Q14" s="525">
        <f t="shared" si="0"/>
        <v>0</v>
      </c>
      <c r="R14" s="525">
        <f t="shared" si="1"/>
        <v>0</v>
      </c>
      <c r="S14" s="508">
        <f t="shared" si="2"/>
        <v>0</v>
      </c>
      <c r="T14" s="552">
        <f t="shared" si="2"/>
        <v>0</v>
      </c>
      <c r="U14" s="574"/>
      <c r="V14" s="452"/>
      <c r="W14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</f>
        <v/>
      </c>
      <c r="X14" s="1772" t="str">
        <f>IF($W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)</f>
        <v/>
      </c>
      <c r="Y14" s="1714" t="str">
        <f t="shared" si="3"/>
        <v/>
      </c>
      <c r="Z14" s="1714" t="str">
        <f t="shared" si="4"/>
        <v/>
      </c>
      <c r="AA14" s="1704" t="str">
        <f t="shared" si="5"/>
        <v/>
      </c>
      <c r="AB14" s="1492" t="str">
        <f t="shared" si="6"/>
        <v/>
      </c>
      <c r="AC14" s="1492" t="str">
        <f t="shared" si="7"/>
        <v/>
      </c>
      <c r="AD14" s="1492" t="str">
        <f t="shared" si="8"/>
        <v/>
      </c>
      <c r="AE14" s="1492" t="str">
        <f t="shared" si="9"/>
        <v/>
      </c>
      <c r="AF14" s="1492" t="str">
        <f t="shared" si="10"/>
        <v/>
      </c>
      <c r="AG14" s="1492" t="str">
        <f t="shared" si="11"/>
        <v/>
      </c>
      <c r="AH14" s="1492" t="str">
        <f t="shared" si="12"/>
        <v/>
      </c>
      <c r="AI14" s="1492" t="str">
        <f t="shared" si="13"/>
        <v/>
      </c>
      <c r="AJ14" s="1492" t="str">
        <f t="shared" si="14"/>
        <v/>
      </c>
      <c r="AK14" s="1492" t="str">
        <f t="shared" si="15"/>
        <v/>
      </c>
      <c r="AL14" s="1167" t="str">
        <f t="shared" si="16"/>
        <v/>
      </c>
      <c r="AM14" s="1167" t="str">
        <f t="shared" si="17"/>
        <v/>
      </c>
      <c r="AN14" s="1167" t="str">
        <f t="shared" si="18"/>
        <v/>
      </c>
      <c r="AO14" s="1163" t="str">
        <f t="shared" si="19"/>
        <v/>
      </c>
      <c r="AR14" s="502" t="str">
        <f>IFERROR(INDEX($C$6:$C$53,_xlfn.AGGREGATE(15,6,(ROW($Q$6:$Q$53)-ROW($Q$6)+1)/(($Q$6:$Q$53&gt;0)*(MOD($S$6:$S$53,20)=10)),9)),"")</f>
        <v/>
      </c>
      <c r="AS14" s="503" t="str">
        <f>IF($AR14="","",IFERROR(INDEX($D$6:$D$53,_xlfn.AGGREGATE(15,6,(ROW($Q$6:$Q$53)-ROW($Q$6)+1)/(($Q$6:$Q$53&gt;0)*(MOD($S$6:$S$53,20)=10)),9)),""))</f>
        <v/>
      </c>
      <c r="AT14" s="504" t="str">
        <f>IF($AR14="","",IFERROR(INDEX($S$6:$S$53,_xlfn.AGGREGATE(15,6,(ROW($Q$6:$Q$53)-ROW($Q$6)+1)/(($Q$6:$Q$53&gt;0)*(MOD($S$6:$S$53,20)=10)),9)),""))</f>
        <v/>
      </c>
      <c r="AU14" s="505" t="str">
        <f t="shared" si="20"/>
        <v/>
      </c>
    </row>
    <row r="15" spans="1:52" ht="39" customHeight="1" thickBot="1">
      <c r="A15" s="2257"/>
      <c r="C15" s="40">
        <f>+PP!B33</f>
        <v>10</v>
      </c>
      <c r="D15" s="1266" t="str">
        <f>+PP!C33</f>
        <v>ALETA PRECOCIDA PARTIDA 300-UP g/pza</v>
      </c>
      <c r="E15" s="1943"/>
      <c r="F15" s="1944"/>
      <c r="G15" s="1944"/>
      <c r="H15" s="1944"/>
      <c r="I15" s="1944"/>
      <c r="J15" s="1944"/>
      <c r="K15" s="1944"/>
      <c r="L15" s="1944"/>
      <c r="M15" s="1944"/>
      <c r="N15" s="1944"/>
      <c r="O15" s="1154"/>
      <c r="P15" s="1945"/>
      <c r="Q15" s="1032">
        <f t="shared" si="0"/>
        <v>0</v>
      </c>
      <c r="R15" s="511">
        <f t="shared" si="1"/>
        <v>0</v>
      </c>
      <c r="S15" s="524">
        <f t="shared" si="2"/>
        <v>0</v>
      </c>
      <c r="T15" s="507">
        <f t="shared" si="2"/>
        <v>0</v>
      </c>
      <c r="U15" s="574"/>
      <c r="V15" s="452"/>
      <c r="W15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</f>
        <v/>
      </c>
      <c r="X15" s="1772" t="str">
        <f>IF($W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)</f>
        <v/>
      </c>
      <c r="Y15" s="1714" t="str">
        <f t="shared" si="3"/>
        <v/>
      </c>
      <c r="Z15" s="1714" t="str">
        <f t="shared" si="4"/>
        <v/>
      </c>
      <c r="AA15" s="1704" t="str">
        <f t="shared" si="5"/>
        <v/>
      </c>
      <c r="AB15" s="1492" t="str">
        <f t="shared" si="6"/>
        <v/>
      </c>
      <c r="AC15" s="1492" t="str">
        <f t="shared" si="7"/>
        <v/>
      </c>
      <c r="AD15" s="1492" t="str">
        <f t="shared" si="8"/>
        <v/>
      </c>
      <c r="AE15" s="1492" t="str">
        <f t="shared" si="9"/>
        <v/>
      </c>
      <c r="AF15" s="1492" t="str">
        <f t="shared" si="10"/>
        <v/>
      </c>
      <c r="AG15" s="1492" t="str">
        <f t="shared" si="11"/>
        <v/>
      </c>
      <c r="AH15" s="1492" t="str">
        <f t="shared" si="12"/>
        <v/>
      </c>
      <c r="AI15" s="1492" t="str">
        <f t="shared" si="13"/>
        <v/>
      </c>
      <c r="AJ15" s="1492" t="str">
        <f t="shared" si="14"/>
        <v/>
      </c>
      <c r="AK15" s="1492" t="str">
        <f t="shared" si="15"/>
        <v/>
      </c>
      <c r="AL15" s="1167" t="str">
        <f t="shared" si="16"/>
        <v/>
      </c>
      <c r="AM15" s="1167" t="str">
        <f t="shared" si="17"/>
        <v/>
      </c>
      <c r="AN15" s="1167" t="str">
        <f t="shared" si="18"/>
        <v/>
      </c>
      <c r="AO15" s="1163" t="str">
        <f t="shared" si="19"/>
        <v/>
      </c>
      <c r="AR15" s="502" t="str">
        <f>IFERROR(INDEX($C$6:$C$53,_xlfn.AGGREGATE(15,6,(ROW($Q$6:$Q$53)-ROW($Q$6)+1)/(($Q$6:$Q$53&gt;0)*(MOD($S$6:$S$53,20)=10)),10)),"")</f>
        <v/>
      </c>
      <c r="AS15" s="503" t="str">
        <f>IF($AR15="","",IFERROR(INDEX($D$6:$D$53,_xlfn.AGGREGATE(15,6,(ROW($Q$6:$Q$53)-ROW($Q$6)+1)/(($Q$6:$Q$53&gt;0)*(MOD($S$6:$S$53,20)=10)),10)),""))</f>
        <v/>
      </c>
      <c r="AT15" s="504" t="str">
        <f>IF($AR15="","",IFERROR(INDEX($S$6:$S$53,_xlfn.AGGREGATE(15,6,(ROW($Q$6:$Q$53)-ROW($Q$6)+1)/(($Q$6:$Q$53&gt;0)*(MOD($S$6:$S$53,20)=10)),10)),""))</f>
        <v/>
      </c>
      <c r="AU15" s="505" t="str">
        <f t="shared" si="20"/>
        <v/>
      </c>
    </row>
    <row r="16" spans="1:52" ht="38.25" customHeight="1">
      <c r="A16" s="2257"/>
      <c r="C16" s="41">
        <f>+PP!B34</f>
        <v>11</v>
      </c>
      <c r="D16" s="1023" t="str">
        <f>+PP!C34</f>
        <v>BOTON BLANCO SM ST</v>
      </c>
      <c r="E16" s="1946"/>
      <c r="F16" s="1947"/>
      <c r="G16" s="1007"/>
      <c r="H16" s="1007"/>
      <c r="I16" s="1007"/>
      <c r="J16" s="1007"/>
      <c r="K16" s="1007"/>
      <c r="L16" s="1007"/>
      <c r="M16" s="1007"/>
      <c r="N16" s="1007"/>
      <c r="O16" s="1007"/>
      <c r="P16" s="1948"/>
      <c r="Q16" s="510">
        <f t="shared" si="0"/>
        <v>0</v>
      </c>
      <c r="R16" s="510">
        <f t="shared" si="1"/>
        <v>0</v>
      </c>
      <c r="S16" s="510">
        <f t="shared" si="2"/>
        <v>0</v>
      </c>
      <c r="T16" s="2917">
        <f t="shared" si="2"/>
        <v>0</v>
      </c>
      <c r="U16" s="574"/>
      <c r="V16" s="452"/>
      <c r="W16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</f>
        <v/>
      </c>
      <c r="X16" s="1772" t="str">
        <f>IF($W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)</f>
        <v/>
      </c>
      <c r="Y16" s="1714" t="str">
        <f t="shared" si="3"/>
        <v/>
      </c>
      <c r="Z16" s="1714" t="str">
        <f t="shared" si="4"/>
        <v/>
      </c>
      <c r="AA16" s="1704" t="str">
        <f t="shared" si="5"/>
        <v/>
      </c>
      <c r="AB16" s="1492" t="str">
        <f t="shared" si="6"/>
        <v/>
      </c>
      <c r="AC16" s="1492" t="str">
        <f t="shared" si="7"/>
        <v/>
      </c>
      <c r="AD16" s="1492" t="str">
        <f t="shared" si="8"/>
        <v/>
      </c>
      <c r="AE16" s="1492" t="str">
        <f t="shared" si="9"/>
        <v/>
      </c>
      <c r="AF16" s="1492" t="str">
        <f t="shared" si="10"/>
        <v/>
      </c>
      <c r="AG16" s="1492" t="str">
        <f t="shared" si="11"/>
        <v/>
      </c>
      <c r="AH16" s="1492" t="str">
        <f t="shared" si="12"/>
        <v/>
      </c>
      <c r="AI16" s="1492" t="str">
        <f t="shared" si="13"/>
        <v/>
      </c>
      <c r="AJ16" s="1492" t="str">
        <f t="shared" si="14"/>
        <v/>
      </c>
      <c r="AK16" s="1167" t="str">
        <f t="shared" si="15"/>
        <v/>
      </c>
      <c r="AL16" s="1167" t="str">
        <f t="shared" si="16"/>
        <v/>
      </c>
      <c r="AM16" s="1167" t="str">
        <f t="shared" si="17"/>
        <v/>
      </c>
      <c r="AN16" s="1167" t="str">
        <f t="shared" si="18"/>
        <v/>
      </c>
      <c r="AO16" s="1163" t="str">
        <f t="shared" si="19"/>
        <v/>
      </c>
      <c r="AR16" s="502" t="str">
        <f>IFERROR(INDEX($C$6:$C$53,_xlfn.AGGREGATE(15,6,(ROW($Q$6:$Q$53)-ROW($Q$6)+1)/(($Q$6:$Q$53&gt;0)*(MOD($S$6:$S$53,20)=10)),11)),"")</f>
        <v/>
      </c>
      <c r="AS16" s="503" t="str">
        <f>IF($AR16="","",IFERROR(INDEX($D$6:$D$53,_xlfn.AGGREGATE(15,6,(ROW($Q$6:$Q$53)-ROW($Q$6)+1)/(($Q$6:$Q$53&gt;0)*(MOD($S$6:$S$53,20)=10)),11)),""))</f>
        <v/>
      </c>
      <c r="AT16" s="504" t="str">
        <f>IF($AR16="","",IFERROR(INDEX($S$6:$S$53,_xlfn.AGGREGATE(15,6,(ROW($Q$6:$Q$53)-ROW($Q$6)+1)/(($Q$6:$Q$53&gt;0)*(MOD($S$6:$S$53,20)=10)),11)),""))</f>
        <v/>
      </c>
      <c r="AU16" s="505" t="str">
        <f t="shared" si="20"/>
        <v/>
      </c>
    </row>
    <row r="17" spans="1:47" ht="35.25" customHeight="1" thickBot="1">
      <c r="A17" s="2257"/>
      <c r="C17" s="40">
        <f>+PP!B35</f>
        <v>12</v>
      </c>
      <c r="D17" s="1266" t="str">
        <f>+PP!C35</f>
        <v>BOTON AMARILLO SM ST</v>
      </c>
      <c r="E17" s="1949"/>
      <c r="F17" s="1950"/>
      <c r="G17" s="1950"/>
      <c r="H17" s="1950"/>
      <c r="I17" s="1950"/>
      <c r="J17" s="1950"/>
      <c r="K17" s="1950"/>
      <c r="L17" s="1950"/>
      <c r="M17" s="1950"/>
      <c r="N17" s="1950"/>
      <c r="O17" s="1008"/>
      <c r="P17" s="1951"/>
      <c r="Q17" s="511">
        <f t="shared" si="0"/>
        <v>0</v>
      </c>
      <c r="R17" s="511">
        <f t="shared" si="1"/>
        <v>0</v>
      </c>
      <c r="S17" s="511">
        <f t="shared" si="2"/>
        <v>0</v>
      </c>
      <c r="T17" s="2912">
        <f t="shared" si="2"/>
        <v>0</v>
      </c>
      <c r="U17" s="574"/>
      <c r="V17" s="452"/>
      <c r="W17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</f>
        <v/>
      </c>
      <c r="X17" s="1772" t="str">
        <f>IF($W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)</f>
        <v/>
      </c>
      <c r="Y17" s="1714" t="str">
        <f t="shared" si="3"/>
        <v/>
      </c>
      <c r="Z17" s="1714" t="str">
        <f t="shared" si="4"/>
        <v/>
      </c>
      <c r="AA17" s="1704" t="str">
        <f t="shared" si="5"/>
        <v/>
      </c>
      <c r="AB17" s="1492" t="str">
        <f t="shared" si="6"/>
        <v/>
      </c>
      <c r="AC17" s="1492" t="str">
        <f t="shared" si="7"/>
        <v/>
      </c>
      <c r="AD17" s="1492" t="str">
        <f t="shared" si="8"/>
        <v/>
      </c>
      <c r="AE17" s="1492" t="str">
        <f t="shared" si="9"/>
        <v/>
      </c>
      <c r="AF17" s="1492" t="str">
        <f t="shared" si="10"/>
        <v/>
      </c>
      <c r="AG17" s="1167" t="str">
        <f t="shared" si="11"/>
        <v/>
      </c>
      <c r="AH17" s="1167" t="str">
        <f t="shared" si="12"/>
        <v/>
      </c>
      <c r="AI17" s="1167" t="str">
        <f t="shared" si="13"/>
        <v/>
      </c>
      <c r="AJ17" s="1167" t="str">
        <f t="shared" si="14"/>
        <v/>
      </c>
      <c r="AK17" s="1167" t="str">
        <f t="shared" si="15"/>
        <v/>
      </c>
      <c r="AL17" s="1167" t="str">
        <f t="shared" si="16"/>
        <v/>
      </c>
      <c r="AM17" s="1167" t="str">
        <f t="shared" si="17"/>
        <v/>
      </c>
      <c r="AN17" s="1167" t="str">
        <f t="shared" si="18"/>
        <v/>
      </c>
      <c r="AO17" s="1163" t="str">
        <f t="shared" si="19"/>
        <v/>
      </c>
      <c r="AR17" s="502" t="str">
        <f>IFERROR(INDEX($C$6:$C$53,_xlfn.AGGREGATE(15,6,(ROW($Q$6:$Q$53)-ROW($Q$6)+1)/(($Q$6:$Q$53&gt;0)*(MOD($S$6:$S$53,20)=10)),12)),"")</f>
        <v/>
      </c>
      <c r="AS17" s="503" t="str">
        <f>IF($AR17="","",IFERROR(INDEX($D$6:$D$53,_xlfn.AGGREGATE(15,6,(ROW($Q$6:$Q$53)-ROW($Q$6)+1)/(($Q$6:$Q$53&gt;0)*(MOD($S$6:$S$53,20)=10)),12)),""))</f>
        <v/>
      </c>
      <c r="AT17" s="504" t="str">
        <f>IF($AR17="","",IFERROR(INDEX($S$6:$S$53,_xlfn.AGGREGATE(15,6,(ROW($Q$6:$Q$53)-ROW($Q$6)+1)/(($Q$6:$Q$53&gt;0)*(MOD($S$6:$S$53,20)=10)),12)),""))</f>
        <v/>
      </c>
      <c r="AU17" s="505" t="str">
        <f t="shared" si="20"/>
        <v/>
      </c>
    </row>
    <row r="18" spans="1:47" ht="47.25" thickBot="1">
      <c r="A18" s="2257"/>
      <c r="C18" s="526">
        <f>+PP!B36</f>
        <v>13</v>
      </c>
      <c r="D18" s="1196" t="str">
        <f>+PP!C36</f>
        <v>CONOS DE POTA</v>
      </c>
      <c r="E18" s="2176"/>
      <c r="F18" s="2177"/>
      <c r="G18" s="2177"/>
      <c r="H18" s="2177"/>
      <c r="I18" s="2177"/>
      <c r="J18" s="2177"/>
      <c r="K18" s="2177"/>
      <c r="L18" s="2177"/>
      <c r="M18" s="1952"/>
      <c r="N18" s="388"/>
      <c r="O18" s="1155"/>
      <c r="P18" s="1953"/>
      <c r="Q18" s="527">
        <f t="shared" si="0"/>
        <v>0</v>
      </c>
      <c r="R18" s="527">
        <f t="shared" si="1"/>
        <v>0</v>
      </c>
      <c r="S18" s="527">
        <f t="shared" si="2"/>
        <v>0</v>
      </c>
      <c r="T18" s="2916">
        <f t="shared" si="2"/>
        <v>0</v>
      </c>
      <c r="U18" s="574"/>
      <c r="V18" s="452"/>
      <c r="W18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</f>
        <v/>
      </c>
      <c r="X18" s="1772" t="str">
        <f>IF($W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)</f>
        <v/>
      </c>
      <c r="Y18" s="1714" t="str">
        <f t="shared" si="3"/>
        <v/>
      </c>
      <c r="Z18" s="1714" t="str">
        <f t="shared" si="4"/>
        <v/>
      </c>
      <c r="AA18" s="1705" t="str">
        <f t="shared" si="5"/>
        <v/>
      </c>
      <c r="AB18" s="1167" t="str">
        <f t="shared" si="6"/>
        <v/>
      </c>
      <c r="AC18" s="1167" t="str">
        <f t="shared" si="7"/>
        <v/>
      </c>
      <c r="AD18" s="1167" t="str">
        <f t="shared" si="8"/>
        <v/>
      </c>
      <c r="AE18" s="1167" t="str">
        <f t="shared" si="9"/>
        <v/>
      </c>
      <c r="AF18" s="1167" t="str">
        <f t="shared" si="10"/>
        <v/>
      </c>
      <c r="AG18" s="1167" t="str">
        <f t="shared" si="11"/>
        <v/>
      </c>
      <c r="AH18" s="1167" t="str">
        <f t="shared" si="12"/>
        <v/>
      </c>
      <c r="AI18" s="1167" t="str">
        <f t="shared" si="13"/>
        <v/>
      </c>
      <c r="AJ18" s="1167" t="str">
        <f t="shared" si="14"/>
        <v/>
      </c>
      <c r="AK18" s="1167" t="str">
        <f t="shared" si="15"/>
        <v/>
      </c>
      <c r="AL18" s="1167" t="str">
        <f t="shared" si="16"/>
        <v/>
      </c>
      <c r="AM18" s="1167" t="str">
        <f t="shared" si="17"/>
        <v/>
      </c>
      <c r="AN18" s="1167" t="str">
        <f t="shared" si="18"/>
        <v/>
      </c>
      <c r="AO18" s="1163" t="str">
        <f t="shared" si="19"/>
        <v/>
      </c>
      <c r="AR18" s="502" t="str">
        <f>IFERROR(INDEX($C$6:$C$53,_xlfn.AGGREGATE(15,6,(ROW($Q$6:$Q$53)-ROW($Q$6)+1)/(($Q$6:$Q$53&gt;0)*(MOD($S$6:$S$53,20)=10)),13)),"")</f>
        <v/>
      </c>
      <c r="AS18" s="503" t="str">
        <f>IF($AR18="","",IFERROR(INDEX($D$6:$D$53,_xlfn.AGGREGATE(15,6,(ROW($Q$6:$Q$53)-ROW($Q$6)+1)/(($Q$6:$Q$53&gt;0)*(MOD($S$6:$S$53,20)=10)),13)),""))</f>
        <v/>
      </c>
      <c r="AT18" s="504" t="str">
        <f>IF($AR18="","",IFERROR(INDEX($S$6:$S$53,_xlfn.AGGREGATE(15,6,(ROW($Q$6:$Q$53)-ROW($Q$6)+1)/(($Q$6:$Q$53&gt;0)*(MOD($S$6:$S$53,20)=10)),13)),""))</f>
        <v/>
      </c>
      <c r="AU18" s="505" t="str">
        <f t="shared" si="20"/>
        <v/>
      </c>
    </row>
    <row r="19" spans="1:47" ht="46.5">
      <c r="A19" s="2257"/>
      <c r="C19" s="41">
        <f>+PP!B37</f>
        <v>14</v>
      </c>
      <c r="D19" s="162" t="str">
        <f>+PP!C37</f>
        <v>FILETE C/TT DARUMA</v>
      </c>
      <c r="E19" s="2127"/>
      <c r="F19" s="1947"/>
      <c r="G19" s="1947"/>
      <c r="H19" s="1947"/>
      <c r="I19" s="1947"/>
      <c r="J19" s="1947"/>
      <c r="K19" s="1947"/>
      <c r="L19" s="1947"/>
      <c r="M19" s="1947"/>
      <c r="N19" s="1947"/>
      <c r="O19" s="1947"/>
      <c r="P19" s="1948"/>
      <c r="Q19" s="1770">
        <f t="shared" si="0"/>
        <v>0</v>
      </c>
      <c r="R19" s="510">
        <f t="shared" si="1"/>
        <v>0</v>
      </c>
      <c r="S19" s="514">
        <f t="shared" si="2"/>
        <v>0</v>
      </c>
      <c r="T19" s="490">
        <f t="shared" si="2"/>
        <v>0</v>
      </c>
      <c r="U19" s="574"/>
      <c r="V19" s="452"/>
      <c r="W19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</f>
        <v/>
      </c>
      <c r="X19" s="1772" t="str">
        <f>IF($W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)</f>
        <v/>
      </c>
      <c r="Y19" s="1714" t="str">
        <f t="shared" si="3"/>
        <v/>
      </c>
      <c r="Z19" s="1714" t="str">
        <f t="shared" si="4"/>
        <v/>
      </c>
      <c r="AA19" s="1705" t="str">
        <f t="shared" si="5"/>
        <v/>
      </c>
      <c r="AB19" s="1167" t="str">
        <f t="shared" si="6"/>
        <v/>
      </c>
      <c r="AC19" s="1167" t="str">
        <f t="shared" si="7"/>
        <v/>
      </c>
      <c r="AD19" s="1167" t="str">
        <f t="shared" si="8"/>
        <v/>
      </c>
      <c r="AE19" s="1167" t="str">
        <f t="shared" si="9"/>
        <v/>
      </c>
      <c r="AF19" s="1167" t="str">
        <f t="shared" si="10"/>
        <v/>
      </c>
      <c r="AG19" s="1167" t="str">
        <f t="shared" si="11"/>
        <v/>
      </c>
      <c r="AH19" s="1167" t="str">
        <f t="shared" si="12"/>
        <v/>
      </c>
      <c r="AI19" s="1167" t="str">
        <f t="shared" si="13"/>
        <v/>
      </c>
      <c r="AJ19" s="1167" t="str">
        <f t="shared" si="14"/>
        <v/>
      </c>
      <c r="AK19" s="1167" t="str">
        <f t="shared" si="15"/>
        <v/>
      </c>
      <c r="AL19" s="1167" t="str">
        <f t="shared" si="16"/>
        <v/>
      </c>
      <c r="AM19" s="1167" t="str">
        <f t="shared" si="17"/>
        <v/>
      </c>
      <c r="AN19" s="1167" t="str">
        <f t="shared" si="18"/>
        <v/>
      </c>
      <c r="AO19" s="1163" t="str">
        <f t="shared" si="19"/>
        <v/>
      </c>
      <c r="AR19" s="502" t="str">
        <f>IFERROR(INDEX($C$6:$C$53,_xlfn.AGGREGATE(15,6,(ROW($Q$6:$Q$53)-ROW($Q$6)+1)/(($Q$6:$Q$53&gt;0)*(MOD($S$6:$S$53,20)=10)),14)),"")</f>
        <v/>
      </c>
      <c r="AS19" s="503" t="str">
        <f>IF($AR19="","",IFERROR(INDEX($D$6:$D$53,_xlfn.AGGREGATE(15,6,(ROW($Q$6:$Q$53)-ROW($Q$6)+1)/(($Q$6:$Q$53&gt;0)*(MOD($S$6:$S$53,20)=10)),14)),""))</f>
        <v/>
      </c>
      <c r="AT19" s="504" t="str">
        <f>IF($AR19="","",IFERROR(INDEX($S$6:$S$53,_xlfn.AGGREGATE(15,6,(ROW($Q$6:$Q$53)-ROW($Q$6)+1)/(($Q$6:$Q$53&gt;0)*(MOD($S$6:$S$53,20)=10)),14)),""))</f>
        <v/>
      </c>
      <c r="AU19" s="505" t="str">
        <f t="shared" si="20"/>
        <v/>
      </c>
    </row>
    <row r="20" spans="1:47" ht="46.5">
      <c r="A20" s="2257"/>
      <c r="C20" s="42">
        <f>+PP!B38</f>
        <v>15</v>
      </c>
      <c r="D20" s="166" t="str">
        <f>+PP!C38</f>
        <v>FILETE C/M C/T TRES PIELES 1.0-2.0 kg/pza</v>
      </c>
      <c r="E20" s="2128"/>
      <c r="F20" s="1941"/>
      <c r="G20" s="1941"/>
      <c r="H20" s="1941"/>
      <c r="I20" s="1941"/>
      <c r="J20" s="1941"/>
      <c r="K20" s="1941"/>
      <c r="L20" s="1941"/>
      <c r="M20" s="1941"/>
      <c r="N20" s="1941"/>
      <c r="O20" s="1941"/>
      <c r="P20" s="1942"/>
      <c r="Q20" s="525">
        <f t="shared" si="0"/>
        <v>0</v>
      </c>
      <c r="R20" s="525">
        <f t="shared" si="1"/>
        <v>0</v>
      </c>
      <c r="S20" s="508">
        <f t="shared" si="2"/>
        <v>0</v>
      </c>
      <c r="T20" s="552">
        <f t="shared" si="2"/>
        <v>0</v>
      </c>
      <c r="U20" s="574"/>
      <c r="V20" s="452"/>
      <c r="W20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</f>
        <v/>
      </c>
      <c r="X20" s="1772" t="str">
        <f>IF($W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)</f>
        <v/>
      </c>
      <c r="Y20" s="1714" t="str">
        <f t="shared" si="3"/>
        <v/>
      </c>
      <c r="Z20" s="1714" t="str">
        <f t="shared" si="4"/>
        <v/>
      </c>
      <c r="AA20" s="1705" t="str">
        <f t="shared" si="5"/>
        <v/>
      </c>
      <c r="AB20" s="1167" t="str">
        <f t="shared" si="6"/>
        <v/>
      </c>
      <c r="AC20" s="1167" t="str">
        <f t="shared" si="7"/>
        <v/>
      </c>
      <c r="AD20" s="1167" t="str">
        <f t="shared" si="8"/>
        <v/>
      </c>
      <c r="AE20" s="1167" t="str">
        <f t="shared" si="9"/>
        <v/>
      </c>
      <c r="AF20" s="1167" t="str">
        <f t="shared" si="10"/>
        <v/>
      </c>
      <c r="AG20" s="1167" t="str">
        <f t="shared" si="11"/>
        <v/>
      </c>
      <c r="AH20" s="1167" t="str">
        <f t="shared" si="12"/>
        <v/>
      </c>
      <c r="AI20" s="1167" t="str">
        <f t="shared" si="13"/>
        <v/>
      </c>
      <c r="AJ20" s="1167" t="str">
        <f t="shared" si="14"/>
        <v/>
      </c>
      <c r="AK20" s="1167" t="str">
        <f t="shared" si="15"/>
        <v/>
      </c>
      <c r="AL20" s="1167" t="str">
        <f t="shared" si="16"/>
        <v/>
      </c>
      <c r="AM20" s="1167" t="str">
        <f t="shared" si="17"/>
        <v/>
      </c>
      <c r="AN20" s="1167" t="str">
        <f t="shared" si="18"/>
        <v/>
      </c>
      <c r="AO20" s="1163" t="str">
        <f t="shared" si="19"/>
        <v/>
      </c>
      <c r="AR20" s="502" t="str">
        <f>IFERROR(INDEX($C$6:$C$53,_xlfn.AGGREGATE(15,6,(ROW($Q$6:$Q$53)-ROW($Q$6)+1)/(($Q$6:$Q$53&gt;0)*(MOD($S$6:$S$53,20)=10)),15)),"")</f>
        <v/>
      </c>
      <c r="AS20" s="503" t="str">
        <f>IF($AR20="","",IFERROR(INDEX($D$6:$D$53,_xlfn.AGGREGATE(15,6,(ROW($Q$6:$Q$53)-ROW($Q$6)+1)/(($Q$6:$Q$53&gt;0)*(MOD($S$6:$S$53,20)=10)),15)),""))</f>
        <v/>
      </c>
      <c r="AT20" s="504" t="str">
        <f>IF($AR20="","",IFERROR(INDEX($S$6:$S$53,_xlfn.AGGREGATE(15,6,(ROW($Q$6:$Q$53)-ROW($Q$6)+1)/(($Q$6:$Q$53&gt;0)*(MOD($S$6:$S$53,20)=10)),15)),""))</f>
        <v/>
      </c>
      <c r="AU20" s="505" t="str">
        <f t="shared" si="20"/>
        <v/>
      </c>
    </row>
    <row r="21" spans="1:47" ht="46.5">
      <c r="A21" s="2257"/>
      <c r="C21" s="42">
        <f>+PP!B39</f>
        <v>16</v>
      </c>
      <c r="D21" s="166" t="str">
        <f>+PP!C39</f>
        <v>FILETE C/M C/T TRES PIELES 2.0-4.0 kg/pza</v>
      </c>
      <c r="E21" s="1533"/>
      <c r="F21" s="1941"/>
      <c r="G21" s="1941"/>
      <c r="H21" s="1941"/>
      <c r="I21" s="1941"/>
      <c r="J21" s="1941"/>
      <c r="K21" s="1941"/>
      <c r="L21" s="1941"/>
      <c r="M21" s="1941"/>
      <c r="N21" s="1941"/>
      <c r="O21" s="1941"/>
      <c r="P21" s="1942"/>
      <c r="Q21" s="525">
        <f t="shared" si="0"/>
        <v>0</v>
      </c>
      <c r="R21" s="525">
        <f t="shared" si="1"/>
        <v>0</v>
      </c>
      <c r="S21" s="508">
        <f t="shared" si="2"/>
        <v>0</v>
      </c>
      <c r="T21" s="552">
        <f t="shared" si="2"/>
        <v>0</v>
      </c>
      <c r="U21" s="574"/>
      <c r="V21" s="452"/>
      <c r="W21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</f>
        <v/>
      </c>
      <c r="X21" s="1772" t="str">
        <f>IF($W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)</f>
        <v/>
      </c>
      <c r="Y21" s="1714" t="str">
        <f t="shared" si="3"/>
        <v/>
      </c>
      <c r="Z21" s="1714" t="str">
        <f t="shared" si="4"/>
        <v/>
      </c>
      <c r="AA21" s="1705" t="str">
        <f t="shared" si="5"/>
        <v/>
      </c>
      <c r="AB21" s="1167" t="str">
        <f t="shared" si="6"/>
        <v/>
      </c>
      <c r="AC21" s="1167" t="str">
        <f t="shared" si="7"/>
        <v/>
      </c>
      <c r="AD21" s="1167" t="str">
        <f t="shared" si="8"/>
        <v/>
      </c>
      <c r="AE21" s="1167" t="str">
        <f t="shared" si="9"/>
        <v/>
      </c>
      <c r="AF21" s="1167" t="str">
        <f t="shared" si="10"/>
        <v/>
      </c>
      <c r="AG21" s="1167" t="str">
        <f t="shared" si="11"/>
        <v/>
      </c>
      <c r="AH21" s="1167" t="str">
        <f t="shared" si="12"/>
        <v/>
      </c>
      <c r="AI21" s="1167" t="str">
        <f t="shared" si="13"/>
        <v/>
      </c>
      <c r="AJ21" s="1167" t="str">
        <f t="shared" si="14"/>
        <v/>
      </c>
      <c r="AK21" s="1167" t="str">
        <f t="shared" si="15"/>
        <v/>
      </c>
      <c r="AL21" s="1167" t="str">
        <f t="shared" si="16"/>
        <v/>
      </c>
      <c r="AM21" s="1167" t="str">
        <f t="shared" si="17"/>
        <v/>
      </c>
      <c r="AN21" s="1167" t="str">
        <f t="shared" si="18"/>
        <v/>
      </c>
      <c r="AO21" s="1163" t="str">
        <f t="shared" si="19"/>
        <v/>
      </c>
      <c r="AR21" s="502" t="str">
        <f>IFERROR(INDEX($C$6:$C$53,_xlfn.AGGREGATE(15,6,(ROW($Q$6:$Q$53)-ROW($Q$6)+1)/(($Q$6:$Q$53&gt;0)*(MOD($S$6:$S$53,20)=10)),16)),"")</f>
        <v/>
      </c>
      <c r="AS21" s="503" t="str">
        <f>IF($AR21="","",IFERROR(INDEX($D$6:$D$53,_xlfn.AGGREGATE(15,6,(ROW($Q$6:$Q$53)-ROW($Q$6)+1)/(($Q$6:$Q$53&gt;0)*(MOD($S$6:$S$53,20)=10)),16)),""))</f>
        <v/>
      </c>
      <c r="AT21" s="504" t="str">
        <f>IF($AR21="","",IFERROR(INDEX($S$6:$S$53,_xlfn.AGGREGATE(15,6,(ROW($Q$6:$Q$53)-ROW($Q$6)+1)/(($Q$6:$Q$53&gt;0)*(MOD($S$6:$S$53,20)=10)),16)),""))</f>
        <v/>
      </c>
      <c r="AU21" s="505" t="str">
        <f t="shared" si="20"/>
        <v/>
      </c>
    </row>
    <row r="22" spans="1:47" ht="42.75" customHeight="1">
      <c r="A22" s="2257"/>
      <c r="C22" s="42">
        <f>+PP!B40</f>
        <v>17</v>
      </c>
      <c r="D22" s="166" t="str">
        <f>+PP!C40</f>
        <v>FILETE C/M C/T ENTERO BLANCO 1.0-2.0 kg/pza</v>
      </c>
      <c r="E22" s="2128"/>
      <c r="F22" s="1941"/>
      <c r="G22" s="1941"/>
      <c r="H22" s="1941"/>
      <c r="I22" s="1941"/>
      <c r="J22" s="1941"/>
      <c r="K22" s="1941"/>
      <c r="L22" s="1941"/>
      <c r="M22" s="1941"/>
      <c r="N22" s="1941"/>
      <c r="O22" s="1941"/>
      <c r="P22" s="1942"/>
      <c r="Q22" s="525">
        <f t="shared" si="0"/>
        <v>0</v>
      </c>
      <c r="R22" s="525">
        <f t="shared" si="1"/>
        <v>0</v>
      </c>
      <c r="S22" s="508">
        <f t="shared" si="2"/>
        <v>0</v>
      </c>
      <c r="T22" s="552">
        <f t="shared" si="2"/>
        <v>0</v>
      </c>
      <c r="U22" s="574"/>
      <c r="V22" s="452"/>
      <c r="W22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</f>
        <v/>
      </c>
      <c r="X22" s="1774" t="str">
        <f>IF($W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)</f>
        <v/>
      </c>
      <c r="Y22" s="1715" t="str">
        <f t="shared" si="3"/>
        <v/>
      </c>
      <c r="Z22" s="1715" t="str">
        <f t="shared" si="4"/>
        <v/>
      </c>
      <c r="AA22" s="1706" t="str">
        <f t="shared" si="5"/>
        <v/>
      </c>
      <c r="AB22" s="458" t="str">
        <f t="shared" si="6"/>
        <v/>
      </c>
      <c r="AC22" s="458" t="str">
        <f t="shared" si="7"/>
        <v/>
      </c>
      <c r="AD22" s="458" t="str">
        <f t="shared" si="8"/>
        <v/>
      </c>
      <c r="AE22" s="458" t="str">
        <f t="shared" si="9"/>
        <v/>
      </c>
      <c r="AF22" s="458" t="str">
        <f t="shared" si="10"/>
        <v/>
      </c>
      <c r="AG22" s="458" t="str">
        <f t="shared" si="11"/>
        <v/>
      </c>
      <c r="AH22" s="458" t="str">
        <f t="shared" si="12"/>
        <v/>
      </c>
      <c r="AI22" s="458" t="str">
        <f t="shared" si="13"/>
        <v/>
      </c>
      <c r="AJ22" s="458" t="str">
        <f t="shared" si="14"/>
        <v/>
      </c>
      <c r="AK22" s="458" t="str">
        <f t="shared" si="15"/>
        <v/>
      </c>
      <c r="AL22" s="458" t="str">
        <f t="shared" si="16"/>
        <v/>
      </c>
      <c r="AM22" s="458" t="str">
        <f t="shared" si="17"/>
        <v/>
      </c>
      <c r="AN22" s="458" t="str">
        <f t="shared" si="18"/>
        <v/>
      </c>
      <c r="AO22" s="501" t="str">
        <f t="shared" si="19"/>
        <v/>
      </c>
      <c r="AR22" s="502" t="str">
        <f>IFERROR(INDEX($C$6:$C$53,_xlfn.AGGREGATE(15,6,(ROW($Q$6:$Q$53)-ROW($Q$6)+1)/(($Q$6:$Q$53&gt;0)*(MOD($S$6:$S$53,20)=10)),17)),"")</f>
        <v/>
      </c>
      <c r="AS22" s="503" t="str">
        <f>IF($AR22="","",IFERROR(INDEX($D$6:$D$53,_xlfn.AGGREGATE(15,6,(ROW($Q$6:$Q$53)-ROW($Q$6)+1)/(($Q$6:$Q$53&gt;0)*(MOD($S$6:$S$53,20)=10)),17)),""))</f>
        <v/>
      </c>
      <c r="AT22" s="504" t="str">
        <f>IF($AR22="","",IFERROR(INDEX($S$6:$S$53,_xlfn.AGGREGATE(15,6,(ROW($Q$6:$Q$53)-ROW($Q$6)+1)/(($Q$6:$Q$53&gt;0)*(MOD($S$6:$S$53,20)=10)),17)),""))</f>
        <v/>
      </c>
      <c r="AU22" s="505" t="str">
        <f t="shared" si="20"/>
        <v/>
      </c>
    </row>
    <row r="23" spans="1:47" ht="41.25" customHeight="1">
      <c r="A23" s="2257"/>
      <c r="C23" s="42">
        <f>+PP!B41</f>
        <v>18</v>
      </c>
      <c r="D23" s="166" t="str">
        <f>+PP!C41</f>
        <v>FILETE C/M C/T ENTERO BLANCO 2.0-4.0 kg/pza</v>
      </c>
      <c r="E23" s="2128"/>
      <c r="F23" s="1941"/>
      <c r="G23" s="1941"/>
      <c r="H23" s="1941"/>
      <c r="I23" s="1941"/>
      <c r="J23" s="1941"/>
      <c r="K23" s="1941"/>
      <c r="L23" s="1941"/>
      <c r="M23" s="1941"/>
      <c r="N23" s="1941"/>
      <c r="O23" s="1941"/>
      <c r="P23" s="1942"/>
      <c r="Q23" s="525">
        <f t="shared" si="0"/>
        <v>0</v>
      </c>
      <c r="R23" s="525">
        <f t="shared" si="1"/>
        <v>0</v>
      </c>
      <c r="S23" s="508">
        <f t="shared" si="2"/>
        <v>0</v>
      </c>
      <c r="T23" s="552">
        <f t="shared" si="2"/>
        <v>0</v>
      </c>
      <c r="U23" s="574"/>
      <c r="V23" s="452"/>
      <c r="W23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</f>
        <v/>
      </c>
      <c r="X23" s="1774" t="str">
        <f>IF($W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)</f>
        <v/>
      </c>
      <c r="Y23" s="1715" t="str">
        <f t="shared" si="3"/>
        <v/>
      </c>
      <c r="Z23" s="1715" t="str">
        <f t="shared" si="4"/>
        <v/>
      </c>
      <c r="AA23" s="1706" t="str">
        <f t="shared" si="5"/>
        <v/>
      </c>
      <c r="AB23" s="458" t="str">
        <f t="shared" si="6"/>
        <v/>
      </c>
      <c r="AC23" s="458" t="str">
        <f t="shared" si="7"/>
        <v/>
      </c>
      <c r="AD23" s="458" t="str">
        <f t="shared" si="8"/>
        <v/>
      </c>
      <c r="AE23" s="458" t="str">
        <f t="shared" si="9"/>
        <v/>
      </c>
      <c r="AF23" s="458" t="str">
        <f t="shared" si="10"/>
        <v/>
      </c>
      <c r="AG23" s="458" t="str">
        <f t="shared" si="11"/>
        <v/>
      </c>
      <c r="AH23" s="458" t="str">
        <f t="shared" si="12"/>
        <v/>
      </c>
      <c r="AI23" s="458" t="str">
        <f t="shared" si="13"/>
        <v/>
      </c>
      <c r="AJ23" s="458" t="str">
        <f t="shared" si="14"/>
        <v/>
      </c>
      <c r="AK23" s="458" t="str">
        <f t="shared" si="15"/>
        <v/>
      </c>
      <c r="AL23" s="458" t="str">
        <f t="shared" si="16"/>
        <v/>
      </c>
      <c r="AM23" s="458" t="str">
        <f t="shared" si="17"/>
        <v/>
      </c>
      <c r="AN23" s="458" t="str">
        <f t="shared" si="18"/>
        <v/>
      </c>
      <c r="AO23" s="501" t="str">
        <f t="shared" si="19"/>
        <v/>
      </c>
      <c r="AR23" s="502" t="str">
        <f>IFERROR(INDEX($C$6:$C$53,_xlfn.AGGREGATE(15,6,(ROW($Q$6:$Q$53)-ROW($Q$6)+1)/(($Q$6:$Q$53&gt;0)*(MOD($S$6:$S$53,20)=10)),18)),"")</f>
        <v/>
      </c>
      <c r="AS23" s="503" t="str">
        <f>IF($AR23="","",IFERROR(INDEX($D$6:$D$53,_xlfn.AGGREGATE(15,6,(ROW($Q$6:$Q$53)-ROW($Q$6)+1)/(($Q$6:$Q$53&gt;0)*(MOD($S$6:$S$53,20)=10)),18)),""))</f>
        <v/>
      </c>
      <c r="AT23" s="504" t="str">
        <f>IF($AR23="","",IFERROR(INDEX($S$6:$S$53,_xlfn.AGGREGATE(15,6,(ROW($Q$6:$Q$53)-ROW($Q$6)+1)/(($Q$6:$Q$53&gt;0)*(MOD($S$6:$S$53,20)=10)),18)),""))</f>
        <v/>
      </c>
      <c r="AU23" s="505" t="str">
        <f t="shared" si="20"/>
        <v/>
      </c>
    </row>
    <row r="24" spans="1:47" ht="47.25" thickBot="1">
      <c r="A24" s="2257"/>
      <c r="C24" s="40">
        <f>+PP!B42</f>
        <v>19</v>
      </c>
      <c r="D24" s="2056" t="str">
        <f>+PP!C42</f>
        <v>FILETE LP C/M C/T ENTERO 2.0-4.0 kg/pza</v>
      </c>
      <c r="E24" s="388"/>
      <c r="F24" s="1950"/>
      <c r="G24" s="1950"/>
      <c r="H24" s="1950"/>
      <c r="I24" s="1950"/>
      <c r="J24" s="1950"/>
      <c r="K24" s="1950"/>
      <c r="L24" s="1950"/>
      <c r="M24" s="1950"/>
      <c r="N24" s="1950"/>
      <c r="O24" s="1950"/>
      <c r="P24" s="1951"/>
      <c r="Q24" s="1032">
        <f t="shared" si="0"/>
        <v>0</v>
      </c>
      <c r="R24" s="511">
        <f t="shared" si="1"/>
        <v>0</v>
      </c>
      <c r="S24" s="524">
        <f t="shared" si="2"/>
        <v>0</v>
      </c>
      <c r="T24" s="556">
        <f t="shared" si="2"/>
        <v>0</v>
      </c>
      <c r="U24" s="574"/>
      <c r="V24" s="452"/>
      <c r="W24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</f>
        <v/>
      </c>
      <c r="X24" s="1774" t="str">
        <f>IF($W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)</f>
        <v/>
      </c>
      <c r="Y24" s="1715" t="str">
        <f t="shared" si="3"/>
        <v/>
      </c>
      <c r="Z24" s="1715" t="str">
        <f t="shared" si="4"/>
        <v/>
      </c>
      <c r="AA24" s="1706" t="str">
        <f t="shared" si="5"/>
        <v/>
      </c>
      <c r="AB24" s="458" t="str">
        <f t="shared" si="6"/>
        <v/>
      </c>
      <c r="AC24" s="458" t="str">
        <f t="shared" si="7"/>
        <v/>
      </c>
      <c r="AD24" s="458" t="str">
        <f t="shared" si="8"/>
        <v/>
      </c>
      <c r="AE24" s="458" t="str">
        <f t="shared" si="9"/>
        <v/>
      </c>
      <c r="AF24" s="458" t="str">
        <f t="shared" si="10"/>
        <v/>
      </c>
      <c r="AG24" s="458" t="str">
        <f t="shared" si="11"/>
        <v/>
      </c>
      <c r="AH24" s="458" t="str">
        <f t="shared" si="12"/>
        <v/>
      </c>
      <c r="AI24" s="458" t="str">
        <f t="shared" si="13"/>
        <v/>
      </c>
      <c r="AJ24" s="458" t="str">
        <f t="shared" si="14"/>
        <v/>
      </c>
      <c r="AK24" s="458" t="str">
        <f t="shared" si="15"/>
        <v/>
      </c>
      <c r="AL24" s="458" t="str">
        <f t="shared" si="16"/>
        <v/>
      </c>
      <c r="AM24" s="458" t="str">
        <f t="shared" si="17"/>
        <v/>
      </c>
      <c r="AN24" s="458" t="str">
        <f t="shared" si="18"/>
        <v/>
      </c>
      <c r="AO24" s="501" t="str">
        <f t="shared" si="19"/>
        <v/>
      </c>
      <c r="AR24" s="502" t="str">
        <f>IFERROR(INDEX($C$6:$C$53,_xlfn.AGGREGATE(15,6,(ROW($Q$6:$Q$53)-ROW($Q$6)+1)/(($Q$6:$Q$53&gt;0)*(MOD($S$6:$S$53,20)=10)),19)),"")</f>
        <v/>
      </c>
      <c r="AS24" s="503" t="str">
        <f>IF($AR24="","",IFERROR(INDEX($D$6:$D$53,_xlfn.AGGREGATE(15,6,(ROW($Q$6:$Q$53)-ROW($Q$6)+1)/(($Q$6:$Q$53&gt;0)*(MOD($S$6:$S$53,20)=10)),19)),""))</f>
        <v/>
      </c>
      <c r="AT24" s="504" t="str">
        <f>IF($AR24="","",IFERROR(INDEX($S$6:$S$53,_xlfn.AGGREGATE(15,6,(ROW($Q$6:$Q$53)-ROW($Q$6)+1)/(($Q$6:$Q$53&gt;0)*(MOD($S$6:$S$53,20)=10)),19)),""))</f>
        <v/>
      </c>
      <c r="AU24" s="505" t="str">
        <f t="shared" si="20"/>
        <v/>
      </c>
    </row>
    <row r="25" spans="1:47" ht="45.75">
      <c r="A25" s="2257"/>
      <c r="C25" s="41">
        <f>+PP!B43</f>
        <v>20</v>
      </c>
      <c r="D25" s="1197" t="str">
        <f>+PP!C43</f>
        <v>MANTO BLANCO C/M C/T 500-1000 g/pza</v>
      </c>
      <c r="E25" s="1934"/>
      <c r="F25" s="1007"/>
      <c r="G25" s="1007"/>
      <c r="H25" s="1007"/>
      <c r="I25" s="1007"/>
      <c r="J25" s="1007"/>
      <c r="K25" s="1007"/>
      <c r="L25" s="1007"/>
      <c r="M25" s="1007"/>
      <c r="N25" s="1007"/>
      <c r="O25" s="1007"/>
      <c r="P25" s="1497"/>
      <c r="Q25" s="510">
        <f t="shared" si="0"/>
        <v>0</v>
      </c>
      <c r="R25" s="510">
        <f t="shared" si="1"/>
        <v>0</v>
      </c>
      <c r="S25" s="514">
        <f t="shared" si="2"/>
        <v>0</v>
      </c>
      <c r="T25" s="490">
        <f t="shared" si="2"/>
        <v>0</v>
      </c>
      <c r="U25" s="574"/>
      <c r="V25" s="452"/>
      <c r="W25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</f>
        <v/>
      </c>
      <c r="X25" s="1774" t="str">
        <f>IF($W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)</f>
        <v/>
      </c>
      <c r="Y25" s="1715" t="str">
        <f t="shared" si="3"/>
        <v/>
      </c>
      <c r="Z25" s="1715" t="str">
        <f t="shared" si="4"/>
        <v/>
      </c>
      <c r="AA25" s="1706" t="str">
        <f t="shared" si="5"/>
        <v/>
      </c>
      <c r="AB25" s="458" t="str">
        <f t="shared" si="6"/>
        <v/>
      </c>
      <c r="AC25" s="458" t="str">
        <f t="shared" si="7"/>
        <v/>
      </c>
      <c r="AD25" s="458" t="str">
        <f t="shared" si="8"/>
        <v/>
      </c>
      <c r="AE25" s="458" t="str">
        <f t="shared" si="9"/>
        <v/>
      </c>
      <c r="AF25" s="458" t="str">
        <f t="shared" si="10"/>
        <v/>
      </c>
      <c r="AG25" s="458" t="str">
        <f t="shared" si="11"/>
        <v/>
      </c>
      <c r="AH25" s="458" t="str">
        <f t="shared" si="12"/>
        <v/>
      </c>
      <c r="AI25" s="458" t="str">
        <f t="shared" si="13"/>
        <v/>
      </c>
      <c r="AJ25" s="458" t="str">
        <f t="shared" si="14"/>
        <v/>
      </c>
      <c r="AK25" s="458" t="str">
        <f t="shared" si="15"/>
        <v/>
      </c>
      <c r="AL25" s="458" t="str">
        <f t="shared" si="16"/>
        <v/>
      </c>
      <c r="AM25" s="458" t="str">
        <f t="shared" si="17"/>
        <v/>
      </c>
      <c r="AN25" s="458" t="str">
        <f t="shared" si="18"/>
        <v/>
      </c>
      <c r="AO25" s="501" t="str">
        <f t="shared" si="19"/>
        <v/>
      </c>
      <c r="AR25" s="502" t="str">
        <f>IFERROR(INDEX($C$6:$C$53,_xlfn.AGGREGATE(15,6,(ROW($Q$6:$Q$53)-ROW($Q$6)+1)/(($Q$6:$Q$53&gt;0)*(MOD($S$6:$S$53,20)=10)),20)),"")</f>
        <v/>
      </c>
      <c r="AS25" s="503" t="str">
        <f>IF($AR25="","",IFERROR(INDEX($D$6:$D$53,_xlfn.AGGREGATE(15,6,(ROW($Q$6:$Q$53)-ROW($Q$6)+1)/(($Q$6:$Q$53&gt;0)*(MOD($S$6:$S$53,20)=10)),20)),""))</f>
        <v/>
      </c>
      <c r="AT25" s="504" t="str">
        <f>IF($AR25="","",IFERROR(INDEX($S$6:$S$53,_xlfn.AGGREGATE(15,6,(ROW($Q$6:$Q$53)-ROW($Q$6)+1)/(($Q$6:$Q$53&gt;0)*(MOD($S$6:$S$53,20)=10)),20)),""))</f>
        <v/>
      </c>
      <c r="AU25" s="505" t="str">
        <f t="shared" si="20"/>
        <v/>
      </c>
    </row>
    <row r="26" spans="1:47" ht="45.75">
      <c r="A26" s="2257"/>
      <c r="C26" s="42">
        <f>+PP!B44</f>
        <v>21</v>
      </c>
      <c r="D26" s="1267" t="str">
        <f>+PP!C44</f>
        <v>MANTO BLANCO C/M C/T 1.0-2.0 kg/pza</v>
      </c>
      <c r="E26" s="1935"/>
      <c r="F26" s="388"/>
      <c r="G26" s="388"/>
      <c r="H26" s="388"/>
      <c r="I26" s="388"/>
      <c r="J26" s="388"/>
      <c r="K26" s="388"/>
      <c r="L26" s="388"/>
      <c r="M26" s="388"/>
      <c r="N26" s="388"/>
      <c r="O26" s="388"/>
      <c r="P26" s="1502"/>
      <c r="Q26" s="525">
        <f t="shared" si="0"/>
        <v>0</v>
      </c>
      <c r="R26" s="525">
        <f t="shared" si="1"/>
        <v>0</v>
      </c>
      <c r="S26" s="508">
        <f t="shared" si="2"/>
        <v>0</v>
      </c>
      <c r="T26" s="552">
        <f t="shared" si="2"/>
        <v>0</v>
      </c>
      <c r="U26" s="574"/>
      <c r="V26" s="452"/>
      <c r="W26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</f>
        <v/>
      </c>
      <c r="X26" s="1774" t="str">
        <f>IF($W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)</f>
        <v/>
      </c>
      <c r="Y26" s="1715" t="str">
        <f t="shared" si="3"/>
        <v/>
      </c>
      <c r="Z26" s="1715" t="str">
        <f t="shared" si="4"/>
        <v/>
      </c>
      <c r="AA26" s="1706" t="str">
        <f t="shared" si="5"/>
        <v/>
      </c>
      <c r="AB26" s="458" t="str">
        <f t="shared" si="6"/>
        <v/>
      </c>
      <c r="AC26" s="458" t="str">
        <f t="shared" si="7"/>
        <v/>
      </c>
      <c r="AD26" s="458" t="str">
        <f t="shared" si="8"/>
        <v/>
      </c>
      <c r="AE26" s="458" t="str">
        <f t="shared" si="9"/>
        <v/>
      </c>
      <c r="AF26" s="458" t="str">
        <f t="shared" si="10"/>
        <v/>
      </c>
      <c r="AG26" s="458" t="str">
        <f t="shared" si="11"/>
        <v/>
      </c>
      <c r="AH26" s="458" t="str">
        <f t="shared" si="12"/>
        <v/>
      </c>
      <c r="AI26" s="458" t="str">
        <f t="shared" si="13"/>
        <v/>
      </c>
      <c r="AJ26" s="458" t="str">
        <f t="shared" si="14"/>
        <v/>
      </c>
      <c r="AK26" s="458" t="str">
        <f t="shared" si="15"/>
        <v/>
      </c>
      <c r="AL26" s="458" t="str">
        <f t="shared" si="16"/>
        <v/>
      </c>
      <c r="AM26" s="458" t="str">
        <f t="shared" si="17"/>
        <v/>
      </c>
      <c r="AN26" s="458" t="str">
        <f t="shared" si="18"/>
        <v/>
      </c>
      <c r="AO26" s="501" t="str">
        <f t="shared" si="19"/>
        <v/>
      </c>
      <c r="AR26" s="502" t="str">
        <f>IFERROR(INDEX($C$6:$C$53,_xlfn.AGGREGATE(15,6,(ROW($Q$6:$Q$53)-ROW($Q$6)+1)/(($Q$6:$Q$53&gt;0)*(MOD($S$6:$S$53,20)=10)),21)),"")</f>
        <v/>
      </c>
      <c r="AS26" s="503" t="str">
        <f>IF($AR26="","",IFERROR(INDEX($D$6:$D$53,_xlfn.AGGREGATE(15,6,(ROW($Q$6:$Q$53)-ROW($Q$6)+1)/(($Q$6:$Q$53&gt;0)*(MOD($S$6:$S$53,20)=10)),21)),""))</f>
        <v/>
      </c>
      <c r="AT26" s="504" t="str">
        <f>IF($AR26="","",IFERROR(INDEX($S$6:$S$53,_xlfn.AGGREGATE(15,6,(ROW($Q$6:$Q$53)-ROW($Q$6)+1)/(($Q$6:$Q$53&gt;0)*(MOD($S$6:$S$53,20)=10)),21)),""))</f>
        <v/>
      </c>
      <c r="AU26" s="505" t="str">
        <f t="shared" si="20"/>
        <v/>
      </c>
    </row>
    <row r="27" spans="1:47" ht="46.5" thickBot="1">
      <c r="A27" s="2257"/>
      <c r="C27" s="42">
        <f>+PP!B45</f>
        <v>22</v>
      </c>
      <c r="D27" s="1267" t="str">
        <f>+PP!C45</f>
        <v>MANTO BLANCO C/M C/T 2.0-4.0 kg/pza</v>
      </c>
      <c r="E27" s="1935"/>
      <c r="F27" s="388"/>
      <c r="G27" s="388"/>
      <c r="H27" s="388"/>
      <c r="I27" s="388"/>
      <c r="J27" s="388"/>
      <c r="K27" s="388"/>
      <c r="L27" s="388"/>
      <c r="M27" s="388"/>
      <c r="N27" s="388"/>
      <c r="O27" s="388"/>
      <c r="P27" s="1502"/>
      <c r="Q27" s="525">
        <f t="shared" si="0"/>
        <v>0</v>
      </c>
      <c r="R27" s="525">
        <f t="shared" si="1"/>
        <v>0</v>
      </c>
      <c r="S27" s="508">
        <f t="shared" si="2"/>
        <v>0</v>
      </c>
      <c r="T27" s="552">
        <f t="shared" si="2"/>
        <v>0</v>
      </c>
      <c r="U27" s="574"/>
      <c r="V27" s="452"/>
      <c r="W27" s="177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</f>
        <v/>
      </c>
      <c r="X27" s="1776" t="str">
        <f>IF($W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)</f>
        <v/>
      </c>
      <c r="Y27" s="1715" t="str">
        <f t="shared" si="3"/>
        <v/>
      </c>
      <c r="Z27" s="1715" t="str">
        <f t="shared" si="4"/>
        <v/>
      </c>
      <c r="AA27" s="1707" t="str">
        <f t="shared" si="5"/>
        <v/>
      </c>
      <c r="AB27" s="517" t="str">
        <f t="shared" si="6"/>
        <v/>
      </c>
      <c r="AC27" s="517" t="str">
        <f t="shared" si="7"/>
        <v/>
      </c>
      <c r="AD27" s="517" t="str">
        <f t="shared" si="8"/>
        <v/>
      </c>
      <c r="AE27" s="517" t="str">
        <f t="shared" si="9"/>
        <v/>
      </c>
      <c r="AF27" s="517" t="str">
        <f t="shared" si="10"/>
        <v/>
      </c>
      <c r="AG27" s="517" t="str">
        <f t="shared" si="11"/>
        <v/>
      </c>
      <c r="AH27" s="517" t="str">
        <f t="shared" si="12"/>
        <v/>
      </c>
      <c r="AI27" s="517" t="str">
        <f t="shared" si="13"/>
        <v/>
      </c>
      <c r="AJ27" s="517" t="str">
        <f t="shared" si="14"/>
        <v/>
      </c>
      <c r="AK27" s="517" t="str">
        <f t="shared" si="15"/>
        <v/>
      </c>
      <c r="AL27" s="517" t="str">
        <f t="shared" si="16"/>
        <v/>
      </c>
      <c r="AM27" s="517" t="str">
        <f t="shared" si="17"/>
        <v/>
      </c>
      <c r="AN27" s="517" t="str">
        <f t="shared" si="18"/>
        <v/>
      </c>
      <c r="AO27" s="518" t="str">
        <f t="shared" si="19"/>
        <v/>
      </c>
      <c r="AR27" s="519" t="str">
        <f>IFERROR(INDEX($C$6:$C$53,_xlfn.AGGREGATE(15,6,(ROW($Q$6:$Q$53)-ROW($Q$6)+1)/(($Q$6:$Q$53&gt;0)*(MOD($S$6:$S$53,20)=10)),22)),"")</f>
        <v/>
      </c>
      <c r="AS27" s="520" t="str">
        <f>IF($AR27="","",IFERROR(INDEX($D$6:$D$53,_xlfn.AGGREGATE(15,6,(ROW($Q$6:$Q$53)-ROW($Q$6)+1)/(($Q$6:$Q$53&gt;0)*(MOD($S$6:$S$53,20)=10)),22)),""))</f>
        <v/>
      </c>
      <c r="AT27" s="521" t="str">
        <f>IF($AR27="","",IFERROR(INDEX($S$6:$S$53,_xlfn.AGGREGATE(15,6,(ROW($Q$6:$Q$53)-ROW($Q$6)+1)/(($Q$6:$Q$53&gt;0)*(MOD($S$6:$S$53,20)=10)),22)),""))</f>
        <v/>
      </c>
      <c r="AU27" s="522" t="str">
        <f t="shared" si="20"/>
        <v/>
      </c>
    </row>
    <row r="28" spans="1:47" ht="46.5" thickBot="1">
      <c r="A28" s="2257"/>
      <c r="C28" s="42">
        <f>+PP!B46</f>
        <v>23</v>
      </c>
      <c r="D28" s="1267" t="str">
        <f>+PP!C46</f>
        <v>MANTO LP C/M C/T 500-1000 g/pza</v>
      </c>
      <c r="E28" s="1935"/>
      <c r="F28" s="388"/>
      <c r="G28" s="388"/>
      <c r="H28" s="388"/>
      <c r="I28" s="388"/>
      <c r="J28" s="388"/>
      <c r="K28" s="388"/>
      <c r="L28" s="388"/>
      <c r="M28" s="388"/>
      <c r="N28" s="388"/>
      <c r="O28" s="388"/>
      <c r="P28" s="1502"/>
      <c r="Q28" s="525">
        <f t="shared" si="0"/>
        <v>0</v>
      </c>
      <c r="R28" s="525">
        <f t="shared" si="1"/>
        <v>0</v>
      </c>
      <c r="S28" s="508">
        <f t="shared" si="2"/>
        <v>0</v>
      </c>
      <c r="T28" s="552">
        <f t="shared" si="2"/>
        <v>0</v>
      </c>
      <c r="U28" s="574"/>
      <c r="V28" s="452"/>
      <c r="W28" s="2516" t="s">
        <v>3</v>
      </c>
      <c r="X28" s="2516"/>
      <c r="Y28" s="1780" t="str">
        <f t="shared" si="3"/>
        <v/>
      </c>
      <c r="Z28" s="1780" t="str">
        <f t="shared" si="4"/>
        <v/>
      </c>
      <c r="AA28" s="1780" t="str">
        <f t="shared" si="5"/>
        <v/>
      </c>
      <c r="AB28" s="1780" t="str">
        <f t="shared" si="6"/>
        <v/>
      </c>
      <c r="AC28" s="1780" t="str">
        <f t="shared" si="7"/>
        <v/>
      </c>
      <c r="AD28" s="1780" t="str">
        <f t="shared" si="8"/>
        <v/>
      </c>
      <c r="AE28" s="1780" t="str">
        <f t="shared" si="9"/>
        <v/>
      </c>
      <c r="AF28" s="1780" t="str">
        <f t="shared" si="10"/>
        <v/>
      </c>
      <c r="AG28" s="1780" t="str">
        <f t="shared" si="11"/>
        <v/>
      </c>
      <c r="AH28" s="1780" t="str">
        <f t="shared" si="12"/>
        <v/>
      </c>
      <c r="AI28" s="1780" t="str">
        <f t="shared" si="13"/>
        <v/>
      </c>
      <c r="AJ28" s="1780" t="str">
        <f t="shared" si="14"/>
        <v/>
      </c>
      <c r="AK28" s="1780">
        <f t="shared" ref="AK28:AM28" si="21">SUM(AK6:AK27)</f>
        <v>0</v>
      </c>
      <c r="AL28" s="1780">
        <f t="shared" si="21"/>
        <v>0</v>
      </c>
      <c r="AM28" s="1780">
        <f t="shared" si="21"/>
        <v>0</v>
      </c>
      <c r="AN28" s="1780" t="str">
        <f>IF(COUNTIF(AN6:AN27,"REVISIÓN*")&gt;0,"REVISAR","OK")</f>
        <v>OK</v>
      </c>
      <c r="AO28" s="1780" t="str">
        <f>IF(COUNTIF(AO6:AO27,"SÍ")&gt;0,"HAY","NO")</f>
        <v>NO</v>
      </c>
      <c r="AR28" s="2517" t="s">
        <v>514</v>
      </c>
      <c r="AS28" s="2518"/>
      <c r="AT28" s="2519">
        <f>COUNT($AR$6:$AR$27)</f>
        <v>0</v>
      </c>
      <c r="AU28" s="2520"/>
    </row>
    <row r="29" spans="1:47" ht="45.75">
      <c r="A29" s="2257"/>
      <c r="C29" s="42">
        <f>+PP!B47</f>
        <v>24</v>
      </c>
      <c r="D29" s="1267" t="str">
        <f>+PP!C47</f>
        <v>MANTO LP C/M C/T 1.0-2.0 Kg/pza</v>
      </c>
      <c r="E29" s="1935"/>
      <c r="F29" s="388"/>
      <c r="G29" s="388"/>
      <c r="H29" s="388"/>
      <c r="I29" s="388"/>
      <c r="J29" s="388"/>
      <c r="K29" s="388"/>
      <c r="L29" s="388"/>
      <c r="M29" s="388"/>
      <c r="N29" s="388"/>
      <c r="O29" s="388"/>
      <c r="P29" s="1502"/>
      <c r="Q29" s="525">
        <f t="shared" si="0"/>
        <v>0</v>
      </c>
      <c r="R29" s="525">
        <f t="shared" si="1"/>
        <v>0</v>
      </c>
      <c r="S29" s="508">
        <f t="shared" si="2"/>
        <v>0</v>
      </c>
      <c r="T29" s="552">
        <f t="shared" si="2"/>
        <v>0</v>
      </c>
      <c r="U29" s="574"/>
      <c r="V29" s="452"/>
      <c r="W29" s="1724"/>
      <c r="X29" s="1724"/>
      <c r="Y29" s="1724" t="str">
        <f t="shared" si="3"/>
        <v/>
      </c>
      <c r="Z29" s="1724" t="str">
        <f t="shared" si="4"/>
        <v/>
      </c>
      <c r="AA29" t="str">
        <f t="shared" si="5"/>
        <v/>
      </c>
      <c r="AB29" t="str">
        <f t="shared" si="6"/>
        <v/>
      </c>
      <c r="AC29" t="str">
        <f t="shared" si="7"/>
        <v/>
      </c>
      <c r="AD29" t="str">
        <f t="shared" si="8"/>
        <v/>
      </c>
      <c r="AE29" t="str">
        <f t="shared" si="9"/>
        <v/>
      </c>
      <c r="AF29" t="str">
        <f t="shared" si="10"/>
        <v/>
      </c>
      <c r="AG29" t="str">
        <f t="shared" si="11"/>
        <v/>
      </c>
      <c r="AH29" t="str">
        <f t="shared" si="12"/>
        <v/>
      </c>
      <c r="AI29" t="str">
        <f t="shared" si="13"/>
        <v/>
      </c>
      <c r="AJ29" t="str">
        <f t="shared" si="14"/>
        <v/>
      </c>
      <c r="AK29"/>
      <c r="AL29"/>
      <c r="AM29"/>
      <c r="AN29"/>
      <c r="AO29"/>
    </row>
    <row r="30" spans="1:47" ht="47.25" thickBot="1">
      <c r="A30" s="2257"/>
      <c r="C30" s="537">
        <f>+PP!B48</f>
        <v>25</v>
      </c>
      <c r="D30" s="2919" t="str">
        <f>+PP!C48</f>
        <v>MANTO LP C/M C/T 2.0-4.0 Kg/pza</v>
      </c>
      <c r="E30" s="1956"/>
      <c r="F30" s="1154"/>
      <c r="G30" s="1154"/>
      <c r="H30" s="1154"/>
      <c r="I30" s="1154"/>
      <c r="J30" s="1154"/>
      <c r="K30" s="1154"/>
      <c r="L30" s="1154"/>
      <c r="M30" s="1154"/>
      <c r="N30" s="1944"/>
      <c r="O30" s="1154"/>
      <c r="P30" s="1957"/>
      <c r="Q30" s="1032">
        <f t="shared" si="0"/>
        <v>0</v>
      </c>
      <c r="R30" s="1032">
        <f t="shared" si="1"/>
        <v>0</v>
      </c>
      <c r="S30" s="509">
        <f t="shared" si="2"/>
        <v>0</v>
      </c>
      <c r="T30" s="556">
        <f t="shared" si="2"/>
        <v>0</v>
      </c>
      <c r="U30" s="574"/>
      <c r="V30" s="452"/>
      <c r="W30" s="1724"/>
      <c r="X30" s="1724"/>
      <c r="Y30" s="1724" t="str">
        <f t="shared" si="3"/>
        <v/>
      </c>
      <c r="Z30" s="1724" t="str">
        <f t="shared" si="4"/>
        <v/>
      </c>
      <c r="AA30" t="str">
        <f t="shared" si="5"/>
        <v/>
      </c>
      <c r="AB30" t="str">
        <f t="shared" si="6"/>
        <v/>
      </c>
      <c r="AC30" t="str">
        <f t="shared" si="7"/>
        <v/>
      </c>
      <c r="AD30" t="str">
        <f t="shared" si="8"/>
        <v/>
      </c>
      <c r="AE30" t="str">
        <f t="shared" si="9"/>
        <v/>
      </c>
      <c r="AF30" t="str">
        <f t="shared" si="10"/>
        <v/>
      </c>
      <c r="AG30" t="str">
        <f t="shared" si="11"/>
        <v/>
      </c>
      <c r="AH30" t="str">
        <f t="shared" si="12"/>
        <v/>
      </c>
      <c r="AI30" t="str">
        <f t="shared" si="13"/>
        <v/>
      </c>
      <c r="AJ30" t="str">
        <f t="shared" si="14"/>
        <v/>
      </c>
      <c r="AK30"/>
      <c r="AL30"/>
      <c r="AM30"/>
      <c r="AN30"/>
      <c r="AO30"/>
    </row>
    <row r="31" spans="1:47" ht="46.5">
      <c r="A31" s="2257"/>
      <c r="C31" s="2921">
        <f>+PP!B49</f>
        <v>26</v>
      </c>
      <c r="D31" s="2924" t="str">
        <f>+PP!C49</f>
        <v>NUCA C/C CERRADO 0-100 g/pza</v>
      </c>
      <c r="E31" s="1934"/>
      <c r="F31" s="1007"/>
      <c r="G31" s="1007"/>
      <c r="H31" s="1007"/>
      <c r="I31" s="1007"/>
      <c r="J31" s="1007"/>
      <c r="K31" s="1007"/>
      <c r="L31" s="1007"/>
      <c r="M31" s="1007"/>
      <c r="N31" s="1947"/>
      <c r="O31" s="1947"/>
      <c r="P31" s="1948"/>
      <c r="Q31" s="510">
        <f t="shared" si="0"/>
        <v>0</v>
      </c>
      <c r="R31" s="2927">
        <f t="shared" si="1"/>
        <v>0</v>
      </c>
      <c r="S31" s="2904">
        <f t="shared" si="2"/>
        <v>0</v>
      </c>
      <c r="T31" s="51">
        <f t="shared" si="2"/>
        <v>0</v>
      </c>
      <c r="U31" s="574"/>
      <c r="V31" s="452"/>
      <c r="W31" s="1724"/>
      <c r="X31" s="1724"/>
      <c r="Y31" s="1724" t="str">
        <f t="shared" si="3"/>
        <v/>
      </c>
      <c r="Z31" s="1724" t="str">
        <f t="shared" si="4"/>
        <v/>
      </c>
      <c r="AA31" t="str">
        <f t="shared" si="5"/>
        <v/>
      </c>
      <c r="AB31" t="str">
        <f t="shared" si="6"/>
        <v/>
      </c>
      <c r="AC31" t="str">
        <f t="shared" si="7"/>
        <v/>
      </c>
      <c r="AD31" t="str">
        <f t="shared" si="8"/>
        <v/>
      </c>
      <c r="AE31" t="str">
        <f t="shared" si="9"/>
        <v/>
      </c>
      <c r="AF31" t="str">
        <f t="shared" si="10"/>
        <v/>
      </c>
      <c r="AG31" t="str">
        <f t="shared" si="11"/>
        <v/>
      </c>
      <c r="AH31" t="str">
        <f t="shared" si="12"/>
        <v/>
      </c>
      <c r="AI31" t="str">
        <f t="shared" si="13"/>
        <v/>
      </c>
      <c r="AJ31" t="str">
        <f t="shared" si="14"/>
        <v/>
      </c>
      <c r="AK31"/>
      <c r="AL31"/>
      <c r="AM31"/>
      <c r="AN31"/>
      <c r="AO31"/>
    </row>
    <row r="32" spans="1:47" ht="46.5">
      <c r="A32" s="2257"/>
      <c r="C32" s="2923">
        <f>+PP!B50</f>
        <v>27</v>
      </c>
      <c r="D32" s="2925" t="str">
        <f>+PP!C50</f>
        <v>NUCA C/C ABIERTO 100-300 g/pza</v>
      </c>
      <c r="E32" s="1935"/>
      <c r="F32" s="388"/>
      <c r="G32" s="388"/>
      <c r="H32" s="388"/>
      <c r="I32" s="388"/>
      <c r="J32" s="388"/>
      <c r="K32" s="388"/>
      <c r="L32" s="388"/>
      <c r="M32" s="388"/>
      <c r="N32" s="388"/>
      <c r="O32" s="388"/>
      <c r="P32" s="1942"/>
      <c r="Q32" s="525">
        <f t="shared" si="0"/>
        <v>0</v>
      </c>
      <c r="R32" s="2928">
        <f t="shared" si="1"/>
        <v>0</v>
      </c>
      <c r="S32" s="2903">
        <f t="shared" si="2"/>
        <v>0</v>
      </c>
      <c r="T32" s="54">
        <f t="shared" si="2"/>
        <v>0</v>
      </c>
      <c r="U32" s="574"/>
      <c r="V32" s="452"/>
      <c r="W32" s="1724"/>
      <c r="X32" s="1724"/>
      <c r="Y32" s="1724" t="str">
        <f t="shared" si="3"/>
        <v/>
      </c>
      <c r="Z32" s="1724" t="str">
        <f t="shared" si="4"/>
        <v/>
      </c>
      <c r="AA32" s="1724" t="str">
        <f t="shared" si="5"/>
        <v/>
      </c>
      <c r="AB32" s="1724" t="str">
        <f t="shared" si="6"/>
        <v/>
      </c>
      <c r="AC32" s="1724" t="str">
        <f t="shared" si="7"/>
        <v/>
      </c>
      <c r="AD32" s="1724" t="str">
        <f t="shared" si="8"/>
        <v/>
      </c>
      <c r="AE32" t="str">
        <f t="shared" si="9"/>
        <v/>
      </c>
      <c r="AF32" t="str">
        <f t="shared" si="10"/>
        <v/>
      </c>
      <c r="AG32" t="str">
        <f t="shared" si="11"/>
        <v/>
      </c>
      <c r="AH32" t="str">
        <f t="shared" si="12"/>
        <v/>
      </c>
      <c r="AI32" t="str">
        <f t="shared" si="13"/>
        <v/>
      </c>
      <c r="AJ32" t="str">
        <f t="shared" si="14"/>
        <v/>
      </c>
      <c r="AK32"/>
      <c r="AL32"/>
      <c r="AM32"/>
      <c r="AN32"/>
      <c r="AO32"/>
    </row>
    <row r="33" spans="1:41" ht="46.5">
      <c r="A33" s="2257"/>
      <c r="C33" s="2923">
        <f>+PP!B51</f>
        <v>28</v>
      </c>
      <c r="D33" s="2925" t="str">
        <f>+PP!C51</f>
        <v>NUCA C/C ABIERTO 300-500 g/pza</v>
      </c>
      <c r="E33" s="1935"/>
      <c r="F33" s="388"/>
      <c r="G33" s="388"/>
      <c r="H33" s="388"/>
      <c r="I33" s="388"/>
      <c r="J33" s="388"/>
      <c r="K33" s="388"/>
      <c r="L33" s="388"/>
      <c r="M33" s="388"/>
      <c r="N33" s="388"/>
      <c r="O33" s="388"/>
      <c r="P33" s="1942"/>
      <c r="Q33" s="525">
        <f t="shared" si="0"/>
        <v>0</v>
      </c>
      <c r="R33" s="2928">
        <f t="shared" si="1"/>
        <v>0</v>
      </c>
      <c r="S33" s="2903">
        <f t="shared" si="2"/>
        <v>0</v>
      </c>
      <c r="T33" s="54">
        <f t="shared" si="2"/>
        <v>0</v>
      </c>
      <c r="U33" s="574"/>
      <c r="V33" s="452"/>
      <c r="W33" s="1724"/>
      <c r="X33" s="1724"/>
      <c r="Y33" s="1724" t="str">
        <f t="shared" si="3"/>
        <v/>
      </c>
      <c r="Z33" s="1724" t="str">
        <f t="shared" si="4"/>
        <v/>
      </c>
      <c r="AA33" s="1724" t="str">
        <f t="shared" si="5"/>
        <v/>
      </c>
      <c r="AB33" s="1724" t="str">
        <f t="shared" si="6"/>
        <v/>
      </c>
      <c r="AC33" s="1724" t="str">
        <f t="shared" si="7"/>
        <v/>
      </c>
      <c r="AD33" s="1724" t="str">
        <f t="shared" si="8"/>
        <v/>
      </c>
      <c r="AE33" t="str">
        <f t="shared" si="9"/>
        <v/>
      </c>
      <c r="AF33" t="str">
        <f t="shared" si="10"/>
        <v/>
      </c>
      <c r="AG33" t="str">
        <f t="shared" si="11"/>
        <v/>
      </c>
      <c r="AH33" t="str">
        <f t="shared" si="12"/>
        <v/>
      </c>
      <c r="AI33" t="str">
        <f t="shared" si="13"/>
        <v/>
      </c>
      <c r="AJ33" t="str">
        <f t="shared" si="14"/>
        <v/>
      </c>
      <c r="AK33"/>
      <c r="AL33"/>
      <c r="AM33"/>
      <c r="AN33"/>
      <c r="AO33"/>
    </row>
    <row r="34" spans="1:41" ht="46.5">
      <c r="A34" s="2257"/>
      <c r="C34" s="2923">
        <f>+PP!B52</f>
        <v>29</v>
      </c>
      <c r="D34" s="2925" t="str">
        <f>+PP!C52</f>
        <v>NUCA C/C ABIERTO 500-1000 g/pza</v>
      </c>
      <c r="E34" s="1935"/>
      <c r="F34" s="388"/>
      <c r="G34" s="388"/>
      <c r="H34" s="388"/>
      <c r="I34" s="388"/>
      <c r="J34" s="388"/>
      <c r="K34" s="388"/>
      <c r="L34" s="388"/>
      <c r="M34" s="388"/>
      <c r="N34" s="1941"/>
      <c r="O34" s="1941"/>
      <c r="P34" s="1942"/>
      <c r="Q34" s="525">
        <f t="shared" si="0"/>
        <v>0</v>
      </c>
      <c r="R34" s="2928">
        <f t="shared" si="1"/>
        <v>0</v>
      </c>
      <c r="S34" s="2903">
        <f t="shared" si="2"/>
        <v>0</v>
      </c>
      <c r="T34" s="54">
        <f t="shared" si="2"/>
        <v>0</v>
      </c>
      <c r="U34" s="574"/>
      <c r="V34" s="452"/>
      <c r="W34" s="1724"/>
      <c r="X34" s="1724"/>
      <c r="Y34" s="1724" t="str">
        <f t="shared" si="3"/>
        <v/>
      </c>
      <c r="Z34" s="1724" t="str">
        <f t="shared" si="4"/>
        <v/>
      </c>
      <c r="AA34" s="1724" t="str">
        <f t="shared" si="5"/>
        <v/>
      </c>
      <c r="AB34" s="1724" t="str">
        <f t="shared" si="6"/>
        <v/>
      </c>
      <c r="AC34" s="1724" t="str">
        <f t="shared" si="7"/>
        <v/>
      </c>
      <c r="AD34" s="1724" t="str">
        <f t="shared" si="8"/>
        <v/>
      </c>
      <c r="AE34" t="str">
        <f t="shared" si="9"/>
        <v/>
      </c>
      <c r="AF34" t="str">
        <f t="shared" si="10"/>
        <v/>
      </c>
      <c r="AG34" t="str">
        <f t="shared" si="11"/>
        <v/>
      </c>
      <c r="AH34" t="str">
        <f t="shared" si="12"/>
        <v/>
      </c>
      <c r="AI34" t="str">
        <f t="shared" si="13"/>
        <v/>
      </c>
      <c r="AJ34" t="str">
        <f t="shared" si="14"/>
        <v/>
      </c>
      <c r="AK34"/>
      <c r="AL34"/>
      <c r="AM34"/>
      <c r="AN34"/>
      <c r="AO34"/>
    </row>
    <row r="35" spans="1:41" ht="47.25" thickBot="1">
      <c r="A35" s="2257"/>
      <c r="C35" s="2922">
        <f>+PP!B53</f>
        <v>30</v>
      </c>
      <c r="D35" s="2926" t="str">
        <f>+PP!C53</f>
        <v>NUCA C/C ABIERTO 1.0 - UP kg/pza</v>
      </c>
      <c r="E35" s="1936"/>
      <c r="F35" s="1008"/>
      <c r="G35" s="1008"/>
      <c r="H35" s="1008"/>
      <c r="I35" s="1008"/>
      <c r="J35" s="1008"/>
      <c r="K35" s="1008"/>
      <c r="L35" s="1008"/>
      <c r="M35" s="1008"/>
      <c r="N35" s="1008"/>
      <c r="O35" s="1008"/>
      <c r="P35" s="1951"/>
      <c r="Q35" s="511">
        <f t="shared" si="0"/>
        <v>0</v>
      </c>
      <c r="R35" s="2929">
        <f t="shared" si="1"/>
        <v>0</v>
      </c>
      <c r="S35" s="2905">
        <f t="shared" si="2"/>
        <v>0</v>
      </c>
      <c r="T35" s="53">
        <f t="shared" si="2"/>
        <v>0</v>
      </c>
      <c r="U35" s="574"/>
      <c r="V35" s="452"/>
      <c r="W35" s="1724"/>
      <c r="X35" s="1724"/>
      <c r="Y35" s="1724" t="str">
        <f t="shared" si="3"/>
        <v/>
      </c>
      <c r="Z35" s="1724" t="str">
        <f t="shared" si="4"/>
        <v/>
      </c>
      <c r="AA35" s="1724" t="str">
        <f t="shared" si="5"/>
        <v/>
      </c>
      <c r="AB35" s="1724" t="str">
        <f t="shared" si="6"/>
        <v/>
      </c>
      <c r="AC35" s="1724" t="str">
        <f t="shared" si="7"/>
        <v/>
      </c>
      <c r="AD35" s="1724" t="str">
        <f t="shared" si="8"/>
        <v/>
      </c>
      <c r="AE35" t="str">
        <f t="shared" si="9"/>
        <v/>
      </c>
      <c r="AF35" t="str">
        <f t="shared" si="10"/>
        <v/>
      </c>
      <c r="AG35" t="str">
        <f t="shared" si="11"/>
        <v/>
      </c>
      <c r="AH35" t="str">
        <f t="shared" si="12"/>
        <v/>
      </c>
      <c r="AI35" t="str">
        <f t="shared" si="13"/>
        <v/>
      </c>
      <c r="AJ35" t="str">
        <f t="shared" si="14"/>
        <v/>
      </c>
      <c r="AK35"/>
      <c r="AL35"/>
      <c r="AM35"/>
      <c r="AN35"/>
      <c r="AO35"/>
    </row>
    <row r="36" spans="1:41" ht="46.5">
      <c r="A36" s="2257"/>
      <c r="C36" s="2921">
        <f>+PP!B54</f>
        <v>31</v>
      </c>
      <c r="D36" s="2924" t="str">
        <f>+PP!C54</f>
        <v>RECORTE BLANCO SM ST</v>
      </c>
      <c r="E36" s="1946"/>
      <c r="F36" s="1947"/>
      <c r="G36" s="1007"/>
      <c r="H36" s="1007"/>
      <c r="I36" s="1007"/>
      <c r="J36" s="1007"/>
      <c r="K36" s="1007"/>
      <c r="L36" s="1007"/>
      <c r="M36" s="1007"/>
      <c r="N36" s="1007"/>
      <c r="O36" s="1007"/>
      <c r="P36" s="1948"/>
      <c r="Q36" s="510">
        <f t="shared" si="0"/>
        <v>0</v>
      </c>
      <c r="R36" s="2927">
        <f t="shared" si="1"/>
        <v>0</v>
      </c>
      <c r="S36" s="2904">
        <f t="shared" si="2"/>
        <v>0</v>
      </c>
      <c r="T36" s="51">
        <f t="shared" si="2"/>
        <v>0</v>
      </c>
      <c r="U36" s="574"/>
      <c r="V36" s="452"/>
      <c r="W36" s="1724"/>
      <c r="X36" s="1724"/>
      <c r="Y36" s="1724" t="str">
        <f t="shared" si="3"/>
        <v/>
      </c>
      <c r="Z36" s="1724" t="str">
        <f t="shared" si="4"/>
        <v/>
      </c>
      <c r="AA36" s="1724" t="str">
        <f t="shared" si="5"/>
        <v/>
      </c>
      <c r="AB36" s="1724" t="str">
        <f t="shared" si="6"/>
        <v/>
      </c>
      <c r="AC36" s="1724" t="str">
        <f t="shared" si="7"/>
        <v/>
      </c>
      <c r="AD36" s="1724" t="str">
        <f t="shared" si="8"/>
        <v/>
      </c>
      <c r="AE36" t="str">
        <f t="shared" si="9"/>
        <v/>
      </c>
      <c r="AF36" t="str">
        <f t="shared" si="10"/>
        <v/>
      </c>
      <c r="AG36" t="str">
        <f t="shared" si="11"/>
        <v/>
      </c>
      <c r="AH36" t="str">
        <f t="shared" si="12"/>
        <v/>
      </c>
      <c r="AI36" t="str">
        <f t="shared" si="13"/>
        <v/>
      </c>
      <c r="AJ36" t="str">
        <f t="shared" si="14"/>
        <v/>
      </c>
      <c r="AK36"/>
      <c r="AL36"/>
      <c r="AM36"/>
      <c r="AN36"/>
      <c r="AO36"/>
    </row>
    <row r="37" spans="1:41" ht="46.5">
      <c r="A37" s="2257"/>
      <c r="C37" s="2923">
        <f>+PP!B55</f>
        <v>32</v>
      </c>
      <c r="D37" s="2925" t="str">
        <f>+PP!C55</f>
        <v>RECORTE AMARILLO SM ST</v>
      </c>
      <c r="E37" s="1940"/>
      <c r="F37" s="1941"/>
      <c r="G37" s="1941"/>
      <c r="H37" s="1941"/>
      <c r="I37" s="1941"/>
      <c r="J37" s="1941"/>
      <c r="K37" s="1941"/>
      <c r="L37" s="1941"/>
      <c r="M37" s="1941"/>
      <c r="N37" s="1941"/>
      <c r="O37" s="1941"/>
      <c r="P37" s="1942"/>
      <c r="Q37" s="525">
        <f t="shared" si="0"/>
        <v>0</v>
      </c>
      <c r="R37" s="2928">
        <f t="shared" si="1"/>
        <v>0</v>
      </c>
      <c r="S37" s="2903">
        <f t="shared" si="2"/>
        <v>0</v>
      </c>
      <c r="T37" s="54">
        <f t="shared" si="2"/>
        <v>0</v>
      </c>
      <c r="U37" s="574"/>
      <c r="V37" s="452"/>
      <c r="W37" s="1724"/>
      <c r="X37" s="1724"/>
      <c r="Y37" s="1724" t="str">
        <f t="shared" si="3"/>
        <v/>
      </c>
      <c r="Z37" s="1724" t="str">
        <f t="shared" si="4"/>
        <v/>
      </c>
      <c r="AA37" s="1724" t="str">
        <f t="shared" si="5"/>
        <v/>
      </c>
      <c r="AB37" s="1724" t="str">
        <f t="shared" si="6"/>
        <v/>
      </c>
      <c r="AC37" s="1724" t="str">
        <f t="shared" si="7"/>
        <v/>
      </c>
      <c r="AD37" s="1724" t="str">
        <f t="shared" si="8"/>
        <v/>
      </c>
      <c r="AE37" t="str">
        <f t="shared" si="9"/>
        <v/>
      </c>
      <c r="AF37" t="str">
        <f t="shared" si="10"/>
        <v/>
      </c>
      <c r="AG37" t="str">
        <f t="shared" si="11"/>
        <v/>
      </c>
      <c r="AH37" t="str">
        <f t="shared" si="12"/>
        <v/>
      </c>
      <c r="AI37" t="str">
        <f t="shared" si="13"/>
        <v/>
      </c>
      <c r="AJ37" t="str">
        <f t="shared" si="14"/>
        <v/>
      </c>
      <c r="AK37"/>
      <c r="AL37"/>
      <c r="AM37"/>
      <c r="AN37"/>
      <c r="AO37"/>
    </row>
    <row r="38" spans="1:41" ht="47.25" thickBot="1">
      <c r="A38" s="2257"/>
      <c r="C38" s="2922">
        <f>+PP!B56</f>
        <v>33</v>
      </c>
      <c r="D38" s="2926" t="str">
        <f>+PP!C56</f>
        <v>RECORTE PRECOCIDO</v>
      </c>
      <c r="E38" s="1949"/>
      <c r="F38" s="1950"/>
      <c r="G38" s="1950"/>
      <c r="H38" s="1950"/>
      <c r="I38" s="1950"/>
      <c r="J38" s="1950"/>
      <c r="K38" s="1950"/>
      <c r="L38" s="1950"/>
      <c r="M38" s="1950"/>
      <c r="N38" s="1950"/>
      <c r="O38" s="1950"/>
      <c r="P38" s="1951"/>
      <c r="Q38" s="511">
        <f t="shared" si="0"/>
        <v>0</v>
      </c>
      <c r="R38" s="2929">
        <f t="shared" si="1"/>
        <v>0</v>
      </c>
      <c r="S38" s="2905">
        <f t="shared" si="2"/>
        <v>0</v>
      </c>
      <c r="T38" s="53">
        <f t="shared" si="2"/>
        <v>0</v>
      </c>
      <c r="U38" s="574"/>
      <c r="V38" s="452"/>
      <c r="W38" s="1724"/>
      <c r="X38" s="1724"/>
      <c r="Y38" s="1724" t="str">
        <f t="shared" si="3"/>
        <v/>
      </c>
      <c r="Z38" s="1724" t="str">
        <f t="shared" si="4"/>
        <v/>
      </c>
      <c r="AA38" s="1724" t="str">
        <f t="shared" si="5"/>
        <v/>
      </c>
      <c r="AB38" s="1724" t="str">
        <f t="shared" si="6"/>
        <v/>
      </c>
      <c r="AC38" s="1724" t="str">
        <f t="shared" si="7"/>
        <v/>
      </c>
      <c r="AD38" s="1724" t="str">
        <f t="shared" si="8"/>
        <v/>
      </c>
      <c r="AE38" t="str">
        <f t="shared" si="9"/>
        <v/>
      </c>
      <c r="AF38" t="str">
        <f t="shared" si="10"/>
        <v/>
      </c>
      <c r="AG38" t="str">
        <f t="shared" si="11"/>
        <v/>
      </c>
      <c r="AH38" t="str">
        <f t="shared" si="12"/>
        <v/>
      </c>
      <c r="AI38" t="str">
        <f t="shared" si="13"/>
        <v/>
      </c>
      <c r="AJ38" t="str">
        <f t="shared" si="14"/>
        <v/>
      </c>
      <c r="AK38"/>
      <c r="AL38"/>
      <c r="AM38"/>
      <c r="AN38"/>
      <c r="AO38"/>
    </row>
    <row r="39" spans="1:41" ht="46.5">
      <c r="A39" s="2257"/>
      <c r="C39" s="2921">
        <f>+PP!B57</f>
        <v>34</v>
      </c>
      <c r="D39" s="2924" t="str">
        <f>+PP!C57</f>
        <v>REPRODUCTORES SV, PEQUEÑO</v>
      </c>
      <c r="E39" s="1946"/>
      <c r="F39" s="1947"/>
      <c r="G39" s="1947"/>
      <c r="H39" s="1947"/>
      <c r="I39" s="1947"/>
      <c r="J39" s="1947"/>
      <c r="K39" s="1947"/>
      <c r="L39" s="1947"/>
      <c r="M39" s="1947"/>
      <c r="N39" s="1007"/>
      <c r="O39" s="1947"/>
      <c r="P39" s="1948"/>
      <c r="Q39" s="510">
        <f t="shared" si="0"/>
        <v>0</v>
      </c>
      <c r="R39" s="2927">
        <f t="shared" si="1"/>
        <v>0</v>
      </c>
      <c r="S39" s="2904">
        <f t="shared" si="2"/>
        <v>0</v>
      </c>
      <c r="T39" s="51">
        <f t="shared" si="2"/>
        <v>0</v>
      </c>
      <c r="U39" s="574"/>
      <c r="V39" s="452"/>
      <c r="W39" s="1724"/>
      <c r="X39" s="1724"/>
      <c r="Y39" s="1724" t="str">
        <f t="shared" si="3"/>
        <v/>
      </c>
      <c r="Z39" s="1724" t="str">
        <f t="shared" si="4"/>
        <v/>
      </c>
      <c r="AA39" t="str">
        <f t="shared" si="5"/>
        <v/>
      </c>
      <c r="AB39" t="str">
        <f t="shared" si="6"/>
        <v/>
      </c>
      <c r="AC39" t="str">
        <f t="shared" si="7"/>
        <v/>
      </c>
      <c r="AD39" t="str">
        <f t="shared" si="8"/>
        <v/>
      </c>
      <c r="AE39" t="str">
        <f t="shared" si="9"/>
        <v/>
      </c>
      <c r="AF39" t="str">
        <f t="shared" si="10"/>
        <v/>
      </c>
      <c r="AG39" t="str">
        <f t="shared" si="11"/>
        <v/>
      </c>
      <c r="AH39" t="str">
        <f t="shared" si="12"/>
        <v/>
      </c>
      <c r="AI39" t="str">
        <f t="shared" si="13"/>
        <v/>
      </c>
      <c r="AJ39" t="str">
        <f t="shared" si="14"/>
        <v/>
      </c>
      <c r="AK39"/>
      <c r="AL39"/>
      <c r="AM39"/>
      <c r="AN39"/>
    </row>
    <row r="40" spans="1:41" ht="46.5" thickBot="1">
      <c r="A40" s="2257"/>
      <c r="C40" s="2922">
        <f>+PP!B58</f>
        <v>35</v>
      </c>
      <c r="D40" s="2926" t="str">
        <f>+PP!C58</f>
        <v>REPRODUCTOR SV GRANDE</v>
      </c>
      <c r="E40" s="1936"/>
      <c r="F40" s="1008"/>
      <c r="G40" s="1008"/>
      <c r="H40" s="1008"/>
      <c r="I40" s="1008"/>
      <c r="J40" s="1008"/>
      <c r="K40" s="1008"/>
      <c r="L40" s="1008"/>
      <c r="M40" s="1008"/>
      <c r="N40" s="1008"/>
      <c r="O40" s="1008"/>
      <c r="P40" s="1500"/>
      <c r="Q40" s="511">
        <f t="shared" si="0"/>
        <v>0</v>
      </c>
      <c r="R40" s="2929">
        <f t="shared" si="1"/>
        <v>0</v>
      </c>
      <c r="S40" s="2905">
        <f t="shared" si="2"/>
        <v>0</v>
      </c>
      <c r="T40" s="53">
        <f>+R40*10</f>
        <v>0</v>
      </c>
      <c r="U40" s="574"/>
      <c r="V40" s="452"/>
      <c r="W40" s="1724"/>
      <c r="X40" s="1724"/>
      <c r="Y40" s="1724" t="str">
        <f t="shared" si="3"/>
        <v/>
      </c>
      <c r="Z40" s="1724" t="str">
        <f t="shared" si="4"/>
        <v/>
      </c>
      <c r="AA40" t="str">
        <f t="shared" si="5"/>
        <v/>
      </c>
      <c r="AB40" t="str">
        <f t="shared" si="6"/>
        <v/>
      </c>
      <c r="AC40" t="str">
        <f t="shared" si="7"/>
        <v/>
      </c>
      <c r="AD40" t="str">
        <f t="shared" si="8"/>
        <v/>
      </c>
      <c r="AE40" t="str">
        <f t="shared" si="9"/>
        <v/>
      </c>
      <c r="AF40" t="str">
        <f t="shared" si="10"/>
        <v/>
      </c>
      <c r="AG40" t="str">
        <f t="shared" si="11"/>
        <v/>
      </c>
      <c r="AH40" t="str">
        <f t="shared" si="12"/>
        <v/>
      </c>
      <c r="AI40" t="str">
        <f t="shared" si="13"/>
        <v/>
      </c>
      <c r="AJ40" t="str">
        <f t="shared" si="14"/>
        <v/>
      </c>
      <c r="AK40"/>
      <c r="AL40"/>
      <c r="AM40"/>
      <c r="AN40"/>
    </row>
    <row r="41" spans="1:41" ht="46.5" thickBot="1">
      <c r="A41" s="2257"/>
      <c r="C41" s="526">
        <f>+PP!B59</f>
        <v>36</v>
      </c>
      <c r="D41" s="1196" t="str">
        <f>+PP!C59</f>
        <v>TUBO ALETA 1.0-2.0 Kg/pza</v>
      </c>
      <c r="E41" s="1958"/>
      <c r="F41" s="1156"/>
      <c r="G41" s="1156"/>
      <c r="H41" s="1156"/>
      <c r="I41" s="1156"/>
      <c r="J41" s="1156"/>
      <c r="K41" s="1156"/>
      <c r="L41" s="1156"/>
      <c r="M41" s="2920"/>
      <c r="N41" s="1156"/>
      <c r="O41" s="1156"/>
      <c r="P41" s="1959"/>
      <c r="Q41" s="527">
        <f t="shared" si="0"/>
        <v>0</v>
      </c>
      <c r="R41" s="527">
        <f t="shared" si="1"/>
        <v>0</v>
      </c>
      <c r="S41" s="512">
        <f t="shared" si="2"/>
        <v>0</v>
      </c>
      <c r="T41" s="557">
        <f t="shared" si="2"/>
        <v>0</v>
      </c>
      <c r="U41" s="574"/>
      <c r="V41" s="452"/>
      <c r="W41" s="1724"/>
      <c r="X41" s="1724"/>
      <c r="Y41" s="1724" t="str">
        <f t="shared" si="3"/>
        <v/>
      </c>
      <c r="Z41" s="1724" t="str">
        <f t="shared" si="4"/>
        <v/>
      </c>
      <c r="AA41" t="str">
        <f t="shared" si="5"/>
        <v/>
      </c>
      <c r="AB41" t="str">
        <f t="shared" si="6"/>
        <v/>
      </c>
      <c r="AC41" t="str">
        <f t="shared" si="7"/>
        <v/>
      </c>
      <c r="AD41" t="str">
        <f t="shared" si="8"/>
        <v/>
      </c>
      <c r="AE41" t="str">
        <f t="shared" si="9"/>
        <v/>
      </c>
      <c r="AF41" t="str">
        <f t="shared" si="10"/>
        <v/>
      </c>
      <c r="AG41" t="str">
        <f t="shared" si="11"/>
        <v/>
      </c>
      <c r="AH41" t="str">
        <f t="shared" si="12"/>
        <v/>
      </c>
      <c r="AI41" t="str">
        <f t="shared" si="13"/>
        <v/>
      </c>
      <c r="AJ41" t="str">
        <f t="shared" si="14"/>
        <v/>
      </c>
      <c r="AK41"/>
      <c r="AL41"/>
      <c r="AM41"/>
      <c r="AN41"/>
    </row>
    <row r="42" spans="1:41" ht="44.25" customHeight="1">
      <c r="A42" s="2257"/>
      <c r="C42" s="955">
        <f>+PP!B60</f>
        <v>37</v>
      </c>
      <c r="D42" s="1022" t="str">
        <f>+PP!C60</f>
        <v>TENTACULO C/B C/V SR 100-300 g/pza (SUCIO)</v>
      </c>
      <c r="E42" s="1954"/>
      <c r="F42" s="1155"/>
      <c r="G42" s="1155"/>
      <c r="H42" s="1155"/>
      <c r="I42" s="1155"/>
      <c r="J42" s="1155"/>
      <c r="K42" s="1155"/>
      <c r="L42" s="1155"/>
      <c r="M42" s="1955"/>
      <c r="N42" s="1155"/>
      <c r="O42" s="1155"/>
      <c r="P42" s="1501"/>
      <c r="Q42" s="1770">
        <f t="shared" si="0"/>
        <v>0</v>
      </c>
      <c r="R42" s="1770">
        <f t="shared" si="1"/>
        <v>0</v>
      </c>
      <c r="S42" s="513">
        <f t="shared" si="2"/>
        <v>0</v>
      </c>
      <c r="T42" s="554">
        <f t="shared" si="2"/>
        <v>0</v>
      </c>
      <c r="U42" s="574"/>
      <c r="V42" s="452"/>
      <c r="W42" s="1724"/>
      <c r="X42" s="1724"/>
      <c r="Y42" s="1724" t="str">
        <f t="shared" si="3"/>
        <v/>
      </c>
      <c r="Z42" s="1724" t="str">
        <f t="shared" si="4"/>
        <v/>
      </c>
      <c r="AA42" t="str">
        <f t="shared" si="5"/>
        <v/>
      </c>
      <c r="AB42" t="str">
        <f t="shared" si="6"/>
        <v/>
      </c>
      <c r="AC42" t="str">
        <f t="shared" si="7"/>
        <v/>
      </c>
      <c r="AD42" t="str">
        <f t="shared" si="8"/>
        <v/>
      </c>
      <c r="AE42" t="str">
        <f t="shared" si="9"/>
        <v/>
      </c>
      <c r="AF42" t="str">
        <f t="shared" si="10"/>
        <v/>
      </c>
      <c r="AG42" t="str">
        <f t="shared" si="11"/>
        <v/>
      </c>
      <c r="AH42" t="str">
        <f t="shared" si="12"/>
        <v/>
      </c>
      <c r="AI42" t="str">
        <f t="shared" si="13"/>
        <v/>
      </c>
      <c r="AJ42" t="str">
        <f t="shared" si="14"/>
        <v/>
      </c>
      <c r="AK42"/>
      <c r="AL42"/>
      <c r="AM42"/>
      <c r="AN42"/>
    </row>
    <row r="43" spans="1:41" ht="51" customHeight="1">
      <c r="A43" s="2257"/>
      <c r="C43" s="42">
        <f>+PP!B61</f>
        <v>38</v>
      </c>
      <c r="D43" s="1022" t="str">
        <f>+PP!C61</f>
        <v>TENTACULO C/B C/V SR 300-500 g/pza (SUCIO)</v>
      </c>
      <c r="E43" s="1935"/>
      <c r="F43" s="388"/>
      <c r="G43" s="388"/>
      <c r="H43" s="388"/>
      <c r="I43" s="388"/>
      <c r="J43" s="388"/>
      <c r="K43" s="388"/>
      <c r="L43" s="388"/>
      <c r="M43" s="615"/>
      <c r="N43" s="388"/>
      <c r="O43" s="388"/>
      <c r="P43" s="1502"/>
      <c r="Q43" s="525">
        <f t="shared" si="0"/>
        <v>0</v>
      </c>
      <c r="R43" s="525">
        <f t="shared" si="1"/>
        <v>0</v>
      </c>
      <c r="S43" s="508">
        <f t="shared" si="2"/>
        <v>0</v>
      </c>
      <c r="T43" s="552">
        <f t="shared" si="2"/>
        <v>0</v>
      </c>
      <c r="U43" s="574"/>
      <c r="V43" s="452"/>
      <c r="W43" s="1724"/>
      <c r="X43" s="1724"/>
      <c r="Y43" s="1724" t="str">
        <f t="shared" si="3"/>
        <v/>
      </c>
      <c r="Z43" s="1724" t="str">
        <f t="shared" si="4"/>
        <v/>
      </c>
      <c r="AA43" t="str">
        <f t="shared" si="5"/>
        <v/>
      </c>
      <c r="AB43" t="str">
        <f t="shared" si="6"/>
        <v/>
      </c>
      <c r="AC43" t="str">
        <f t="shared" si="7"/>
        <v/>
      </c>
      <c r="AD43" t="str">
        <f t="shared" si="8"/>
        <v/>
      </c>
      <c r="AE43" t="str">
        <f t="shared" si="9"/>
        <v/>
      </c>
      <c r="AF43" t="str">
        <f t="shared" si="10"/>
        <v/>
      </c>
      <c r="AG43" t="str">
        <f t="shared" si="11"/>
        <v/>
      </c>
      <c r="AH43" t="str">
        <f t="shared" si="12"/>
        <v/>
      </c>
      <c r="AI43" t="str">
        <f t="shared" si="13"/>
        <v/>
      </c>
      <c r="AJ43" t="str">
        <f t="shared" si="14"/>
        <v/>
      </c>
      <c r="AK43"/>
      <c r="AL43"/>
      <c r="AM43"/>
      <c r="AN43"/>
    </row>
    <row r="44" spans="1:41" ht="45.75">
      <c r="A44" s="2257"/>
      <c r="C44" s="42">
        <f>+PP!B62</f>
        <v>39</v>
      </c>
      <c r="D44" s="1022" t="str">
        <f>+PP!C62</f>
        <v>TENTACULO C/B S/V SR 100-300 g/pza</v>
      </c>
      <c r="E44" s="1935"/>
      <c r="F44" s="388"/>
      <c r="G44" s="388"/>
      <c r="H44" s="388"/>
      <c r="I44" s="388"/>
      <c r="J44" s="388"/>
      <c r="K44" s="388"/>
      <c r="L44" s="388"/>
      <c r="M44" s="388"/>
      <c r="N44" s="388"/>
      <c r="O44" s="388"/>
      <c r="P44" s="1502"/>
      <c r="Q44" s="525">
        <f t="shared" si="0"/>
        <v>0</v>
      </c>
      <c r="R44" s="525">
        <f t="shared" si="1"/>
        <v>0</v>
      </c>
      <c r="S44" s="508">
        <f t="shared" si="2"/>
        <v>0</v>
      </c>
      <c r="T44" s="552">
        <f t="shared" si="2"/>
        <v>0</v>
      </c>
      <c r="U44" s="574"/>
      <c r="V44" s="452"/>
      <c r="W44" s="1724"/>
      <c r="X44" s="1724"/>
      <c r="Y44" s="1724" t="str">
        <f t="shared" si="3"/>
        <v/>
      </c>
      <c r="Z44" s="1724" t="str">
        <f t="shared" si="4"/>
        <v/>
      </c>
      <c r="AA44" t="str">
        <f t="shared" si="5"/>
        <v/>
      </c>
      <c r="AB44" t="str">
        <f t="shared" si="6"/>
        <v/>
      </c>
      <c r="AC44" t="str">
        <f t="shared" si="7"/>
        <v/>
      </c>
      <c r="AD44" t="str">
        <f t="shared" si="8"/>
        <v/>
      </c>
      <c r="AE44" t="str">
        <f t="shared" si="9"/>
        <v/>
      </c>
      <c r="AF44" t="str">
        <f t="shared" si="10"/>
        <v/>
      </c>
      <c r="AG44" t="str">
        <f t="shared" si="11"/>
        <v/>
      </c>
      <c r="AH44" t="str">
        <f t="shared" si="12"/>
        <v/>
      </c>
      <c r="AI44" t="str">
        <f t="shared" si="13"/>
        <v/>
      </c>
      <c r="AJ44" t="str">
        <f t="shared" si="14"/>
        <v/>
      </c>
      <c r="AK44"/>
      <c r="AL44"/>
      <c r="AM44"/>
      <c r="AN44"/>
    </row>
    <row r="45" spans="1:41" ht="47.25" customHeight="1">
      <c r="A45" s="2257"/>
      <c r="C45" s="42">
        <f>+PP!B63</f>
        <v>40</v>
      </c>
      <c r="D45" s="1022" t="str">
        <f>+PP!C63</f>
        <v>TENTACULO C/B C/V SR 100-500 g/pza (SUCIO)</v>
      </c>
      <c r="E45" s="1935"/>
      <c r="F45" s="388"/>
      <c r="G45" s="388"/>
      <c r="H45" s="388"/>
      <c r="I45" s="388"/>
      <c r="J45" s="388"/>
      <c r="K45" s="388"/>
      <c r="L45" s="388"/>
      <c r="M45" s="388"/>
      <c r="N45" s="388"/>
      <c r="O45" s="388"/>
      <c r="P45" s="1502"/>
      <c r="Q45" s="525">
        <f t="shared" si="0"/>
        <v>0</v>
      </c>
      <c r="R45" s="525">
        <f t="shared" si="1"/>
        <v>0</v>
      </c>
      <c r="S45" s="508">
        <f t="shared" si="2"/>
        <v>0</v>
      </c>
      <c r="T45" s="552">
        <f t="shared" si="2"/>
        <v>0</v>
      </c>
      <c r="U45" s="574"/>
      <c r="V45" s="452"/>
      <c r="W45" s="1724"/>
      <c r="X45" s="1724"/>
      <c r="Y45" s="1724" t="str">
        <f t="shared" si="3"/>
        <v/>
      </c>
      <c r="Z45" s="1724" t="str">
        <f t="shared" si="4"/>
        <v/>
      </c>
      <c r="AA45" t="str">
        <f t="shared" si="5"/>
        <v/>
      </c>
      <c r="AB45" t="str">
        <f t="shared" si="6"/>
        <v/>
      </c>
      <c r="AC45" t="str">
        <f t="shared" si="7"/>
        <v/>
      </c>
      <c r="AD45" t="str">
        <f t="shared" si="8"/>
        <v/>
      </c>
      <c r="AE45" t="str">
        <f t="shared" si="9"/>
        <v/>
      </c>
      <c r="AF45" t="str">
        <f t="shared" si="10"/>
        <v/>
      </c>
      <c r="AG45" t="str">
        <f t="shared" si="11"/>
        <v/>
      </c>
      <c r="AH45" t="str">
        <f t="shared" si="12"/>
        <v/>
      </c>
      <c r="AI45" t="str">
        <f t="shared" si="13"/>
        <v/>
      </c>
      <c r="AJ45" t="str">
        <f t="shared" si="14"/>
        <v/>
      </c>
      <c r="AK45"/>
      <c r="AL45"/>
      <c r="AM45"/>
      <c r="AN45"/>
    </row>
    <row r="46" spans="1:41" ht="45.75">
      <c r="A46" s="2257"/>
      <c r="C46" s="42">
        <f>+PP!B64</f>
        <v>41</v>
      </c>
      <c r="D46" s="1022" t="str">
        <f>+PP!C64</f>
        <v>TENTACULO C/B S/V SR 100-500 g/pza</v>
      </c>
      <c r="E46" s="1935"/>
      <c r="F46" s="388"/>
      <c r="G46" s="388"/>
      <c r="H46" s="388"/>
      <c r="I46" s="388"/>
      <c r="J46" s="388"/>
      <c r="K46" s="388"/>
      <c r="L46" s="388"/>
      <c r="M46" s="615"/>
      <c r="N46" s="388"/>
      <c r="O46" s="388"/>
      <c r="P46" s="1502"/>
      <c r="Q46" s="525">
        <f t="shared" si="0"/>
        <v>0</v>
      </c>
      <c r="R46" s="525">
        <f t="shared" si="1"/>
        <v>0</v>
      </c>
      <c r="S46" s="508">
        <f t="shared" si="2"/>
        <v>0</v>
      </c>
      <c r="T46" s="552">
        <f t="shared" si="2"/>
        <v>0</v>
      </c>
      <c r="U46" s="574"/>
      <c r="V46" s="452"/>
      <c r="W46" s="1724"/>
      <c r="X46" s="1724"/>
      <c r="Y46" s="1724" t="str">
        <f t="shared" si="3"/>
        <v/>
      </c>
      <c r="Z46" s="1724" t="str">
        <f t="shared" si="4"/>
        <v/>
      </c>
      <c r="AA46" t="str">
        <f t="shared" si="5"/>
        <v/>
      </c>
      <c r="AB46" t="str">
        <f t="shared" si="6"/>
        <v/>
      </c>
      <c r="AC46" t="str">
        <f t="shared" si="7"/>
        <v/>
      </c>
      <c r="AD46" t="str">
        <f t="shared" si="8"/>
        <v/>
      </c>
      <c r="AE46" t="str">
        <f t="shared" si="9"/>
        <v/>
      </c>
      <c r="AF46" t="str">
        <f t="shared" si="10"/>
        <v/>
      </c>
      <c r="AG46" t="str">
        <f t="shared" si="11"/>
        <v/>
      </c>
      <c r="AH46" t="str">
        <f t="shared" si="12"/>
        <v/>
      </c>
      <c r="AI46" t="str">
        <f t="shared" si="13"/>
        <v/>
      </c>
      <c r="AJ46" t="str">
        <f t="shared" si="14"/>
        <v/>
      </c>
      <c r="AK46"/>
      <c r="AL46"/>
      <c r="AM46"/>
      <c r="AN46"/>
    </row>
    <row r="47" spans="1:41" ht="45.75">
      <c r="A47" s="2257"/>
      <c r="C47" s="42">
        <f>+PP!B65</f>
        <v>42</v>
      </c>
      <c r="D47" s="1022" t="str">
        <f>+PP!C65</f>
        <v>TENTACULO C/B S/V SR 300-500 g/pza</v>
      </c>
      <c r="E47" s="1935"/>
      <c r="F47" s="388"/>
      <c r="G47" s="388"/>
      <c r="H47" s="388"/>
      <c r="I47" s="388"/>
      <c r="J47" s="388"/>
      <c r="K47" s="388"/>
      <c r="L47" s="388"/>
      <c r="M47" s="615"/>
      <c r="N47" s="388"/>
      <c r="O47" s="388"/>
      <c r="P47" s="1502"/>
      <c r="Q47" s="525">
        <f t="shared" si="0"/>
        <v>0</v>
      </c>
      <c r="R47" s="525">
        <f t="shared" si="1"/>
        <v>0</v>
      </c>
      <c r="S47" s="508">
        <f t="shared" si="2"/>
        <v>0</v>
      </c>
      <c r="T47" s="552">
        <f t="shared" si="2"/>
        <v>0</v>
      </c>
      <c r="U47" s="574"/>
      <c r="V47" s="452"/>
      <c r="W47" s="1724"/>
      <c r="X47" s="1724"/>
      <c r="Y47" s="1724" t="str">
        <f t="shared" si="3"/>
        <v/>
      </c>
      <c r="Z47" s="1724" t="str">
        <f t="shared" si="4"/>
        <v/>
      </c>
      <c r="AA47" t="str">
        <f t="shared" si="5"/>
        <v/>
      </c>
      <c r="AB47" t="str">
        <f t="shared" si="6"/>
        <v/>
      </c>
      <c r="AC47" t="str">
        <f t="shared" si="7"/>
        <v/>
      </c>
      <c r="AD47" t="str">
        <f t="shared" si="8"/>
        <v/>
      </c>
      <c r="AE47" t="str">
        <f t="shared" si="9"/>
        <v/>
      </c>
      <c r="AF47" t="str">
        <f t="shared" si="10"/>
        <v/>
      </c>
      <c r="AG47" t="str">
        <f t="shared" si="11"/>
        <v/>
      </c>
      <c r="AH47" t="str">
        <f t="shared" si="12"/>
        <v/>
      </c>
      <c r="AI47" t="str">
        <f t="shared" si="13"/>
        <v/>
      </c>
      <c r="AJ47" t="str">
        <f t="shared" si="14"/>
        <v/>
      </c>
      <c r="AK47"/>
      <c r="AL47"/>
      <c r="AM47"/>
      <c r="AN47"/>
    </row>
    <row r="48" spans="1:41" ht="44.25" customHeight="1">
      <c r="A48" s="2257"/>
      <c r="C48" s="42">
        <f>+PP!B66</f>
        <v>43</v>
      </c>
      <c r="D48" s="1022" t="str">
        <f>+PP!C66</f>
        <v>TENTACULO C/B C/V SR 500-1000 g/pza (SUCIO)</v>
      </c>
      <c r="E48" s="1935"/>
      <c r="F48" s="388"/>
      <c r="G48" s="388"/>
      <c r="H48" s="388"/>
      <c r="I48" s="388"/>
      <c r="J48" s="388"/>
      <c r="K48" s="388"/>
      <c r="L48" s="388"/>
      <c r="M48" s="388"/>
      <c r="N48" s="388"/>
      <c r="O48" s="388"/>
      <c r="P48" s="1502"/>
      <c r="Q48" s="525">
        <f t="shared" si="0"/>
        <v>0</v>
      </c>
      <c r="R48" s="525">
        <f t="shared" si="1"/>
        <v>0</v>
      </c>
      <c r="S48" s="508">
        <f t="shared" si="2"/>
        <v>0</v>
      </c>
      <c r="T48" s="552">
        <f t="shared" si="2"/>
        <v>0</v>
      </c>
      <c r="U48" s="574"/>
      <c r="V48" s="452"/>
      <c r="W48" s="1724"/>
      <c r="X48" s="1724"/>
      <c r="Y48" s="1724" t="str">
        <f t="shared" si="3"/>
        <v/>
      </c>
      <c r="Z48" s="1724" t="str">
        <f t="shared" si="4"/>
        <v/>
      </c>
      <c r="AA48" t="str">
        <f t="shared" si="5"/>
        <v/>
      </c>
      <c r="AB48" t="str">
        <f t="shared" si="6"/>
        <v/>
      </c>
      <c r="AC48" t="str">
        <f t="shared" si="7"/>
        <v/>
      </c>
      <c r="AD48" t="str">
        <f t="shared" si="8"/>
        <v/>
      </c>
      <c r="AE48" t="str">
        <f t="shared" si="9"/>
        <v/>
      </c>
      <c r="AF48" t="str">
        <f t="shared" si="10"/>
        <v/>
      </c>
      <c r="AG48" t="str">
        <f t="shared" si="11"/>
        <v/>
      </c>
      <c r="AH48" t="str">
        <f t="shared" si="12"/>
        <v/>
      </c>
      <c r="AI48" t="str">
        <f t="shared" si="13"/>
        <v/>
      </c>
      <c r="AJ48" t="str">
        <f t="shared" si="14"/>
        <v/>
      </c>
      <c r="AK48"/>
      <c r="AL48"/>
      <c r="AM48"/>
      <c r="AN48"/>
    </row>
    <row r="49" spans="1:82" ht="54.75" customHeight="1">
      <c r="A49" s="2257"/>
      <c r="C49" s="42">
        <f>+PP!B67</f>
        <v>44</v>
      </c>
      <c r="D49" s="1022" t="str">
        <f>+PP!C67</f>
        <v>TENTACULO C/B S/V SR 500-1000 g/pza</v>
      </c>
      <c r="E49" s="1935"/>
      <c r="F49" s="388"/>
      <c r="G49" s="388"/>
      <c r="H49" s="388"/>
      <c r="I49" s="388"/>
      <c r="J49" s="388"/>
      <c r="K49" s="388"/>
      <c r="L49" s="388"/>
      <c r="M49" s="615"/>
      <c r="N49" s="388"/>
      <c r="O49" s="388"/>
      <c r="P49" s="1502"/>
      <c r="Q49" s="525">
        <f t="shared" si="0"/>
        <v>0</v>
      </c>
      <c r="R49" s="525">
        <f t="shared" si="1"/>
        <v>0</v>
      </c>
      <c r="S49" s="508">
        <f t="shared" si="2"/>
        <v>0</v>
      </c>
      <c r="T49" s="552">
        <f t="shared" si="2"/>
        <v>0</v>
      </c>
      <c r="U49" s="574"/>
      <c r="V49" s="452"/>
      <c r="W49" s="1724"/>
      <c r="X49" s="1724"/>
      <c r="Y49" s="1724" t="str">
        <f t="shared" si="3"/>
        <v/>
      </c>
      <c r="Z49" s="1724" t="str">
        <f t="shared" si="4"/>
        <v/>
      </c>
      <c r="AA49" t="str">
        <f t="shared" si="5"/>
        <v/>
      </c>
      <c r="AB49" t="str">
        <f t="shared" si="6"/>
        <v/>
      </c>
      <c r="AC49" t="str">
        <f t="shared" si="7"/>
        <v/>
      </c>
      <c r="AD49" t="str">
        <f t="shared" si="8"/>
        <v/>
      </c>
      <c r="AE49" t="str">
        <f t="shared" si="9"/>
        <v/>
      </c>
      <c r="AF49" t="str">
        <f t="shared" si="10"/>
        <v/>
      </c>
      <c r="AG49" t="str">
        <f t="shared" si="11"/>
        <v/>
      </c>
      <c r="AH49" t="str">
        <f t="shared" si="12"/>
        <v/>
      </c>
      <c r="AI49" t="str">
        <f t="shared" si="13"/>
        <v/>
      </c>
      <c r="AJ49" t="str">
        <f t="shared" si="14"/>
        <v/>
      </c>
      <c r="AK49"/>
      <c r="AL49"/>
      <c r="AM49"/>
      <c r="AN49"/>
    </row>
    <row r="50" spans="1:82" ht="42.75" customHeight="1">
      <c r="A50" s="2257"/>
      <c r="C50" s="42">
        <f>+PP!B68</f>
        <v>45</v>
      </c>
      <c r="D50" s="1022" t="str">
        <f>+PP!C68</f>
        <v>TENTACULO C/B C/V SR 1.0-2.0 Kg/pza (SUCIO)</v>
      </c>
      <c r="E50" s="1935"/>
      <c r="F50" s="388"/>
      <c r="G50" s="388"/>
      <c r="H50" s="388"/>
      <c r="I50" s="388"/>
      <c r="J50" s="388"/>
      <c r="K50" s="388"/>
      <c r="L50" s="388"/>
      <c r="M50" s="388"/>
      <c r="N50" s="388"/>
      <c r="O50" s="388"/>
      <c r="P50" s="1502"/>
      <c r="Q50" s="525">
        <f t="shared" si="0"/>
        <v>0</v>
      </c>
      <c r="R50" s="525">
        <f t="shared" si="1"/>
        <v>0</v>
      </c>
      <c r="S50" s="508">
        <f t="shared" si="2"/>
        <v>0</v>
      </c>
      <c r="T50" s="552">
        <f t="shared" si="2"/>
        <v>0</v>
      </c>
      <c r="U50" s="574"/>
      <c r="V50" s="452"/>
      <c r="W50" s="1724"/>
      <c r="X50" s="1724"/>
      <c r="Y50" s="1724" t="str">
        <f t="shared" si="3"/>
        <v/>
      </c>
      <c r="Z50" s="1724" t="str">
        <f t="shared" si="4"/>
        <v/>
      </c>
      <c r="AA50" t="str">
        <f t="shared" si="5"/>
        <v/>
      </c>
      <c r="AB50" t="str">
        <f t="shared" si="6"/>
        <v/>
      </c>
      <c r="AC50" t="str">
        <f t="shared" si="7"/>
        <v/>
      </c>
      <c r="AD50" t="str">
        <f t="shared" si="8"/>
        <v/>
      </c>
      <c r="AE50" t="str">
        <f t="shared" si="9"/>
        <v/>
      </c>
      <c r="AF50" t="str">
        <f t="shared" si="10"/>
        <v/>
      </c>
      <c r="AG50" t="str">
        <f t="shared" si="11"/>
        <v/>
      </c>
      <c r="AH50" t="str">
        <f t="shared" si="12"/>
        <v/>
      </c>
      <c r="AI50" t="str">
        <f t="shared" si="13"/>
        <v/>
      </c>
      <c r="AJ50" t="str">
        <f t="shared" si="14"/>
        <v/>
      </c>
      <c r="AK50"/>
      <c r="AL50"/>
      <c r="AM50"/>
      <c r="AN50"/>
    </row>
    <row r="51" spans="1:82" ht="45.75">
      <c r="A51" s="2257"/>
      <c r="C51" s="42">
        <f>+PP!B69</f>
        <v>46</v>
      </c>
      <c r="D51" s="1022" t="str">
        <f>+PP!C69</f>
        <v>TENTACULO C/B S/V SR 1.0-2.0 Kg/pza</v>
      </c>
      <c r="E51" s="1935"/>
      <c r="F51" s="388"/>
      <c r="G51" s="388"/>
      <c r="H51" s="388"/>
      <c r="I51" s="388"/>
      <c r="J51" s="388"/>
      <c r="K51" s="388"/>
      <c r="L51" s="388"/>
      <c r="M51" s="388"/>
      <c r="N51" s="388"/>
      <c r="O51" s="388"/>
      <c r="P51" s="1502"/>
      <c r="Q51" s="525">
        <f t="shared" si="0"/>
        <v>0</v>
      </c>
      <c r="R51" s="525">
        <f t="shared" si="1"/>
        <v>0</v>
      </c>
      <c r="S51" s="508">
        <f t="shared" si="2"/>
        <v>0</v>
      </c>
      <c r="T51" s="552">
        <f t="shared" si="2"/>
        <v>0</v>
      </c>
      <c r="U51" s="574"/>
      <c r="V51" s="452"/>
      <c r="W51" s="1724"/>
      <c r="X51" s="1724"/>
      <c r="Y51" s="1724" t="str">
        <f t="shared" si="3"/>
        <v/>
      </c>
      <c r="Z51" s="1724" t="str">
        <f t="shared" si="4"/>
        <v/>
      </c>
      <c r="AA51" t="str">
        <f t="shared" si="5"/>
        <v/>
      </c>
      <c r="AB51" t="str">
        <f t="shared" si="6"/>
        <v/>
      </c>
      <c r="AC51" t="str">
        <f t="shared" si="7"/>
        <v/>
      </c>
      <c r="AD51" t="str">
        <f t="shared" si="8"/>
        <v/>
      </c>
      <c r="AE51" t="str">
        <f t="shared" si="9"/>
        <v/>
      </c>
      <c r="AF51" t="str">
        <f t="shared" si="10"/>
        <v/>
      </c>
      <c r="AG51" t="str">
        <f t="shared" si="11"/>
        <v/>
      </c>
      <c r="AH51" t="str">
        <f t="shared" si="12"/>
        <v/>
      </c>
      <c r="AI51" t="str">
        <f t="shared" si="13"/>
        <v/>
      </c>
      <c r="AJ51" t="str">
        <f t="shared" si="14"/>
        <v/>
      </c>
      <c r="AK51"/>
      <c r="AL51"/>
      <c r="AM51"/>
      <c r="AN51"/>
    </row>
    <row r="52" spans="1:82" ht="46.5" thickBot="1">
      <c r="A52" s="2257"/>
      <c r="C52" s="40">
        <f>+PP!B70</f>
        <v>47</v>
      </c>
      <c r="D52" s="1266" t="str">
        <f>+PP!C70</f>
        <v>TENTACULO C/B S/V SR 2 UP Kg/pza</v>
      </c>
      <c r="E52" s="1956"/>
      <c r="F52" s="1154"/>
      <c r="G52" s="1154"/>
      <c r="H52" s="1154"/>
      <c r="I52" s="1154"/>
      <c r="J52" s="1154"/>
      <c r="K52" s="1154"/>
      <c r="L52" s="1154"/>
      <c r="M52" s="1154"/>
      <c r="N52" s="1154"/>
      <c r="O52" s="1154"/>
      <c r="P52" s="1957"/>
      <c r="Q52" s="525">
        <f t="shared" si="0"/>
        <v>0</v>
      </c>
      <c r="R52" s="1032">
        <f t="shared" si="1"/>
        <v>0</v>
      </c>
      <c r="S52" s="509">
        <f t="shared" si="2"/>
        <v>0</v>
      </c>
      <c r="T52" s="507">
        <f t="shared" si="2"/>
        <v>0</v>
      </c>
      <c r="U52" s="574"/>
      <c r="V52" s="452"/>
      <c r="W52" s="1724"/>
      <c r="X52" s="1724"/>
      <c r="Y52" s="1724" t="str">
        <f t="shared" si="3"/>
        <v/>
      </c>
      <c r="Z52" s="1724" t="str">
        <f t="shared" si="4"/>
        <v/>
      </c>
      <c r="AA52" t="str">
        <f t="shared" si="5"/>
        <v/>
      </c>
      <c r="AB52" t="str">
        <f t="shared" si="6"/>
        <v/>
      </c>
      <c r="AC52" t="str">
        <f t="shared" si="7"/>
        <v/>
      </c>
      <c r="AD52" t="str">
        <f t="shared" si="8"/>
        <v/>
      </c>
      <c r="AE52" t="str">
        <f t="shared" si="9"/>
        <v/>
      </c>
      <c r="AF52" t="str">
        <f t="shared" si="10"/>
        <v/>
      </c>
      <c r="AG52" t="str">
        <f t="shared" si="11"/>
        <v/>
      </c>
      <c r="AH52" t="str">
        <f t="shared" si="12"/>
        <v/>
      </c>
      <c r="AI52" t="str">
        <f t="shared" si="13"/>
        <v/>
      </c>
      <c r="AJ52" t="str">
        <f t="shared" si="14"/>
        <v/>
      </c>
      <c r="AK52"/>
      <c r="AL52"/>
      <c r="AM52"/>
      <c r="AN52"/>
    </row>
    <row r="53" spans="1:82" ht="46.5" thickBot="1">
      <c r="A53" s="2257"/>
      <c r="C53" s="677">
        <f>+PP!B71</f>
        <v>48</v>
      </c>
      <c r="D53" s="1022" t="str">
        <f>+PP!C71</f>
        <v>TUBO ALETA 500-1000 g/pza</v>
      </c>
      <c r="E53" s="1958"/>
      <c r="F53" s="1156"/>
      <c r="G53" s="1156"/>
      <c r="H53" s="1156"/>
      <c r="I53" s="1156"/>
      <c r="J53" s="1156"/>
      <c r="K53" s="1156"/>
      <c r="L53" s="1156"/>
      <c r="M53" s="1156"/>
      <c r="N53" s="1156"/>
      <c r="O53" s="1156"/>
      <c r="P53" s="1959"/>
      <c r="Q53" s="527">
        <f t="shared" si="0"/>
        <v>0</v>
      </c>
      <c r="R53" s="527">
        <f t="shared" si="1"/>
        <v>0</v>
      </c>
      <c r="S53" s="512">
        <f t="shared" si="2"/>
        <v>0</v>
      </c>
      <c r="T53" s="557">
        <f t="shared" si="2"/>
        <v>0</v>
      </c>
      <c r="U53" s="574"/>
      <c r="V53" s="452"/>
      <c r="W53" s="1724"/>
      <c r="X53" s="1724"/>
      <c r="Y53" s="1724" t="str">
        <f t="shared" si="3"/>
        <v/>
      </c>
      <c r="Z53" s="1724" t="str">
        <f t="shared" si="4"/>
        <v/>
      </c>
      <c r="AA53" t="str">
        <f t="shared" si="5"/>
        <v/>
      </c>
      <c r="AB53" t="str">
        <f t="shared" si="6"/>
        <v/>
      </c>
      <c r="AC53" t="str">
        <f t="shared" si="7"/>
        <v/>
      </c>
      <c r="AD53" t="str">
        <f t="shared" si="8"/>
        <v/>
      </c>
      <c r="AE53" t="str">
        <f t="shared" si="9"/>
        <v/>
      </c>
      <c r="AF53" t="str">
        <f t="shared" si="10"/>
        <v/>
      </c>
      <c r="AG53" t="str">
        <f t="shared" si="11"/>
        <v/>
      </c>
      <c r="AH53" t="str">
        <f t="shared" si="12"/>
        <v/>
      </c>
      <c r="AI53" t="str">
        <f t="shared" si="13"/>
        <v/>
      </c>
      <c r="AJ53" t="str">
        <f t="shared" si="14"/>
        <v/>
      </c>
      <c r="AK53"/>
      <c r="AL53"/>
      <c r="AM53"/>
      <c r="AN53"/>
    </row>
    <row r="54" spans="1:82" ht="70.150000000000006" customHeight="1" thickBot="1">
      <c r="A54" s="2257"/>
      <c r="D54" s="96" t="s">
        <v>38</v>
      </c>
      <c r="E54" s="1432">
        <f t="shared" ref="E54:T54" si="22">SUM(E6:E53)</f>
        <v>0</v>
      </c>
      <c r="F54" s="1433">
        <f t="shared" si="22"/>
        <v>0</v>
      </c>
      <c r="G54" s="1433">
        <f t="shared" si="22"/>
        <v>0</v>
      </c>
      <c r="H54" s="1433">
        <f t="shared" si="22"/>
        <v>0</v>
      </c>
      <c r="I54" s="1433">
        <f t="shared" si="22"/>
        <v>0</v>
      </c>
      <c r="J54" s="1433">
        <f t="shared" si="22"/>
        <v>0</v>
      </c>
      <c r="K54" s="1433">
        <f t="shared" si="22"/>
        <v>0</v>
      </c>
      <c r="L54" s="1433">
        <f t="shared" si="22"/>
        <v>0</v>
      </c>
      <c r="M54" s="1433">
        <f t="shared" si="22"/>
        <v>0</v>
      </c>
      <c r="N54" s="1433">
        <f t="shared" si="22"/>
        <v>0</v>
      </c>
      <c r="O54" s="1433">
        <f t="shared" si="22"/>
        <v>0</v>
      </c>
      <c r="P54" s="1433">
        <f t="shared" si="22"/>
        <v>0</v>
      </c>
      <c r="Q54" s="540">
        <f t="shared" si="22"/>
        <v>0</v>
      </c>
      <c r="R54" s="527">
        <f t="shared" si="22"/>
        <v>0</v>
      </c>
      <c r="S54" s="512">
        <f t="shared" si="22"/>
        <v>0</v>
      </c>
      <c r="T54" s="2918">
        <f t="shared" si="22"/>
        <v>0</v>
      </c>
      <c r="U54" s="2914"/>
      <c r="V54" s="452"/>
      <c r="W54" s="1724"/>
      <c r="X54" s="1724"/>
      <c r="Y54" s="1724"/>
      <c r="Z54" s="172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</row>
    <row r="55" spans="1:82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R55" s="30"/>
      <c r="S55" s="30"/>
      <c r="T55" s="452"/>
      <c r="U55" s="452"/>
      <c r="V55" s="452"/>
      <c r="W55" s="452"/>
      <c r="X55" s="452"/>
      <c r="Y55" s="452"/>
      <c r="Z55" s="452"/>
    </row>
    <row r="56" spans="1:82" ht="46.5" thickBot="1">
      <c r="D56" s="46" t="s">
        <v>113</v>
      </c>
      <c r="E56" s="2499" t="s">
        <v>114</v>
      </c>
      <c r="F56" s="2500"/>
      <c r="G56" s="2500"/>
      <c r="H56" s="2500"/>
      <c r="I56" s="2500"/>
      <c r="J56" s="2500"/>
      <c r="K56" s="2500"/>
      <c r="L56" s="2500"/>
      <c r="M56" s="2500"/>
      <c r="N56" s="2500"/>
      <c r="O56" s="2500"/>
      <c r="P56" s="2501"/>
      <c r="R56" s="452"/>
      <c r="S56" s="452"/>
      <c r="T56" s="452"/>
      <c r="U56" s="452"/>
      <c r="V56" s="452"/>
      <c r="W56" s="452"/>
      <c r="X56" s="452"/>
      <c r="Y56" s="452"/>
      <c r="Z56" s="452"/>
      <c r="CC56" s="33" t="s">
        <v>77</v>
      </c>
      <c r="CD56" s="31" t="str">
        <f>IFERROR(IF(PP!K20="","",S54/PP!K20*100),"")</f>
        <v/>
      </c>
    </row>
    <row r="57" spans="1:82" ht="30">
      <c r="H57" s="30"/>
      <c r="I57" s="30"/>
      <c r="J57" s="30"/>
      <c r="K57" s="30"/>
      <c r="L57" s="30"/>
      <c r="M57" s="30"/>
      <c r="N57" s="30"/>
      <c r="O57" s="30"/>
      <c r="T57" s="452"/>
      <c r="U57" s="452"/>
      <c r="V57" s="452"/>
      <c r="W57" s="452"/>
      <c r="X57" s="452"/>
      <c r="Y57" s="452"/>
      <c r="Z57" s="452"/>
    </row>
    <row r="58" spans="1:82" ht="33.75">
      <c r="H58" s="30"/>
      <c r="I58" s="30"/>
      <c r="J58" s="30"/>
      <c r="K58" s="30"/>
      <c r="L58" s="30"/>
      <c r="M58" s="30"/>
      <c r="N58" s="30"/>
      <c r="O58" s="30"/>
      <c r="P58" s="30"/>
      <c r="T58" s="1195"/>
      <c r="U58" s="1195"/>
      <c r="V58" s="1195"/>
      <c r="W58" s="452"/>
      <c r="X58" s="452"/>
      <c r="Y58" s="452"/>
      <c r="Z58" s="452"/>
    </row>
    <row r="59" spans="1:82" ht="34.5" thickBot="1">
      <c r="C59"/>
      <c r="D59"/>
      <c r="E59"/>
      <c r="F59"/>
      <c r="G59"/>
      <c r="H59"/>
      <c r="I59"/>
      <c r="J59"/>
      <c r="K59"/>
      <c r="L59"/>
      <c r="M59"/>
      <c r="N59" s="30"/>
      <c r="O59"/>
      <c r="P59"/>
      <c r="R59" s="30"/>
      <c r="S59" s="30"/>
      <c r="T59" s="1195"/>
      <c r="U59" s="1195"/>
      <c r="V59" s="1195"/>
      <c r="W59" s="452"/>
      <c r="X59" s="452"/>
      <c r="Y59" s="452"/>
      <c r="Z59" s="452"/>
    </row>
    <row r="60" spans="1:82" ht="33" customHeight="1" thickBot="1">
      <c r="C60"/>
      <c r="D60" s="2496" t="s">
        <v>657</v>
      </c>
      <c r="E60" s="2497"/>
      <c r="F60" s="2498"/>
      <c r="G60" s="1485"/>
      <c r="H60" s="1438"/>
      <c r="L60" s="2492" t="s">
        <v>604</v>
      </c>
      <c r="M60" s="2492"/>
      <c r="N60" s="2492"/>
      <c r="O60"/>
      <c r="P60"/>
      <c r="Q60"/>
      <c r="R60" s="30"/>
      <c r="S60" s="30"/>
      <c r="T60" s="1584"/>
      <c r="U60" s="1584"/>
      <c r="V60" s="1195"/>
      <c r="W60" s="452"/>
      <c r="X60" s="452"/>
      <c r="Y60" s="452"/>
      <c r="Z60" s="452"/>
    </row>
    <row r="61" spans="1:82" ht="33" customHeight="1" thickBot="1">
      <c r="C61"/>
      <c r="D61" s="1987" t="s">
        <v>15</v>
      </c>
      <c r="E61" s="1988" t="s">
        <v>186</v>
      </c>
      <c r="F61" s="1989" t="s">
        <v>637</v>
      </c>
      <c r="G61" s="1990" t="s">
        <v>637</v>
      </c>
      <c r="H61" s="1991" t="s">
        <v>637</v>
      </c>
      <c r="L61" s="2493" t="s">
        <v>658</v>
      </c>
      <c r="M61" s="2493"/>
      <c r="N61" s="1440">
        <v>6000</v>
      </c>
      <c r="O61"/>
      <c r="P61"/>
      <c r="Q61"/>
      <c r="R61" s="30"/>
      <c r="S61" s="30"/>
      <c r="T61" s="1724"/>
      <c r="U61" s="1724"/>
      <c r="V61" s="1724"/>
      <c r="W61" s="1724"/>
      <c r="X61" s="1724"/>
      <c r="Y61" s="1724"/>
      <c r="Z61" s="1724"/>
      <c r="AA61"/>
      <c r="AB61"/>
      <c r="AC61"/>
      <c r="AD61"/>
      <c r="AE61"/>
    </row>
    <row r="62" spans="1:82" ht="33" customHeight="1">
      <c r="C62"/>
      <c r="D62" s="1580">
        <v>1</v>
      </c>
      <c r="E62" s="1979" t="s">
        <v>663</v>
      </c>
      <c r="F62" s="1984"/>
      <c r="G62" s="1982"/>
      <c r="H62" s="1581">
        <f t="shared" ref="H62:H72" si="23">+SUM(F62+G62)</f>
        <v>0</v>
      </c>
      <c r="L62" s="2494" t="s">
        <v>8</v>
      </c>
      <c r="M62" s="2494"/>
      <c r="N62" s="1441">
        <f>H73</f>
        <v>0</v>
      </c>
      <c r="O62"/>
      <c r="P62"/>
      <c r="Q62"/>
      <c r="T62" s="1724"/>
      <c r="U62" s="1724"/>
      <c r="V62" s="1724"/>
      <c r="W62" s="1724"/>
      <c r="X62" s="1724"/>
      <c r="Y62" s="1724"/>
      <c r="Z62" s="1724"/>
      <c r="AA62"/>
      <c r="AB62"/>
      <c r="AC62"/>
      <c r="AD62"/>
      <c r="AE62"/>
    </row>
    <row r="63" spans="1:82" ht="33" customHeight="1">
      <c r="C63"/>
      <c r="D63" s="1486">
        <v>2</v>
      </c>
      <c r="E63" s="1980" t="s">
        <v>664</v>
      </c>
      <c r="F63" s="1985"/>
      <c r="G63" s="1983"/>
      <c r="H63" s="1487">
        <f t="shared" si="23"/>
        <v>0</v>
      </c>
      <c r="L63" s="2494" t="s">
        <v>659</v>
      </c>
      <c r="M63" s="2494"/>
      <c r="N63" s="1441">
        <f>N61-N62</f>
        <v>6000</v>
      </c>
      <c r="O63"/>
      <c r="P63"/>
      <c r="Q63"/>
      <c r="T63"/>
      <c r="U63"/>
      <c r="V63"/>
      <c r="W63"/>
      <c r="X63"/>
      <c r="Y63"/>
      <c r="Z63"/>
      <c r="AA63"/>
      <c r="AB63"/>
      <c r="AC63"/>
      <c r="AD63"/>
      <c r="AE63"/>
    </row>
    <row r="64" spans="1:82" ht="33" customHeight="1">
      <c r="C64"/>
      <c r="D64" s="1486">
        <v>3</v>
      </c>
      <c r="E64" s="1980" t="s">
        <v>423</v>
      </c>
      <c r="F64" s="1985"/>
      <c r="G64" s="1983"/>
      <c r="H64" s="1487">
        <f t="shared" si="23"/>
        <v>0</v>
      </c>
      <c r="L64" s="2494" t="s">
        <v>449</v>
      </c>
      <c r="M64" s="2494"/>
      <c r="N64" s="1442" t="str">
        <f>IF(N62=N61,"OK",IF(N62&lt;N61,"FALTA","SOBRA"))</f>
        <v>FALTA</v>
      </c>
      <c r="O64"/>
      <c r="P64"/>
      <c r="Q64"/>
      <c r="T64"/>
      <c r="U64"/>
      <c r="V64"/>
      <c r="W64"/>
      <c r="X64"/>
      <c r="Y64"/>
      <c r="Z64"/>
      <c r="AA64"/>
      <c r="AB64"/>
      <c r="AC64"/>
      <c r="AD64"/>
      <c r="AE64"/>
    </row>
    <row r="65" spans="3:31" ht="33" customHeight="1">
      <c r="C65"/>
      <c r="D65" s="1486">
        <v>4</v>
      </c>
      <c r="E65" s="1980" t="s">
        <v>155</v>
      </c>
      <c r="F65" s="1985"/>
      <c r="G65" s="1983"/>
      <c r="H65" s="1487">
        <f t="shared" si="23"/>
        <v>0</v>
      </c>
      <c r="L65" s="1438"/>
      <c r="M65" s="1438"/>
      <c r="N65" s="1438"/>
      <c r="O65"/>
      <c r="P65"/>
      <c r="Q65"/>
      <c r="T65"/>
      <c r="U65"/>
      <c r="V65"/>
      <c r="W65"/>
      <c r="X65"/>
      <c r="Y65"/>
      <c r="Z65"/>
      <c r="AA65"/>
      <c r="AB65"/>
      <c r="AC65"/>
      <c r="AD65"/>
      <c r="AE65"/>
    </row>
    <row r="66" spans="3:31" ht="33" customHeight="1">
      <c r="C66"/>
      <c r="D66" s="1486">
        <v>5</v>
      </c>
      <c r="E66" s="1980" t="s">
        <v>138</v>
      </c>
      <c r="F66" s="1985"/>
      <c r="G66" s="1983"/>
      <c r="H66" s="1487">
        <f t="shared" si="23"/>
        <v>0</v>
      </c>
      <c r="L66" s="2495" t="s">
        <v>660</v>
      </c>
      <c r="M66" s="2495"/>
      <c r="N66" s="2495"/>
      <c r="O66"/>
      <c r="P66"/>
      <c r="Q66"/>
      <c r="T66"/>
      <c r="U66"/>
      <c r="V66"/>
      <c r="W66"/>
      <c r="X66"/>
      <c r="Y66"/>
      <c r="Z66"/>
      <c r="AA66"/>
      <c r="AB66"/>
      <c r="AC66"/>
      <c r="AD66"/>
      <c r="AE66"/>
    </row>
    <row r="67" spans="3:31" ht="33" customHeight="1">
      <c r="C67"/>
      <c r="D67" s="1486">
        <v>6</v>
      </c>
      <c r="E67" s="1980" t="s">
        <v>607</v>
      </c>
      <c r="F67" s="1985"/>
      <c r="G67" s="1983"/>
      <c r="H67" s="1487">
        <f t="shared" si="23"/>
        <v>0</v>
      </c>
      <c r="L67" s="2495" t="s">
        <v>661</v>
      </c>
      <c r="M67" s="2495"/>
      <c r="N67" s="2495"/>
      <c r="O67"/>
      <c r="P67"/>
      <c r="Q67"/>
      <c r="T67" s="1194"/>
      <c r="U67" s="1194"/>
    </row>
    <row r="68" spans="3:31" ht="33" customHeight="1">
      <c r="C68"/>
      <c r="D68" s="1486">
        <v>7</v>
      </c>
      <c r="E68" s="1980" t="s">
        <v>639</v>
      </c>
      <c r="F68" s="1985"/>
      <c r="G68" s="1983"/>
      <c r="H68" s="1487">
        <f t="shared" si="23"/>
        <v>0</v>
      </c>
      <c r="I68" s="1460"/>
      <c r="J68" s="1460"/>
      <c r="K68" s="1460"/>
      <c r="L68"/>
      <c r="M68"/>
      <c r="N68"/>
      <c r="O68"/>
      <c r="P68"/>
      <c r="Q68"/>
      <c r="T68" s="1194"/>
      <c r="U68" s="1194"/>
    </row>
    <row r="69" spans="3:31" ht="33" customHeight="1">
      <c r="C69"/>
      <c r="D69" s="1486">
        <v>8</v>
      </c>
      <c r="E69" s="1980" t="s">
        <v>680</v>
      </c>
      <c r="F69" s="1985"/>
      <c r="G69" s="1983"/>
      <c r="H69" s="1487">
        <f t="shared" si="23"/>
        <v>0</v>
      </c>
      <c r="I69" s="1460"/>
      <c r="J69" s="1460"/>
      <c r="K69" s="1460"/>
      <c r="L69"/>
      <c r="M69"/>
      <c r="N69"/>
      <c r="O69"/>
      <c r="P69"/>
      <c r="Q69"/>
      <c r="T69" s="1194"/>
      <c r="U69" s="1194"/>
    </row>
    <row r="70" spans="3:31" ht="33" customHeight="1">
      <c r="C70"/>
      <c r="D70" s="1486">
        <v>9</v>
      </c>
      <c r="E70" s="1980" t="s">
        <v>668</v>
      </c>
      <c r="F70" s="1985"/>
      <c r="G70" s="1983"/>
      <c r="H70" s="1487">
        <f t="shared" si="23"/>
        <v>0</v>
      </c>
      <c r="I70" s="1438"/>
      <c r="J70" s="1689"/>
      <c r="K70" s="1438"/>
      <c r="L70"/>
      <c r="M70"/>
      <c r="N70"/>
      <c r="O70"/>
      <c r="P70"/>
      <c r="Q70"/>
      <c r="T70" s="1194"/>
      <c r="U70" s="1194"/>
    </row>
    <row r="71" spans="3:31" ht="33" customHeight="1">
      <c r="C71"/>
      <c r="D71" s="1583">
        <v>10</v>
      </c>
      <c r="E71" s="1981" t="s">
        <v>181</v>
      </c>
      <c r="F71" s="1985"/>
      <c r="G71" s="1983"/>
      <c r="H71" s="1487">
        <f t="shared" si="23"/>
        <v>0</v>
      </c>
      <c r="I71" s="1438"/>
      <c r="J71" s="1438"/>
      <c r="K71" s="1438"/>
      <c r="L71"/>
      <c r="M71"/>
      <c r="N71"/>
      <c r="O71"/>
      <c r="P71"/>
      <c r="Q71"/>
      <c r="T71" s="1194"/>
      <c r="U71" s="1194"/>
    </row>
    <row r="72" spans="3:31" ht="33" customHeight="1" thickBot="1">
      <c r="C72"/>
      <c r="D72" s="2061"/>
      <c r="E72" s="2062" t="s">
        <v>706</v>
      </c>
      <c r="F72" s="2063"/>
      <c r="G72" s="2064"/>
      <c r="H72" s="1487">
        <f t="shared" si="23"/>
        <v>0</v>
      </c>
      <c r="I72" s="1438"/>
      <c r="J72" s="1438"/>
      <c r="K72" s="1438"/>
      <c r="L72"/>
      <c r="M72"/>
      <c r="N72"/>
      <c r="O72"/>
      <c r="P72"/>
      <c r="Q72"/>
      <c r="T72" s="1194"/>
      <c r="U72" s="1194"/>
    </row>
    <row r="73" spans="3:31" ht="33" customHeight="1" thickBot="1">
      <c r="C73"/>
      <c r="D73" s="2490" t="s">
        <v>3</v>
      </c>
      <c r="E73" s="2491"/>
      <c r="F73" s="1986">
        <f>SUM(F62:F71)</f>
        <v>0</v>
      </c>
      <c r="G73" s="1582">
        <f>SUM(G62:G71)</f>
        <v>0</v>
      </c>
      <c r="H73" s="1488">
        <f>SUM(F73:G73)</f>
        <v>0</v>
      </c>
      <c r="I73" s="1438"/>
      <c r="J73" s="1438"/>
      <c r="K73" s="1438"/>
      <c r="L73"/>
      <c r="M73"/>
      <c r="N73"/>
      <c r="O73"/>
      <c r="P73"/>
      <c r="Q73"/>
      <c r="T73" s="1194"/>
      <c r="U73" s="1194"/>
    </row>
    <row r="74" spans="3:31" ht="21.95" customHeight="1">
      <c r="C74"/>
      <c r="D74" s="1438"/>
      <c r="E74" s="1438"/>
      <c r="F74" s="1438"/>
      <c r="G74" s="1438"/>
      <c r="H74" s="1438"/>
      <c r="I74" s="1438"/>
      <c r="J74" s="1438"/>
      <c r="K74" s="1438"/>
      <c r="L74"/>
      <c r="M74"/>
      <c r="N74"/>
      <c r="O74"/>
      <c r="P74"/>
      <c r="Q74"/>
      <c r="T74" s="1194"/>
      <c r="U74" s="1194"/>
    </row>
    <row r="75" spans="3:31" ht="21.95" customHeight="1">
      <c r="C75"/>
      <c r="D75" s="1438"/>
      <c r="E75" s="1438"/>
      <c r="F75" s="1438"/>
      <c r="G75" s="1438"/>
      <c r="H75" s="1438"/>
      <c r="I75" s="1438"/>
      <c r="J75" s="1438"/>
      <c r="K75" s="1438"/>
      <c r="L75"/>
      <c r="M75"/>
      <c r="N75"/>
      <c r="O75"/>
      <c r="P75"/>
      <c r="Q75"/>
      <c r="T75" s="1194"/>
      <c r="U75" s="1194"/>
    </row>
    <row r="76" spans="3:31" ht="21.95" customHeight="1">
      <c r="C76"/>
      <c r="D76" s="1438"/>
      <c r="E76" s="1438"/>
      <c r="F76" s="1438"/>
      <c r="G76" s="1438"/>
      <c r="H76" s="1438"/>
      <c r="I76" s="1438"/>
      <c r="J76" s="1438"/>
      <c r="K76" s="1438"/>
      <c r="L76"/>
      <c r="M76"/>
      <c r="N76"/>
      <c r="O76"/>
      <c r="P76"/>
      <c r="Q76"/>
      <c r="T76" s="1194"/>
      <c r="U76" s="1194"/>
    </row>
    <row r="77" spans="3:31" ht="21.95" customHeight="1">
      <c r="C77"/>
      <c r="D77" s="1438"/>
      <c r="E77" s="1438"/>
      <c r="F77" s="1438"/>
      <c r="G77" s="1438"/>
      <c r="H77" s="1438"/>
      <c r="I77" s="1438"/>
      <c r="J77" s="1438"/>
      <c r="K77" s="1438"/>
      <c r="L77" s="1434"/>
      <c r="M77" s="1434"/>
      <c r="N77" s="1194"/>
      <c r="O77" s="1194"/>
      <c r="P77" s="1194"/>
      <c r="Q77" s="1194"/>
      <c r="T77" s="1194"/>
      <c r="U77" s="1194"/>
    </row>
    <row r="78" spans="3:31" ht="92.25">
      <c r="C78"/>
      <c r="D78" s="2060"/>
      <c r="E78"/>
      <c r="F78"/>
      <c r="G78"/>
      <c r="H78"/>
      <c r="I78" s="1434"/>
      <c r="J78" s="1434"/>
      <c r="K78" s="1434"/>
      <c r="L78" s="1434"/>
      <c r="M78" s="1434"/>
      <c r="N78" s="1194"/>
      <c r="O78" s="1194"/>
      <c r="P78" s="1194"/>
      <c r="Q78" s="1194"/>
      <c r="T78" s="1194"/>
      <c r="U78" s="1194"/>
    </row>
    <row r="79" spans="3:31" ht="92.25">
      <c r="C79"/>
      <c r="D79" s="2060"/>
      <c r="E79"/>
      <c r="F79"/>
      <c r="G79"/>
      <c r="H79"/>
      <c r="I79" s="1434"/>
      <c r="J79" s="1434"/>
      <c r="K79" s="1434"/>
      <c r="L79" s="1434"/>
      <c r="M79" s="1434"/>
      <c r="N79" s="1194"/>
      <c r="O79" s="1194"/>
      <c r="P79" s="1194"/>
      <c r="Q79" s="1194"/>
      <c r="T79" s="1194"/>
      <c r="U79" s="1194"/>
    </row>
    <row r="80" spans="3:31" ht="92.25">
      <c r="C80"/>
      <c r="D80" s="2060"/>
      <c r="E80"/>
      <c r="F80"/>
      <c r="G80"/>
      <c r="H80"/>
      <c r="I80" s="1434"/>
      <c r="J80" s="1434"/>
      <c r="K80" s="1434"/>
      <c r="L80" s="1434"/>
      <c r="M80" s="1434"/>
      <c r="N80" s="1194"/>
      <c r="O80" s="1194"/>
      <c r="P80" s="1194"/>
      <c r="Q80" s="1194"/>
      <c r="T80" s="1194"/>
      <c r="U80" s="1194"/>
    </row>
    <row r="81" spans="3:21" ht="92.25">
      <c r="C81"/>
      <c r="D81" s="2060"/>
      <c r="E81"/>
      <c r="F81"/>
      <c r="G81"/>
      <c r="H81"/>
      <c r="I81" s="1434"/>
      <c r="J81" s="1434"/>
      <c r="K81" s="1434"/>
      <c r="L81" s="1434"/>
      <c r="M81" s="1434"/>
      <c r="N81" s="1194"/>
      <c r="O81" s="1194"/>
      <c r="P81" s="1194"/>
      <c r="Q81" s="1194"/>
      <c r="T81" s="1194"/>
      <c r="U81" s="1194"/>
    </row>
    <row r="82" spans="3:21" ht="92.25">
      <c r="C82"/>
      <c r="D82" s="2060"/>
      <c r="E82"/>
      <c r="F82"/>
      <c r="G82"/>
      <c r="H82"/>
      <c r="I82" s="1434"/>
      <c r="J82" s="1434"/>
      <c r="K82" s="1434"/>
      <c r="L82" s="1434"/>
      <c r="M82" s="1434"/>
      <c r="N82" s="1194"/>
      <c r="O82" s="1194"/>
      <c r="P82" s="1194"/>
      <c r="Q82" s="1194"/>
      <c r="T82" s="1194"/>
      <c r="U82" s="1194"/>
    </row>
    <row r="83" spans="3:21" ht="92.25">
      <c r="C83"/>
      <c r="D83"/>
      <c r="E83"/>
      <c r="F83"/>
      <c r="G83"/>
      <c r="H83"/>
      <c r="I83" s="1434"/>
      <c r="J83" s="1434"/>
      <c r="K83" s="1434"/>
      <c r="L83" s="1434"/>
      <c r="M83" s="1434"/>
      <c r="N83" s="1194"/>
      <c r="O83" s="1194"/>
      <c r="P83" s="1194"/>
      <c r="Q83" s="1194"/>
      <c r="T83" s="1194"/>
      <c r="U83" s="1194"/>
    </row>
    <row r="84" spans="3:21" ht="92.25">
      <c r="C84"/>
      <c r="D84"/>
      <c r="E84"/>
      <c r="F84"/>
      <c r="G84"/>
      <c r="H84"/>
      <c r="I84" s="1434"/>
      <c r="J84" s="1434"/>
      <c r="K84" s="1434"/>
      <c r="L84" s="1434"/>
      <c r="M84" s="1434"/>
      <c r="N84" s="1194"/>
      <c r="O84" s="1194"/>
      <c r="P84" s="1194"/>
      <c r="Q84" s="1194"/>
      <c r="T84" s="1194"/>
      <c r="U84" s="1194"/>
    </row>
    <row r="85" spans="3:21" ht="92.25">
      <c r="C85"/>
      <c r="D85"/>
      <c r="E85"/>
      <c r="F85"/>
      <c r="G85"/>
      <c r="H85"/>
      <c r="I85" s="1434"/>
      <c r="J85" s="1434"/>
      <c r="K85" s="1434"/>
      <c r="L85" s="1434"/>
      <c r="M85" s="1434"/>
      <c r="N85" s="1194"/>
      <c r="O85" s="1194"/>
      <c r="P85" s="1194"/>
      <c r="Q85" s="1194"/>
      <c r="T85" s="1194"/>
      <c r="U85" s="1194"/>
    </row>
    <row r="86" spans="3:21" ht="92.25">
      <c r="C86"/>
      <c r="D86"/>
      <c r="E86"/>
      <c r="F86"/>
      <c r="G86"/>
      <c r="H86"/>
      <c r="I86" s="1434"/>
      <c r="J86" s="1434"/>
      <c r="K86" s="1434"/>
      <c r="L86" s="1434"/>
      <c r="M86" s="1434"/>
      <c r="N86" s="1194"/>
      <c r="O86" s="1194"/>
      <c r="P86" s="1194"/>
      <c r="Q86" s="1194"/>
      <c r="T86" s="1194"/>
      <c r="U86" s="1194"/>
    </row>
    <row r="87" spans="3:21" ht="92.25">
      <c r="C87"/>
      <c r="D87"/>
      <c r="E87"/>
      <c r="F87"/>
      <c r="G87"/>
      <c r="H87"/>
      <c r="I87" s="1434"/>
      <c r="J87" s="1434"/>
      <c r="K87" s="1434"/>
      <c r="L87" s="1434"/>
      <c r="M87" s="1434"/>
      <c r="N87" s="1194"/>
      <c r="O87" s="1194"/>
      <c r="P87" s="1194"/>
      <c r="Q87" s="1194"/>
      <c r="T87" s="1194"/>
      <c r="U87" s="1194"/>
    </row>
    <row r="88" spans="3:21" ht="92.25">
      <c r="C88"/>
      <c r="D88"/>
      <c r="E88"/>
      <c r="F88"/>
      <c r="G88"/>
      <c r="H88"/>
      <c r="I88" s="1434"/>
      <c r="J88" s="1434"/>
      <c r="K88" s="1434"/>
      <c r="L88" s="1434"/>
      <c r="M88" s="1434"/>
      <c r="N88" s="1194"/>
      <c r="O88" s="1194"/>
      <c r="P88" s="1194"/>
      <c r="Q88" s="1194"/>
      <c r="T88" s="1194"/>
      <c r="U88" s="1194"/>
    </row>
    <row r="89" spans="3:21" ht="92.25">
      <c r="C89"/>
      <c r="D89"/>
      <c r="E89"/>
      <c r="F89"/>
      <c r="G89"/>
      <c r="H89"/>
      <c r="I89" s="1434"/>
      <c r="J89" s="1434"/>
      <c r="K89" s="1434"/>
      <c r="L89" s="1434"/>
      <c r="M89" s="1434"/>
      <c r="N89" s="1194"/>
      <c r="O89" s="1194"/>
      <c r="P89" s="1194"/>
      <c r="Q89" s="1194"/>
      <c r="T89" s="1194"/>
      <c r="U89" s="1194"/>
    </row>
    <row r="90" spans="3:21" ht="92.25">
      <c r="C90"/>
      <c r="D90"/>
      <c r="E90"/>
      <c r="F90"/>
      <c r="G90"/>
      <c r="H90"/>
      <c r="I90" s="1434"/>
      <c r="J90" s="1434"/>
      <c r="K90" s="1434"/>
      <c r="L90" s="1434"/>
      <c r="M90" s="1434"/>
      <c r="N90" s="1194"/>
      <c r="O90" s="1194"/>
      <c r="P90" s="1194"/>
      <c r="Q90" s="1194"/>
      <c r="T90" s="1194"/>
      <c r="U90" s="1194"/>
    </row>
    <row r="91" spans="3:21" ht="92.25">
      <c r="C91"/>
      <c r="D91"/>
      <c r="E91"/>
      <c r="F91"/>
      <c r="G91"/>
      <c r="H91"/>
      <c r="I91" s="1434"/>
      <c r="J91" s="1434"/>
      <c r="K91" s="1434"/>
      <c r="L91" s="1434"/>
      <c r="M91" s="1434"/>
      <c r="N91" s="1194"/>
      <c r="O91" s="1194"/>
      <c r="P91" s="1194"/>
      <c r="Q91" s="1194"/>
      <c r="T91" s="1194"/>
      <c r="U91" s="1194"/>
    </row>
    <row r="92" spans="3:21" ht="92.25">
      <c r="C92"/>
      <c r="D92"/>
      <c r="E92"/>
      <c r="F92"/>
      <c r="G92"/>
      <c r="H92"/>
      <c r="I92" s="1434"/>
      <c r="J92" s="1434"/>
      <c r="K92" s="1434"/>
      <c r="L92" s="1434"/>
      <c r="M92" s="1434"/>
      <c r="N92" s="1194"/>
      <c r="O92" s="1194"/>
      <c r="P92" s="1194"/>
      <c r="Q92" s="1194"/>
      <c r="T92" s="1194"/>
      <c r="U92" s="1194"/>
    </row>
    <row r="93" spans="3:21" ht="92.25">
      <c r="C93"/>
      <c r="D93"/>
      <c r="E93"/>
      <c r="F93"/>
      <c r="G93"/>
      <c r="H93"/>
      <c r="I93" s="1434"/>
      <c r="J93" s="1434"/>
      <c r="K93" s="1434"/>
      <c r="L93" s="1434"/>
      <c r="M93" s="1434"/>
      <c r="N93" s="1194"/>
      <c r="O93" s="1194"/>
      <c r="P93" s="1194"/>
      <c r="Q93" s="1194"/>
      <c r="T93" s="1194"/>
      <c r="U93" s="1194"/>
    </row>
    <row r="94" spans="3:21" ht="92.25">
      <c r="C94"/>
      <c r="D94"/>
      <c r="E94"/>
      <c r="F94"/>
      <c r="G94"/>
      <c r="H94"/>
      <c r="I94" s="1434"/>
      <c r="J94" s="1434"/>
      <c r="K94" s="1434"/>
      <c r="L94" s="1434"/>
      <c r="M94" s="1434"/>
      <c r="N94" s="1194"/>
      <c r="O94" s="1194"/>
      <c r="P94" s="1194"/>
      <c r="Q94" s="1194"/>
      <c r="T94" s="1194"/>
      <c r="U94" s="1194"/>
    </row>
    <row r="95" spans="3:21" ht="92.25">
      <c r="C95"/>
      <c r="D95"/>
      <c r="E95"/>
      <c r="F95"/>
      <c r="G95"/>
      <c r="H95"/>
      <c r="I95" s="1434"/>
      <c r="J95" s="1434"/>
      <c r="K95" s="1434"/>
      <c r="L95" s="1434"/>
      <c r="M95" s="1434"/>
      <c r="N95" s="1194"/>
      <c r="O95" s="1194"/>
      <c r="P95" s="1194"/>
      <c r="Q95" s="1194"/>
      <c r="T95" s="1194"/>
      <c r="U95" s="1194"/>
    </row>
    <row r="96" spans="3:21" ht="92.25">
      <c r="C96"/>
      <c r="D96"/>
      <c r="E96"/>
      <c r="F96"/>
      <c r="G96"/>
      <c r="H96"/>
      <c r="I96" s="1434"/>
      <c r="J96" s="1434"/>
      <c r="K96" s="1434"/>
      <c r="L96" s="1434"/>
      <c r="M96" s="1434"/>
      <c r="N96" s="1194"/>
      <c r="O96" s="1194"/>
      <c r="P96" s="1194"/>
      <c r="Q96" s="1194"/>
      <c r="T96" s="1194"/>
      <c r="U96" s="1194"/>
    </row>
    <row r="97" spans="3:21" ht="92.25">
      <c r="C97"/>
      <c r="D97"/>
      <c r="E97"/>
      <c r="F97"/>
      <c r="G97"/>
      <c r="H97"/>
      <c r="I97" s="1434"/>
      <c r="J97" s="1434"/>
      <c r="K97" s="1434"/>
      <c r="L97" s="1434"/>
      <c r="M97" s="1434"/>
      <c r="N97" s="1194"/>
      <c r="O97" s="1194"/>
      <c r="P97" s="1194"/>
      <c r="Q97" s="1194"/>
      <c r="T97" s="1194"/>
      <c r="U97" s="1194"/>
    </row>
    <row r="98" spans="3:21">
      <c r="C98"/>
      <c r="D98"/>
      <c r="E98"/>
      <c r="F98"/>
      <c r="G98"/>
      <c r="H98"/>
      <c r="I98"/>
      <c r="J98"/>
      <c r="K98"/>
      <c r="L98"/>
      <c r="M98"/>
    </row>
    <row r="99" spans="3:21">
      <c r="C99"/>
      <c r="D99"/>
      <c r="E99"/>
      <c r="F99"/>
      <c r="G99"/>
      <c r="H99"/>
      <c r="I99"/>
      <c r="J99"/>
      <c r="K99"/>
      <c r="L99"/>
      <c r="M99"/>
    </row>
    <row r="100" spans="3:21">
      <c r="C100"/>
      <c r="D100"/>
      <c r="E100"/>
      <c r="F100"/>
      <c r="G100"/>
      <c r="H100"/>
      <c r="I100"/>
      <c r="J100"/>
      <c r="K100"/>
      <c r="L100"/>
      <c r="M100"/>
    </row>
    <row r="101" spans="3:21">
      <c r="C101"/>
      <c r="D101"/>
      <c r="E101"/>
      <c r="F101"/>
      <c r="G101"/>
      <c r="H101"/>
      <c r="I101"/>
      <c r="J101"/>
      <c r="K101"/>
      <c r="L101"/>
      <c r="M101"/>
    </row>
    <row r="102" spans="3:21">
      <c r="C102"/>
      <c r="D102"/>
      <c r="E102"/>
      <c r="F102"/>
      <c r="G102"/>
      <c r="H102"/>
      <c r="I102"/>
      <c r="J102"/>
      <c r="K102"/>
      <c r="L102"/>
      <c r="M102"/>
    </row>
    <row r="103" spans="3:21">
      <c r="C103"/>
      <c r="D103"/>
      <c r="E103"/>
      <c r="F103"/>
      <c r="G103"/>
      <c r="H103"/>
      <c r="I103"/>
      <c r="J103"/>
      <c r="K103"/>
      <c r="L103"/>
      <c r="M103"/>
    </row>
    <row r="104" spans="3:21">
      <c r="C104"/>
      <c r="D104"/>
      <c r="E104"/>
      <c r="F104"/>
      <c r="G104"/>
      <c r="H104"/>
      <c r="I104"/>
      <c r="J104"/>
      <c r="K104"/>
      <c r="L104"/>
      <c r="M104"/>
    </row>
    <row r="105" spans="3:21">
      <c r="C105"/>
      <c r="D105"/>
      <c r="E105"/>
      <c r="F105"/>
      <c r="G105"/>
      <c r="H105"/>
      <c r="I105"/>
      <c r="J105"/>
      <c r="K105"/>
      <c r="L105"/>
      <c r="M105"/>
    </row>
    <row r="106" spans="3:21">
      <c r="C106"/>
      <c r="D106"/>
      <c r="E106"/>
      <c r="F106"/>
      <c r="G106"/>
      <c r="H106"/>
      <c r="I106"/>
      <c r="J106"/>
      <c r="K106"/>
      <c r="L106"/>
      <c r="M106"/>
    </row>
    <row r="107" spans="3:21">
      <c r="C107"/>
      <c r="D107"/>
      <c r="E107"/>
      <c r="F107"/>
      <c r="G107"/>
      <c r="H107"/>
      <c r="I107"/>
      <c r="J107"/>
      <c r="K107"/>
      <c r="L107"/>
      <c r="M107"/>
    </row>
    <row r="108" spans="3:21">
      <c r="C108"/>
      <c r="D108"/>
      <c r="E108"/>
      <c r="F108"/>
      <c r="G108"/>
      <c r="H108"/>
      <c r="I108"/>
      <c r="J108"/>
      <c r="K108"/>
      <c r="L108"/>
      <c r="M108"/>
    </row>
    <row r="109" spans="3:21">
      <c r="C109"/>
      <c r="D109"/>
      <c r="E109"/>
      <c r="F109"/>
      <c r="G109"/>
      <c r="H109"/>
      <c r="I109"/>
      <c r="J109"/>
      <c r="K109"/>
      <c r="L109"/>
      <c r="M109"/>
    </row>
    <row r="110" spans="3:21">
      <c r="C110"/>
      <c r="D110"/>
      <c r="E110"/>
      <c r="F110"/>
      <c r="G110"/>
      <c r="H110"/>
      <c r="I110"/>
      <c r="J110"/>
      <c r="K110"/>
      <c r="L110"/>
      <c r="M110"/>
    </row>
    <row r="111" spans="3:21">
      <c r="C111"/>
      <c r="D111"/>
      <c r="E111"/>
      <c r="F111"/>
      <c r="G111"/>
      <c r="H111"/>
      <c r="I111"/>
      <c r="J111"/>
      <c r="K111"/>
      <c r="L111"/>
      <c r="M111"/>
    </row>
    <row r="112" spans="3:21">
      <c r="C112"/>
      <c r="D112"/>
      <c r="E112"/>
      <c r="F112"/>
      <c r="G112"/>
      <c r="H112"/>
      <c r="I112"/>
      <c r="J112"/>
      <c r="K112"/>
      <c r="L112"/>
      <c r="M112"/>
    </row>
    <row r="113" spans="3:13">
      <c r="C113"/>
      <c r="D113"/>
      <c r="E113"/>
      <c r="F113"/>
      <c r="G113"/>
      <c r="H113"/>
      <c r="I113"/>
      <c r="J113"/>
      <c r="K113"/>
      <c r="L113"/>
      <c r="M113"/>
    </row>
    <row r="114" spans="3:13">
      <c r="C114"/>
      <c r="D114"/>
      <c r="E114"/>
      <c r="F114"/>
      <c r="G114"/>
      <c r="H114"/>
      <c r="I114"/>
      <c r="J114"/>
      <c r="K114"/>
      <c r="L114"/>
      <c r="M114"/>
    </row>
    <row r="115" spans="3:13">
      <c r="C115"/>
      <c r="D115"/>
      <c r="E115"/>
      <c r="F115"/>
      <c r="G115"/>
      <c r="H115"/>
      <c r="I115"/>
      <c r="J115"/>
      <c r="K115"/>
      <c r="L115"/>
      <c r="M115"/>
    </row>
    <row r="116" spans="3:13">
      <c r="C116"/>
      <c r="D116"/>
      <c r="E116"/>
      <c r="F116"/>
      <c r="G116"/>
      <c r="H116"/>
      <c r="I116"/>
      <c r="J116"/>
      <c r="K116"/>
      <c r="L116"/>
      <c r="M116"/>
    </row>
    <row r="117" spans="3:13">
      <c r="C117"/>
      <c r="D117"/>
      <c r="E117"/>
      <c r="F117"/>
      <c r="G117"/>
      <c r="H117"/>
      <c r="I117"/>
      <c r="J117"/>
      <c r="K117"/>
      <c r="L117"/>
      <c r="M117"/>
    </row>
    <row r="118" spans="3:13">
      <c r="C118"/>
      <c r="D118"/>
      <c r="E118"/>
      <c r="F118"/>
      <c r="G118"/>
      <c r="H118"/>
      <c r="I118"/>
      <c r="J118"/>
      <c r="K118"/>
      <c r="L118"/>
      <c r="M118"/>
    </row>
    <row r="119" spans="3:13">
      <c r="C119"/>
      <c r="D119"/>
      <c r="E119"/>
      <c r="F119"/>
      <c r="G119"/>
      <c r="H119"/>
      <c r="I119"/>
      <c r="J119"/>
      <c r="K119"/>
      <c r="L119"/>
      <c r="M119"/>
    </row>
    <row r="120" spans="3:13">
      <c r="C120"/>
      <c r="D120"/>
      <c r="E120"/>
      <c r="F120"/>
      <c r="G120"/>
      <c r="H120"/>
      <c r="I120"/>
      <c r="J120"/>
      <c r="K120"/>
      <c r="L120"/>
      <c r="M120"/>
    </row>
    <row r="121" spans="3:13">
      <c r="C121"/>
      <c r="D121"/>
      <c r="E121"/>
      <c r="F121"/>
      <c r="G121"/>
      <c r="H121"/>
      <c r="I121"/>
      <c r="J121"/>
      <c r="K121"/>
      <c r="L121"/>
      <c r="M121"/>
    </row>
    <row r="122" spans="3:13">
      <c r="C122"/>
      <c r="D122"/>
      <c r="E122"/>
      <c r="F122"/>
      <c r="G122"/>
      <c r="H122"/>
      <c r="I122"/>
      <c r="J122"/>
      <c r="K122"/>
      <c r="L122"/>
      <c r="M122"/>
    </row>
    <row r="123" spans="3:13">
      <c r="C123"/>
      <c r="D123"/>
      <c r="E123"/>
      <c r="F123"/>
      <c r="G123"/>
      <c r="H123"/>
      <c r="I123"/>
      <c r="J123"/>
      <c r="K123"/>
      <c r="L123"/>
      <c r="M123"/>
    </row>
    <row r="124" spans="3:13">
      <c r="C124"/>
      <c r="D124"/>
      <c r="E124"/>
      <c r="F124"/>
      <c r="G124"/>
      <c r="H124"/>
      <c r="I124"/>
      <c r="J124"/>
      <c r="K124"/>
      <c r="L124"/>
      <c r="M124"/>
    </row>
    <row r="125" spans="3:13">
      <c r="C125"/>
      <c r="D125"/>
      <c r="E125"/>
      <c r="F125"/>
      <c r="G125"/>
      <c r="H125"/>
      <c r="I125"/>
      <c r="J125"/>
      <c r="K125"/>
      <c r="L125"/>
      <c r="M125"/>
    </row>
    <row r="126" spans="3:13">
      <c r="C126"/>
      <c r="D126"/>
      <c r="E126"/>
      <c r="F126"/>
      <c r="G126"/>
      <c r="H126"/>
      <c r="I126"/>
      <c r="J126"/>
      <c r="K126"/>
      <c r="L126"/>
      <c r="M126"/>
    </row>
    <row r="127" spans="3:13">
      <c r="C127"/>
      <c r="D127"/>
      <c r="E127"/>
      <c r="F127"/>
      <c r="G127"/>
      <c r="H127"/>
      <c r="I127"/>
      <c r="J127"/>
      <c r="K127"/>
      <c r="L127"/>
      <c r="M127"/>
    </row>
    <row r="128" spans="3:13">
      <c r="C128"/>
      <c r="D128"/>
      <c r="E128"/>
      <c r="F128"/>
      <c r="G128"/>
      <c r="H128"/>
      <c r="I128"/>
      <c r="J128"/>
      <c r="K128"/>
      <c r="L128"/>
      <c r="M128"/>
    </row>
    <row r="129" spans="3:13">
      <c r="C129"/>
      <c r="D129"/>
      <c r="E129"/>
      <c r="F129"/>
      <c r="G129"/>
      <c r="H129"/>
      <c r="I129"/>
      <c r="J129"/>
      <c r="K129"/>
      <c r="L129"/>
      <c r="M129"/>
    </row>
    <row r="130" spans="3:13">
      <c r="C130"/>
      <c r="D130"/>
      <c r="E130"/>
      <c r="F130"/>
      <c r="G130"/>
      <c r="H130"/>
      <c r="I130"/>
      <c r="J130"/>
      <c r="K130"/>
      <c r="L130"/>
      <c r="M130"/>
    </row>
    <row r="131" spans="3:13">
      <c r="C131"/>
      <c r="D131"/>
      <c r="E131"/>
      <c r="F131"/>
      <c r="G131"/>
      <c r="H131"/>
      <c r="I131"/>
      <c r="J131"/>
      <c r="K131"/>
      <c r="L131"/>
      <c r="M131"/>
    </row>
    <row r="132" spans="3:13">
      <c r="C132"/>
      <c r="D132"/>
      <c r="E132"/>
      <c r="F132"/>
      <c r="G132"/>
      <c r="H132"/>
      <c r="I132"/>
      <c r="J132"/>
      <c r="K132"/>
      <c r="L132"/>
      <c r="M132"/>
    </row>
    <row r="133" spans="3:13">
      <c r="C133"/>
      <c r="D133"/>
      <c r="E133"/>
      <c r="F133"/>
      <c r="G133"/>
      <c r="H133"/>
      <c r="I133"/>
      <c r="J133"/>
      <c r="K133"/>
      <c r="L133"/>
      <c r="M133"/>
    </row>
    <row r="134" spans="3:13">
      <c r="C134"/>
      <c r="D134"/>
      <c r="E134"/>
      <c r="F134"/>
      <c r="G134"/>
      <c r="H134"/>
      <c r="I134"/>
      <c r="J134"/>
      <c r="K134"/>
      <c r="L134"/>
      <c r="M134"/>
    </row>
    <row r="135" spans="3:13">
      <c r="C135"/>
      <c r="D135"/>
      <c r="E135"/>
      <c r="F135"/>
      <c r="G135"/>
      <c r="H135"/>
      <c r="I135"/>
      <c r="J135"/>
      <c r="K135"/>
      <c r="L135"/>
      <c r="M135"/>
    </row>
    <row r="136" spans="3:13">
      <c r="C136"/>
      <c r="D136"/>
      <c r="E136"/>
      <c r="F136"/>
      <c r="G136"/>
      <c r="H136"/>
      <c r="I136"/>
      <c r="J136"/>
      <c r="K136"/>
      <c r="L136"/>
      <c r="M136"/>
    </row>
    <row r="137" spans="3:13">
      <c r="C137"/>
      <c r="D137"/>
      <c r="E137"/>
      <c r="F137"/>
      <c r="G137"/>
      <c r="H137"/>
      <c r="I137"/>
      <c r="J137"/>
      <c r="K137"/>
      <c r="L137"/>
      <c r="M137"/>
    </row>
    <row r="138" spans="3:13">
      <c r="C138"/>
      <c r="D138"/>
      <c r="E138"/>
      <c r="F138"/>
      <c r="G138"/>
      <c r="H138"/>
      <c r="I138"/>
      <c r="J138"/>
      <c r="K138"/>
      <c r="L138"/>
      <c r="M138"/>
    </row>
    <row r="139" spans="3:13">
      <c r="C139"/>
      <c r="D139"/>
      <c r="E139"/>
      <c r="F139"/>
      <c r="G139"/>
      <c r="H139"/>
      <c r="I139"/>
      <c r="J139"/>
      <c r="K139"/>
      <c r="L139"/>
      <c r="M139"/>
    </row>
    <row r="140" spans="3:13">
      <c r="C140"/>
      <c r="D140"/>
      <c r="E140"/>
      <c r="F140"/>
      <c r="G140"/>
      <c r="H140"/>
      <c r="I140"/>
      <c r="J140"/>
      <c r="K140"/>
      <c r="L140"/>
      <c r="M140"/>
    </row>
    <row r="141" spans="3:13">
      <c r="C141"/>
      <c r="D141"/>
      <c r="E141"/>
      <c r="F141"/>
      <c r="G141"/>
      <c r="H141"/>
      <c r="I141"/>
      <c r="J141"/>
      <c r="K141"/>
      <c r="L141"/>
      <c r="M141"/>
    </row>
    <row r="142" spans="3:13">
      <c r="C142"/>
      <c r="D142"/>
      <c r="E142"/>
      <c r="F142"/>
      <c r="G142"/>
      <c r="H142"/>
      <c r="I142"/>
      <c r="J142"/>
      <c r="K142"/>
      <c r="L142"/>
      <c r="M142"/>
    </row>
    <row r="143" spans="3:13">
      <c r="C143"/>
      <c r="D143"/>
      <c r="E143"/>
      <c r="F143"/>
      <c r="G143"/>
      <c r="H143"/>
      <c r="I143"/>
      <c r="J143"/>
      <c r="K143"/>
      <c r="L143"/>
      <c r="M143"/>
    </row>
    <row r="144" spans="3:13">
      <c r="C144"/>
      <c r="D144"/>
      <c r="E144"/>
      <c r="F144"/>
      <c r="G144"/>
      <c r="H144"/>
      <c r="I144"/>
      <c r="J144"/>
      <c r="K144"/>
      <c r="L144"/>
      <c r="M144"/>
    </row>
    <row r="145" spans="3:13">
      <c r="C145"/>
      <c r="D145"/>
      <c r="E145"/>
      <c r="F145"/>
      <c r="G145"/>
      <c r="H145"/>
      <c r="I145"/>
      <c r="J145"/>
      <c r="K145"/>
      <c r="L145"/>
      <c r="M145"/>
    </row>
    <row r="146" spans="3:13">
      <c r="C146"/>
      <c r="D146"/>
      <c r="E146"/>
      <c r="F146"/>
      <c r="G146"/>
      <c r="H146"/>
      <c r="I146"/>
      <c r="J146"/>
      <c r="K146"/>
      <c r="L146"/>
      <c r="M146"/>
    </row>
    <row r="147" spans="3:13">
      <c r="C147"/>
      <c r="D147"/>
      <c r="E147"/>
      <c r="F147"/>
      <c r="G147"/>
      <c r="H147"/>
      <c r="I147"/>
      <c r="J147"/>
      <c r="K147"/>
      <c r="L147"/>
      <c r="M147"/>
    </row>
    <row r="148" spans="3:13">
      <c r="C148"/>
      <c r="D148"/>
      <c r="E148"/>
      <c r="F148"/>
      <c r="G148"/>
      <c r="H148"/>
      <c r="I148"/>
      <c r="J148"/>
      <c r="K148"/>
      <c r="L148"/>
      <c r="M148"/>
    </row>
    <row r="149" spans="3:13">
      <c r="C149"/>
      <c r="D149"/>
      <c r="E149"/>
      <c r="F149"/>
      <c r="G149"/>
      <c r="H149"/>
      <c r="I149"/>
      <c r="J149"/>
      <c r="K149"/>
      <c r="L149"/>
      <c r="M149"/>
    </row>
    <row r="150" spans="3:13">
      <c r="C150"/>
      <c r="D150"/>
      <c r="E150"/>
      <c r="F150"/>
      <c r="G150"/>
      <c r="H150"/>
      <c r="I150"/>
      <c r="J150"/>
      <c r="K150"/>
      <c r="L150"/>
      <c r="M150"/>
    </row>
    <row r="151" spans="3:13">
      <c r="C151"/>
      <c r="D151"/>
      <c r="E151"/>
      <c r="F151"/>
      <c r="G151"/>
      <c r="H151"/>
      <c r="I151"/>
      <c r="J151"/>
      <c r="K151"/>
      <c r="L151"/>
      <c r="M151"/>
    </row>
    <row r="152" spans="3:13">
      <c r="C152"/>
      <c r="D152"/>
      <c r="E152"/>
      <c r="F152"/>
      <c r="G152"/>
      <c r="H152"/>
      <c r="I152"/>
      <c r="J152"/>
      <c r="K152"/>
      <c r="L152"/>
      <c r="M152"/>
    </row>
    <row r="153" spans="3:13">
      <c r="C153"/>
      <c r="D153"/>
      <c r="E153"/>
      <c r="F153"/>
      <c r="G153"/>
      <c r="H153"/>
      <c r="I153"/>
      <c r="J153"/>
      <c r="K153"/>
      <c r="L153"/>
      <c r="M153"/>
    </row>
    <row r="154" spans="3:13">
      <c r="C154"/>
      <c r="D154"/>
      <c r="E154"/>
      <c r="F154"/>
      <c r="G154"/>
      <c r="H154"/>
      <c r="I154"/>
      <c r="J154"/>
      <c r="K154"/>
      <c r="L154"/>
      <c r="M154"/>
    </row>
    <row r="155" spans="3:13">
      <c r="C155"/>
      <c r="D155"/>
      <c r="E155"/>
      <c r="F155"/>
      <c r="G155"/>
      <c r="H155"/>
      <c r="I155"/>
      <c r="J155"/>
      <c r="K155"/>
      <c r="L155"/>
      <c r="M155"/>
    </row>
    <row r="156" spans="3:13">
      <c r="C156"/>
      <c r="D156"/>
      <c r="E156"/>
      <c r="F156"/>
      <c r="G156"/>
      <c r="H156"/>
      <c r="I156"/>
      <c r="J156"/>
      <c r="K156"/>
      <c r="L156"/>
      <c r="M156"/>
    </row>
    <row r="157" spans="3:13">
      <c r="C157"/>
      <c r="D157"/>
      <c r="E157"/>
      <c r="F157"/>
      <c r="G157"/>
      <c r="H157"/>
      <c r="I157"/>
      <c r="J157"/>
      <c r="K157"/>
      <c r="L157"/>
      <c r="M157"/>
    </row>
    <row r="158" spans="3:13">
      <c r="C158"/>
      <c r="D158"/>
      <c r="E158"/>
      <c r="F158"/>
      <c r="G158"/>
      <c r="H158"/>
      <c r="I158"/>
      <c r="J158"/>
      <c r="K158"/>
      <c r="L158"/>
      <c r="M158"/>
    </row>
    <row r="159" spans="3:13">
      <c r="C159"/>
      <c r="D159"/>
      <c r="E159"/>
      <c r="F159"/>
      <c r="G159"/>
      <c r="H159"/>
      <c r="I159"/>
      <c r="J159"/>
      <c r="K159"/>
      <c r="L159"/>
      <c r="M159"/>
    </row>
    <row r="160" spans="3:13">
      <c r="C160"/>
      <c r="D160"/>
      <c r="E160"/>
      <c r="F160"/>
      <c r="G160"/>
      <c r="H160"/>
      <c r="I160"/>
      <c r="J160"/>
      <c r="K160"/>
      <c r="L160"/>
      <c r="M160"/>
    </row>
    <row r="161" spans="3:13">
      <c r="C161"/>
      <c r="D161"/>
      <c r="E161"/>
      <c r="F161"/>
      <c r="G161"/>
      <c r="H161"/>
      <c r="I161"/>
      <c r="J161"/>
      <c r="K161"/>
      <c r="L161"/>
      <c r="M161"/>
    </row>
    <row r="162" spans="3:13">
      <c r="C162"/>
      <c r="D162"/>
      <c r="E162"/>
      <c r="F162"/>
      <c r="G162"/>
      <c r="H162"/>
      <c r="I162"/>
      <c r="J162"/>
      <c r="K162"/>
      <c r="L162"/>
      <c r="M162"/>
    </row>
    <row r="163" spans="3:13">
      <c r="C163"/>
      <c r="D163"/>
      <c r="E163"/>
      <c r="F163"/>
      <c r="G163"/>
      <c r="H163"/>
      <c r="I163"/>
      <c r="J163"/>
      <c r="K163"/>
      <c r="L163"/>
      <c r="M163"/>
    </row>
    <row r="164" spans="3:13">
      <c r="C164"/>
      <c r="D164"/>
      <c r="E164"/>
      <c r="F164"/>
      <c r="G164"/>
      <c r="H164"/>
      <c r="I164"/>
      <c r="J164"/>
      <c r="K164"/>
      <c r="L164"/>
      <c r="M164"/>
    </row>
    <row r="165" spans="3:13">
      <c r="C165"/>
      <c r="D165"/>
      <c r="E165"/>
      <c r="F165"/>
      <c r="G165"/>
      <c r="H165"/>
      <c r="I165"/>
      <c r="J165"/>
      <c r="K165"/>
      <c r="L165"/>
      <c r="M165"/>
    </row>
  </sheetData>
  <autoFilter ref="D5:D54" xr:uid="{4FD09BD0-63FB-4648-86E6-70B875C189AE}"/>
  <mergeCells count="19">
    <mergeCell ref="AR4:AU4"/>
    <mergeCell ref="W28:X28"/>
    <mergeCell ref="AR28:AS28"/>
    <mergeCell ref="AT28:AU28"/>
    <mergeCell ref="C2:D2"/>
    <mergeCell ref="A5:A54"/>
    <mergeCell ref="E56:P56"/>
    <mergeCell ref="E2:S2"/>
    <mergeCell ref="W4:AO4"/>
    <mergeCell ref="E4:S4"/>
    <mergeCell ref="D73:E73"/>
    <mergeCell ref="L60:N60"/>
    <mergeCell ref="L61:M61"/>
    <mergeCell ref="L62:M62"/>
    <mergeCell ref="L63:M63"/>
    <mergeCell ref="L64:M64"/>
    <mergeCell ref="L66:N66"/>
    <mergeCell ref="L67:N67"/>
    <mergeCell ref="D60:F60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9C285-A37B-47C7-9997-6699680B5FBF}">
  <sheetPr codeName="Hoja22">
    <tabColor rgb="FFFF0000"/>
    <pageSetUpPr fitToPage="1"/>
  </sheetPr>
  <dimension ref="A1:CM77"/>
  <sheetViews>
    <sheetView topLeftCell="B1" zoomScale="40" zoomScaleNormal="40" workbookViewId="0">
      <pane ySplit="5" topLeftCell="A6" activePane="bottomLeft" state="frozen"/>
      <selection activeCell="J38" sqref="J38:J39"/>
      <selection pane="bottomLeft" activeCell="I62" sqref="I62:I69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102.28515625" style="26" bestFit="1" customWidth="1"/>
    <col min="5" max="7" width="10.85546875" style="26" customWidth="1"/>
    <col min="8" max="8" width="15" style="26" bestFit="1" customWidth="1"/>
    <col min="9" max="9" width="14.28515625" style="26" customWidth="1"/>
    <col min="10" max="10" width="13.28515625" style="26" customWidth="1"/>
    <col min="11" max="11" width="13.85546875" style="26" customWidth="1"/>
    <col min="12" max="13" width="15.5703125" style="26" customWidth="1"/>
    <col min="14" max="14" width="13.7109375" style="26" customWidth="1"/>
    <col min="15" max="24" width="14.28515625" style="26" customWidth="1"/>
    <col min="25" max="27" width="30.85546875" style="26" customWidth="1"/>
    <col min="28" max="28" width="15.140625" style="26" customWidth="1"/>
    <col min="29" max="29" width="9.42578125" style="26" bestFit="1" customWidth="1"/>
    <col min="30" max="30" width="120.85546875" style="26" bestFit="1" customWidth="1"/>
    <col min="31" max="41" width="11.28515625" style="26" hidden="1" customWidth="1"/>
    <col min="42" max="45" width="11.28515625" style="26" customWidth="1"/>
    <col min="46" max="46" width="25.5703125" style="26" bestFit="1" customWidth="1"/>
    <col min="47" max="47" width="22.28515625" style="26" bestFit="1" customWidth="1"/>
    <col min="48" max="48" width="18.7109375" style="26" bestFit="1" customWidth="1"/>
    <col min="49" max="49" width="57.7109375" style="26" bestFit="1" customWidth="1"/>
    <col min="50" max="50" width="20.85546875" style="26" bestFit="1" customWidth="1"/>
    <col min="51" max="52" width="13.85546875" style="26" customWidth="1"/>
    <col min="53" max="53" width="8.7109375" style="26" customWidth="1"/>
    <col min="54" max="54" width="94" style="26" customWidth="1"/>
    <col min="55" max="55" width="21.140625" style="26" customWidth="1"/>
    <col min="56" max="56" width="16.5703125" style="26" customWidth="1"/>
    <col min="57" max="87" width="13.85546875" style="26" customWidth="1"/>
    <col min="88" max="88" width="12.140625" style="26" bestFit="1" customWidth="1"/>
    <col min="89" max="91" width="28.28515625" style="26" customWidth="1"/>
    <col min="92" max="16384" width="11.42578125" style="26"/>
  </cols>
  <sheetData>
    <row r="1" spans="1:61" ht="75" customHeight="1" thickBot="1">
      <c r="B1" s="37"/>
      <c r="C1" s="37"/>
      <c r="D1" s="43"/>
      <c r="E1" s="2539" t="s">
        <v>701</v>
      </c>
      <c r="F1" s="2539"/>
      <c r="G1" s="2539"/>
      <c r="H1" s="2539"/>
      <c r="I1" s="2539"/>
      <c r="J1" s="2539"/>
      <c r="K1" s="2539"/>
      <c r="L1" s="2539"/>
      <c r="M1" s="2539"/>
      <c r="N1" s="2539"/>
      <c r="O1" s="2539"/>
      <c r="P1" s="2539"/>
      <c r="Q1" s="2539"/>
      <c r="R1" s="2539"/>
      <c r="S1" s="2539"/>
      <c r="T1" s="2539"/>
      <c r="U1" s="2539"/>
      <c r="V1" s="2539"/>
      <c r="W1" s="2539"/>
      <c r="X1" s="2539"/>
      <c r="Y1" s="2539"/>
      <c r="Z1" s="2539"/>
      <c r="AA1" s="2539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</row>
    <row r="2" spans="1:61" ht="46.5" thickBot="1">
      <c r="B2" s="38"/>
      <c r="C2" s="2266" t="s">
        <v>41</v>
      </c>
      <c r="D2" s="2267"/>
      <c r="E2" s="2502" t="str">
        <f>+PP!E13</f>
        <v>1055PPF26062026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69"/>
      <c r="Q2" s="2269"/>
      <c r="R2" s="2269"/>
      <c r="S2" s="2269"/>
      <c r="T2" s="2269"/>
      <c r="U2" s="2269"/>
      <c r="V2" s="2269"/>
      <c r="W2" s="2269"/>
      <c r="X2" s="2269"/>
      <c r="Y2" s="2269"/>
      <c r="Z2" s="2269"/>
      <c r="AA2" s="2270"/>
      <c r="AB2" s="38"/>
      <c r="AC2" s="38"/>
      <c r="AD2" s="38"/>
      <c r="AE2" s="38"/>
      <c r="AF2" s="38"/>
      <c r="AG2" s="38"/>
      <c r="AH2" s="38"/>
      <c r="AI2" s="38"/>
      <c r="AJ2" s="38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</row>
    <row r="3" spans="1:61" ht="17.25" thickBot="1">
      <c r="C3" s="28"/>
      <c r="BG3" s="28"/>
      <c r="BH3" s="28"/>
      <c r="BI3" s="28"/>
    </row>
    <row r="4" spans="1:61" ht="38.25" customHeight="1" thickBot="1">
      <c r="C4" s="28"/>
      <c r="E4" s="2510" t="s">
        <v>112</v>
      </c>
      <c r="F4" s="2511"/>
      <c r="G4" s="2511"/>
      <c r="H4" s="2511"/>
      <c r="I4" s="2511"/>
      <c r="J4" s="2511"/>
      <c r="K4" s="2511"/>
      <c r="L4" s="2511"/>
      <c r="M4" s="2511"/>
      <c r="N4" s="2511"/>
      <c r="O4" s="2511"/>
      <c r="P4" s="2511"/>
      <c r="Q4" s="2511"/>
      <c r="R4" s="2511"/>
      <c r="S4" s="2511"/>
      <c r="T4" s="2511"/>
      <c r="U4" s="2511"/>
      <c r="V4" s="2511"/>
      <c r="W4" s="2511"/>
      <c r="X4" s="2512"/>
      <c r="AC4" s="2540" t="s">
        <v>643</v>
      </c>
      <c r="AD4" s="2541"/>
      <c r="AE4" s="2541"/>
      <c r="AF4" s="2541"/>
      <c r="AG4" s="2541"/>
      <c r="AH4" s="2541"/>
      <c r="AI4" s="2541"/>
      <c r="AJ4" s="2541"/>
      <c r="AK4" s="2541"/>
      <c r="AL4" s="2541"/>
      <c r="AM4" s="2541"/>
      <c r="AN4" s="2541"/>
      <c r="AO4" s="2541"/>
      <c r="AP4" s="2541"/>
      <c r="AQ4" s="2541"/>
      <c r="AR4" s="2541"/>
      <c r="AS4" s="2541"/>
      <c r="AT4" s="2541"/>
      <c r="AU4" s="2541"/>
      <c r="AV4" s="2541"/>
      <c r="AW4" s="2541"/>
      <c r="AX4" s="2542"/>
      <c r="BA4" s="2513" t="s">
        <v>511</v>
      </c>
      <c r="BB4" s="2514"/>
      <c r="BC4" s="2514"/>
      <c r="BD4" s="2515"/>
      <c r="BG4" s="28"/>
      <c r="BH4" s="28"/>
      <c r="BI4" s="28"/>
    </row>
    <row r="5" spans="1:61" ht="102" thickBot="1">
      <c r="A5" s="2257"/>
      <c r="C5" s="543" t="s">
        <v>15</v>
      </c>
      <c r="D5" s="485" t="s">
        <v>6</v>
      </c>
      <c r="E5" s="486" t="s">
        <v>349</v>
      </c>
      <c r="F5" s="486" t="s">
        <v>350</v>
      </c>
      <c r="G5" s="486" t="s">
        <v>351</v>
      </c>
      <c r="H5" s="486" t="s">
        <v>352</v>
      </c>
      <c r="I5" s="486" t="s">
        <v>353</v>
      </c>
      <c r="J5" s="486" t="s">
        <v>354</v>
      </c>
      <c r="K5" s="486" t="s">
        <v>355</v>
      </c>
      <c r="L5" s="486" t="s">
        <v>356</v>
      </c>
      <c r="M5" s="486" t="s">
        <v>357</v>
      </c>
      <c r="N5" s="486" t="s">
        <v>325</v>
      </c>
      <c r="O5" s="486" t="s">
        <v>326</v>
      </c>
      <c r="P5" s="486" t="s">
        <v>327</v>
      </c>
      <c r="Q5" s="486" t="s">
        <v>328</v>
      </c>
      <c r="R5" s="486" t="s">
        <v>329</v>
      </c>
      <c r="S5" s="486" t="s">
        <v>330</v>
      </c>
      <c r="T5" s="486" t="s">
        <v>331</v>
      </c>
      <c r="U5" s="486" t="s">
        <v>332</v>
      </c>
      <c r="V5" s="486" t="s">
        <v>333</v>
      </c>
      <c r="W5" s="486" t="s">
        <v>334</v>
      </c>
      <c r="X5" s="486" t="s">
        <v>343</v>
      </c>
      <c r="Y5" s="487" t="s">
        <v>108</v>
      </c>
      <c r="Z5" s="60" t="s">
        <v>107</v>
      </c>
      <c r="AA5" s="61" t="s">
        <v>3</v>
      </c>
      <c r="AC5" s="1158" t="s">
        <v>15</v>
      </c>
      <c r="AD5" s="1159" t="s">
        <v>6</v>
      </c>
      <c r="AE5" s="1164" t="s">
        <v>349</v>
      </c>
      <c r="AF5" s="1164" t="s">
        <v>350</v>
      </c>
      <c r="AG5" s="1164" t="s">
        <v>351</v>
      </c>
      <c r="AH5" s="1164" t="s">
        <v>352</v>
      </c>
      <c r="AI5" s="1164" t="s">
        <v>353</v>
      </c>
      <c r="AJ5" s="1164" t="s">
        <v>354</v>
      </c>
      <c r="AK5" s="1164" t="s">
        <v>355</v>
      </c>
      <c r="AL5" s="1164" t="s">
        <v>356</v>
      </c>
      <c r="AM5" s="1164" t="s">
        <v>357</v>
      </c>
      <c r="AN5" s="1164" t="s">
        <v>325</v>
      </c>
      <c r="AO5" s="1164" t="s">
        <v>326</v>
      </c>
      <c r="AP5" s="1164" t="s">
        <v>327</v>
      </c>
      <c r="AQ5" s="1164" t="s">
        <v>328</v>
      </c>
      <c r="AR5" s="1164" t="s">
        <v>329</v>
      </c>
      <c r="AS5" s="1164" t="s">
        <v>330</v>
      </c>
      <c r="AT5" s="1164" t="s">
        <v>502</v>
      </c>
      <c r="AU5" s="1164" t="s">
        <v>503</v>
      </c>
      <c r="AV5" s="1164" t="s">
        <v>8</v>
      </c>
      <c r="AW5" s="1165" t="s">
        <v>505</v>
      </c>
      <c r="AX5" s="1158" t="s">
        <v>511</v>
      </c>
      <c r="BA5" s="488" t="s">
        <v>15</v>
      </c>
      <c r="BB5" s="488" t="s">
        <v>6</v>
      </c>
      <c r="BC5" s="488" t="s">
        <v>8</v>
      </c>
      <c r="BD5" s="488" t="s">
        <v>513</v>
      </c>
    </row>
    <row r="6" spans="1:61" ht="45.75">
      <c r="A6" s="2257"/>
      <c r="C6" s="41">
        <f>+PP!B24</f>
        <v>1</v>
      </c>
      <c r="D6" s="259" t="str">
        <f>+PP!C24</f>
        <v>ANILLAS BLANCAS SM ST</v>
      </c>
      <c r="E6" s="211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/>
      <c r="R6" s="212"/>
      <c r="S6" s="212"/>
      <c r="T6" s="212"/>
      <c r="U6" s="212"/>
      <c r="V6" s="212"/>
      <c r="W6" s="212"/>
      <c r="X6" s="231"/>
      <c r="Y6" s="489">
        <f>SUM(E6:X6)</f>
        <v>0</v>
      </c>
      <c r="Z6" s="148">
        <f t="shared" ref="Z6:Z39" si="0">Y6/2</f>
        <v>0</v>
      </c>
      <c r="AA6" s="490">
        <f>+Y6*10</f>
        <v>0</v>
      </c>
      <c r="AC6" s="1160" t="str" cm="1">
        <f t="array" ref="AC6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),"")</f>
        <v/>
      </c>
      <c r="AD6" s="1168" t="str" cm="1">
        <f t="array" ref="AD6">IF($AC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),""))</f>
        <v/>
      </c>
      <c r="AE6" s="1491" t="str" cm="1">
        <f t="array" ref="AE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1),""),""))</f>
        <v/>
      </c>
      <c r="AF6" s="1491" t="str" cm="1">
        <f t="array" ref="AF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2),""),""))</f>
        <v/>
      </c>
      <c r="AG6" s="1491" t="str" cm="1">
        <f t="array" ref="AG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3),""),""))</f>
        <v/>
      </c>
      <c r="AH6" s="1491" t="str" cm="1">
        <f t="array" ref="AH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4),""),""))</f>
        <v/>
      </c>
      <c r="AI6" s="1491" t="str" cm="1">
        <f t="array" ref="AI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5),""),""))</f>
        <v/>
      </c>
      <c r="AJ6" s="1491" t="str" cm="1">
        <f t="array" ref="AJ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6),""),""))</f>
        <v/>
      </c>
      <c r="AK6" s="1491" t="str" cm="1">
        <f t="array" ref="AK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7),""),""))</f>
        <v/>
      </c>
      <c r="AL6" s="1491" t="str" cm="1">
        <f t="array" ref="AL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8),""),""))</f>
        <v/>
      </c>
      <c r="AM6" s="1491" t="str" cm="1">
        <f t="array" ref="AM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9),""),""))</f>
        <v/>
      </c>
      <c r="AN6" s="1491" t="str" cm="1">
        <f t="array" ref="AN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10),""),""))</f>
        <v/>
      </c>
      <c r="AO6" s="1491" t="str" cm="1">
        <f t="array" ref="AO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11),""),""))</f>
        <v/>
      </c>
      <c r="AP6" s="1491" t="str" cm="1">
        <f t="array" ref="AP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12),""),""))</f>
        <v/>
      </c>
      <c r="AQ6" s="1491" t="str" cm="1">
        <f t="array" ref="AQ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13),""),""))</f>
        <v/>
      </c>
      <c r="AR6" s="1491" t="str" cm="1">
        <f t="array" ref="AR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14),""),""))</f>
        <v/>
      </c>
      <c r="AS6" s="1491" t="str" cm="1">
        <f t="array" ref="AS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15),""),""))</f>
        <v/>
      </c>
      <c r="AT6" s="1166" t="str">
        <f t="shared" ref="AT6:AT27" si="1">IF($AC6="","",SUM($AE6:$AS6))</f>
        <v/>
      </c>
      <c r="AU6" s="1166" t="str">
        <f t="shared" ref="AU6:AU27" si="2">IF($AC6="","",$AT6/2)</f>
        <v/>
      </c>
      <c r="AV6" s="1166" t="str">
        <f t="shared" ref="AV6:AV27" si="3">IF($AC6="","",$AT6*10)</f>
        <v/>
      </c>
      <c r="AW6" s="1166" t="str">
        <f t="shared" ref="AW6:AW27" si="4">IF($AC6="","",IF(MAX($AE6:$AS6)&gt;50,"REVISIÓN: EXCEDE 50","OK"))</f>
        <v/>
      </c>
      <c r="AX6" s="1161" t="str">
        <f t="shared" ref="AX6:AX27" si="5">IF($AC6="","",IF(MOD($AV6,20)=10,"SÍ","NO"))</f>
        <v/>
      </c>
      <c r="BA6" s="494" t="str">
        <f>IFERROR(INDEX($C$6:$C$53,_xlfn.AGGREGATE(15,6,(ROW($Y$6:$Y$53)-ROW($Y$6)+1)/(($Y$6:$Y$53&gt;0)*(MOD($AA$6:$AA$53,20)=10)),1)),"")</f>
        <v/>
      </c>
      <c r="BB6" s="495" t="str">
        <f>IF($BA6="","",IFERROR(INDEX($D$6:$D$53,_xlfn.AGGREGATE(15,6,(ROW($Y$6:$Y$53)-ROW($Y$6)+1)/(($Y$6:$Y$53&gt;0)*(MOD($AA$6:$AA$53,20)=10)),1)),""))</f>
        <v/>
      </c>
      <c r="BC6" s="496" t="str">
        <f>IF($BA6="","",IFERROR(INDEX($AA$6:$AA$53,_xlfn.AGGREGATE(15,6,(ROW($Y$6:$Y$53)-ROW($Y$6)+1)/(($Y$6:$Y$53&gt;0)*(MOD($AA$6:$AA$53,20)=10)),1)),""))</f>
        <v/>
      </c>
      <c r="BD6" s="497" t="str">
        <f t="shared" ref="BD6:BD27" si="6">IF($BA6="","","10 KG")</f>
        <v/>
      </c>
    </row>
    <row r="7" spans="1:61" ht="45.75">
      <c r="A7" s="2257"/>
      <c r="C7" s="42">
        <f>+PP!B25</f>
        <v>2</v>
      </c>
      <c r="D7" s="1020" t="str">
        <f>+PP!C25</f>
        <v>ANILLAS AMARILLAS SM ST</v>
      </c>
      <c r="E7" s="217"/>
      <c r="F7" s="530"/>
      <c r="G7" s="258"/>
      <c r="H7" s="258"/>
      <c r="I7" s="258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60"/>
      <c r="Y7" s="498">
        <f t="shared" ref="Y7:Y53" si="7">SUM(E7:X7)</f>
        <v>0</v>
      </c>
      <c r="Z7" s="149">
        <f t="shared" si="0"/>
        <v>0</v>
      </c>
      <c r="AA7" s="146">
        <f t="shared" ref="AA7:AA39" si="8">+Y7*10</f>
        <v>0</v>
      </c>
      <c r="AC7" s="1162" t="str" cm="1">
        <f t="array" ref="AC7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),"")</f>
        <v/>
      </c>
      <c r="AD7" s="1169" t="str" cm="1">
        <f t="array" ref="AD7">IF($AC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),""))</f>
        <v/>
      </c>
      <c r="AE7" s="1492" t="str" cm="1">
        <f t="array" ref="AE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1),""),""))</f>
        <v/>
      </c>
      <c r="AF7" s="1492" t="str" cm="1">
        <f t="array" ref="AF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2),""),""))</f>
        <v/>
      </c>
      <c r="AG7" s="1492" t="str" cm="1">
        <f t="array" ref="AG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3),""),""))</f>
        <v/>
      </c>
      <c r="AH7" s="1492" t="str" cm="1">
        <f t="array" ref="AH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4),""),""))</f>
        <v/>
      </c>
      <c r="AI7" s="1492" t="str" cm="1">
        <f t="array" ref="AI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5),""),""))</f>
        <v/>
      </c>
      <c r="AJ7" s="1492" t="str" cm="1">
        <f t="array" ref="AJ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6),""),""))</f>
        <v/>
      </c>
      <c r="AK7" s="1492" t="str" cm="1">
        <f t="array" ref="AK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7),""),""))</f>
        <v/>
      </c>
      <c r="AL7" s="1492" t="str" cm="1">
        <f t="array" ref="AL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8),""),""))</f>
        <v/>
      </c>
      <c r="AM7" s="1492" t="str" cm="1">
        <f t="array" ref="AM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9),""),""))</f>
        <v/>
      </c>
      <c r="AN7" s="1492" t="str" cm="1">
        <f t="array" ref="AN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10),""),""))</f>
        <v/>
      </c>
      <c r="AO7" s="1492" t="str" cm="1">
        <f t="array" ref="AO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11),""),""))</f>
        <v/>
      </c>
      <c r="AP7" s="1492" t="str" cm="1">
        <f t="array" ref="AP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12),""),""))</f>
        <v/>
      </c>
      <c r="AQ7" s="1492" t="str" cm="1">
        <f t="array" ref="AQ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13),""),""))</f>
        <v/>
      </c>
      <c r="AR7" s="1492" t="str" cm="1">
        <f t="array" ref="AR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14),""),""))</f>
        <v/>
      </c>
      <c r="AS7" s="1492" t="str" cm="1">
        <f t="array" ref="AS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15),""),""))</f>
        <v/>
      </c>
      <c r="AT7" s="1167" t="str">
        <f t="shared" si="1"/>
        <v/>
      </c>
      <c r="AU7" s="1167" t="str">
        <f t="shared" si="2"/>
        <v/>
      </c>
      <c r="AV7" s="1167" t="str">
        <f t="shared" si="3"/>
        <v/>
      </c>
      <c r="AW7" s="1167" t="str">
        <f t="shared" si="4"/>
        <v/>
      </c>
      <c r="AX7" s="1163" t="str">
        <f t="shared" si="5"/>
        <v/>
      </c>
      <c r="BA7" s="502" t="str">
        <f>IFERROR(INDEX($C$6:$C$53,_xlfn.AGGREGATE(15,6,(ROW($Y$6:$Y$53)-ROW($Y$6)+1)/(($Y$6:$Y$53&gt;0)*(MOD($AA$6:$AA$53,20)=10)),2)),"")</f>
        <v/>
      </c>
      <c r="BB7" s="503" t="str">
        <f>IF($BA7="","",IFERROR(INDEX($D$6:$D$53,_xlfn.AGGREGATE(15,6,(ROW($Y$6:$Y$53)-ROW($Y$6)+1)/(($Y$6:$Y$53&gt;0)*(MOD($AA$6:$AA$53,20)=10)),2)),""))</f>
        <v/>
      </c>
      <c r="BC7" s="504" t="str">
        <f>IF($BA7="","",IFERROR(INDEX($AA$6:$AA$53,_xlfn.AGGREGATE(15,6,(ROW($Y$6:$Y$53)-ROW($Y$6)+1)/(($Y$6:$Y$53&gt;0)*(MOD($AA$6:$AA$53,20)=10)),2)),""))</f>
        <v/>
      </c>
      <c r="BD7" s="505" t="str">
        <f t="shared" si="6"/>
        <v/>
      </c>
    </row>
    <row r="8" spans="1:61" ht="46.5" thickBot="1">
      <c r="A8" s="2257"/>
      <c r="C8" s="40">
        <f>+PP!B26</f>
        <v>3</v>
      </c>
      <c r="D8" s="1021" t="str">
        <f>+PP!C26</f>
        <v>ANILLAS BLANCAS SM ST MEDIANA</v>
      </c>
      <c r="E8" s="214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73"/>
      <c r="Y8" s="506">
        <f t="shared" si="7"/>
        <v>0</v>
      </c>
      <c r="Z8" s="150">
        <f t="shared" si="0"/>
        <v>0</v>
      </c>
      <c r="AA8" s="507">
        <f t="shared" si="8"/>
        <v>0</v>
      </c>
      <c r="AC8" s="1162" t="str" cm="1">
        <f t="array" ref="AC8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),"")</f>
        <v/>
      </c>
      <c r="AD8" s="1169" t="str" cm="1">
        <f t="array" ref="AD8">IF($AC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),""))</f>
        <v/>
      </c>
      <c r="AE8" s="1492" t="str" cm="1">
        <f t="array" ref="AE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1),""),""))</f>
        <v/>
      </c>
      <c r="AF8" s="1492" t="str" cm="1">
        <f t="array" ref="AF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2),""),""))</f>
        <v/>
      </c>
      <c r="AG8" s="1492" t="str" cm="1">
        <f t="array" ref="AG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3),""),""))</f>
        <v/>
      </c>
      <c r="AH8" s="1492" t="str" cm="1">
        <f t="array" ref="AH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4),""),""))</f>
        <v/>
      </c>
      <c r="AI8" s="1492" t="str" cm="1">
        <f t="array" ref="AI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5),""),""))</f>
        <v/>
      </c>
      <c r="AJ8" s="1492" t="str" cm="1">
        <f t="array" ref="AJ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6),""),""))</f>
        <v/>
      </c>
      <c r="AK8" s="1492" t="str" cm="1">
        <f t="array" ref="AK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7),""),""))</f>
        <v/>
      </c>
      <c r="AL8" s="1492" t="str" cm="1">
        <f t="array" ref="AL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8),""),""))</f>
        <v/>
      </c>
      <c r="AM8" s="1492" t="str" cm="1">
        <f t="array" ref="AM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9),""),""))</f>
        <v/>
      </c>
      <c r="AN8" s="1492" t="str" cm="1">
        <f t="array" ref="AN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10),""),""))</f>
        <v/>
      </c>
      <c r="AO8" s="1492" t="str" cm="1">
        <f t="array" ref="AO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11),""),""))</f>
        <v/>
      </c>
      <c r="AP8" s="1492" t="str" cm="1">
        <f t="array" ref="AP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12),""),""))</f>
        <v/>
      </c>
      <c r="AQ8" s="1492" t="str" cm="1">
        <f t="array" ref="AQ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13),""),""))</f>
        <v/>
      </c>
      <c r="AR8" s="1492" t="str" cm="1">
        <f t="array" ref="AR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14),""),""))</f>
        <v/>
      </c>
      <c r="AS8" s="1492" t="str" cm="1">
        <f t="array" ref="AS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15),""),""))</f>
        <v/>
      </c>
      <c r="AT8" s="1167" t="str">
        <f t="shared" si="1"/>
        <v/>
      </c>
      <c r="AU8" s="1167" t="str">
        <f t="shared" si="2"/>
        <v/>
      </c>
      <c r="AV8" s="1167" t="str">
        <f t="shared" si="3"/>
        <v/>
      </c>
      <c r="AW8" s="1167" t="str">
        <f t="shared" si="4"/>
        <v/>
      </c>
      <c r="AX8" s="1163" t="str">
        <f t="shared" si="5"/>
        <v/>
      </c>
      <c r="BA8" s="502" t="str">
        <f>IFERROR(INDEX($C$6:$C$53,_xlfn.AGGREGATE(15,6,(ROW($Y$6:$Y$53)-ROW($Y$6)+1)/(($Y$6:$Y$53&gt;0)*(MOD($AA$6:$AA$53,20)=10)),3)),"")</f>
        <v/>
      </c>
      <c r="BB8" s="503" t="str">
        <f>IF($BA8="","",IFERROR(INDEX($D$6:$D$53,_xlfn.AGGREGATE(15,6,(ROW($Y$6:$Y$53)-ROW($Y$6)+1)/(($Y$6:$Y$53&gt;0)*(MOD($AA$6:$AA$53,20)=10)),3)),""))</f>
        <v/>
      </c>
      <c r="BC8" s="504" t="str">
        <f>IF($BA8="","",IFERROR(INDEX($AA$6:$AA$53,_xlfn.AGGREGATE(15,6,(ROW($Y$6:$Y$53)-ROW($Y$6)+1)/(($Y$6:$Y$53&gt;0)*(MOD($AA$6:$AA$53,20)=10)),3)),""))</f>
        <v/>
      </c>
      <c r="BD8" s="505" t="str">
        <f t="shared" si="6"/>
        <v/>
      </c>
    </row>
    <row r="9" spans="1:61" ht="45.75">
      <c r="A9" s="2257"/>
      <c r="C9" s="41">
        <f>+PP!B27</f>
        <v>4</v>
      </c>
      <c r="D9" s="259" t="str">
        <f>+PP!C27</f>
        <v>ALETA FRESCA CORTE CRUZ</v>
      </c>
      <c r="E9" s="211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12"/>
      <c r="W9" s="212"/>
      <c r="X9" s="231"/>
      <c r="Y9" s="508">
        <f t="shared" si="7"/>
        <v>0</v>
      </c>
      <c r="Z9" s="148">
        <f t="shared" si="0"/>
        <v>0</v>
      </c>
      <c r="AA9" s="145">
        <f t="shared" si="8"/>
        <v>0</v>
      </c>
      <c r="AC9" s="1162" t="str" cm="1">
        <f t="array" ref="AC9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),"")</f>
        <v/>
      </c>
      <c r="AD9" s="1169" t="str" cm="1">
        <f t="array" ref="AD9">IF($AC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),""))</f>
        <v/>
      </c>
      <c r="AE9" s="1492" t="str" cm="1">
        <f t="array" ref="AE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1),""),""))</f>
        <v/>
      </c>
      <c r="AF9" s="1492" t="str" cm="1">
        <f t="array" ref="AF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2),""),""))</f>
        <v/>
      </c>
      <c r="AG9" s="1492" t="str" cm="1">
        <f t="array" ref="AG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3),""),""))</f>
        <v/>
      </c>
      <c r="AH9" s="1492" t="str" cm="1">
        <f t="array" ref="AH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4),""),""))</f>
        <v/>
      </c>
      <c r="AI9" s="1492" t="str" cm="1">
        <f t="array" ref="AI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5),""),""))</f>
        <v/>
      </c>
      <c r="AJ9" s="1492" t="str" cm="1">
        <f t="array" ref="AJ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6),""),""))</f>
        <v/>
      </c>
      <c r="AK9" s="1492" t="str" cm="1">
        <f t="array" ref="AK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7),""),""))</f>
        <v/>
      </c>
      <c r="AL9" s="1492" t="str" cm="1">
        <f t="array" ref="AL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8),""),""))</f>
        <v/>
      </c>
      <c r="AM9" s="1492" t="str" cm="1">
        <f t="array" ref="AM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9),""),""))</f>
        <v/>
      </c>
      <c r="AN9" s="1492" t="str" cm="1">
        <f t="array" ref="AN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10),""),""))</f>
        <v/>
      </c>
      <c r="AO9" s="1492" t="str" cm="1">
        <f t="array" ref="AO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11),""),""))</f>
        <v/>
      </c>
      <c r="AP9" s="1492" t="str" cm="1">
        <f t="array" ref="AP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12),""),""))</f>
        <v/>
      </c>
      <c r="AQ9" s="1492" t="str" cm="1">
        <f t="array" ref="AQ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13),""),""))</f>
        <v/>
      </c>
      <c r="AR9" s="1492" t="str" cm="1">
        <f t="array" ref="AR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14),""),""))</f>
        <v/>
      </c>
      <c r="AS9" s="1492" t="str" cm="1">
        <f t="array" ref="AS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15),""),""))</f>
        <v/>
      </c>
      <c r="AT9" s="1167" t="str">
        <f t="shared" si="1"/>
        <v/>
      </c>
      <c r="AU9" s="1167" t="str">
        <f t="shared" si="2"/>
        <v/>
      </c>
      <c r="AV9" s="1167" t="str">
        <f t="shared" si="3"/>
        <v/>
      </c>
      <c r="AW9" s="1167" t="str">
        <f t="shared" si="4"/>
        <v/>
      </c>
      <c r="AX9" s="1163" t="str">
        <f t="shared" si="5"/>
        <v/>
      </c>
      <c r="BA9" s="502" t="str">
        <f>IFERROR(INDEX($C$6:$C$53,_xlfn.AGGREGATE(15,6,(ROW($Y$6:$Y$53)-ROW($Y$6)+1)/(($Y$6:$Y$53&gt;0)*(MOD($AA$6:$AA$53,20)=10)),4)),"")</f>
        <v/>
      </c>
      <c r="BB9" s="503" t="str">
        <f>IF($BA9="","",IFERROR(INDEX($D$6:$D$53,_xlfn.AGGREGATE(15,6,(ROW($Y$6:$Y$53)-ROW($Y$6)+1)/(($Y$6:$Y$53&gt;0)*(MOD($AA$6:$AA$53,20)=10)),4)),""))</f>
        <v/>
      </c>
      <c r="BC9" s="504" t="str">
        <f>IF($BA9="","",IFERROR(INDEX($AA$6:$AA$53,_xlfn.AGGREGATE(15,6,(ROW($Y$6:$Y$53)-ROW($Y$6)+1)/(($Y$6:$Y$53&gt;0)*(MOD($AA$6:$AA$53,20)=10)),4)),""))</f>
        <v/>
      </c>
      <c r="BD9" s="505" t="str">
        <f t="shared" si="6"/>
        <v/>
      </c>
    </row>
    <row r="10" spans="1:61" ht="45.75">
      <c r="A10" s="2257"/>
      <c r="C10" s="42">
        <f>+PP!B28</f>
        <v>5</v>
      </c>
      <c r="D10" s="1020" t="str">
        <f>+PP!C28</f>
        <v>ALETA ENTERA 100-500 g/pza</v>
      </c>
      <c r="E10" s="217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76"/>
      <c r="Y10" s="508">
        <f t="shared" si="7"/>
        <v>0</v>
      </c>
      <c r="Z10" s="149">
        <f t="shared" si="0"/>
        <v>0</v>
      </c>
      <c r="AA10" s="146">
        <f t="shared" si="8"/>
        <v>0</v>
      </c>
      <c r="AC10" s="1162" t="str" cm="1">
        <f t="array" ref="AC10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),"")</f>
        <v/>
      </c>
      <c r="AD10" s="1169" t="str" cm="1">
        <f t="array" ref="AD10">IF($AC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),""))</f>
        <v/>
      </c>
      <c r="AE10" s="1492" t="str" cm="1">
        <f t="array" ref="AE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1),""),""))</f>
        <v/>
      </c>
      <c r="AF10" s="1492" t="str" cm="1">
        <f t="array" ref="AF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2),""),""))</f>
        <v/>
      </c>
      <c r="AG10" s="1492" t="str" cm="1">
        <f t="array" ref="AG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3),""),""))</f>
        <v/>
      </c>
      <c r="AH10" s="1492" t="str" cm="1">
        <f t="array" ref="AH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4),""),""))</f>
        <v/>
      </c>
      <c r="AI10" s="1492" t="str" cm="1">
        <f t="array" ref="AI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5),""),""))</f>
        <v/>
      </c>
      <c r="AJ10" s="1492" t="str" cm="1">
        <f t="array" ref="AJ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6),""),""))</f>
        <v/>
      </c>
      <c r="AK10" s="1492" t="str" cm="1">
        <f t="array" ref="AK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7),""),""))</f>
        <v/>
      </c>
      <c r="AL10" s="1492" t="str" cm="1">
        <f t="array" ref="AL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8),""),""))</f>
        <v/>
      </c>
      <c r="AM10" s="1492" t="str" cm="1">
        <f t="array" ref="AM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9),""),""))</f>
        <v/>
      </c>
      <c r="AN10" s="1492" t="str" cm="1">
        <f t="array" ref="AN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10),""),""))</f>
        <v/>
      </c>
      <c r="AO10" s="1492" t="str" cm="1">
        <f t="array" ref="AO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11),""),""))</f>
        <v/>
      </c>
      <c r="AP10" s="1492" t="str" cm="1">
        <f t="array" ref="AP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12),""),""))</f>
        <v/>
      </c>
      <c r="AQ10" s="1492" t="str" cm="1">
        <f t="array" ref="AQ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13),""),""))</f>
        <v/>
      </c>
      <c r="AR10" s="1492" t="str" cm="1">
        <f t="array" ref="AR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14),""),""))</f>
        <v/>
      </c>
      <c r="AS10" s="1492" t="str" cm="1">
        <f t="array" ref="AS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15),""),""))</f>
        <v/>
      </c>
      <c r="AT10" s="1167" t="str">
        <f t="shared" si="1"/>
        <v/>
      </c>
      <c r="AU10" s="1167" t="str">
        <f t="shared" si="2"/>
        <v/>
      </c>
      <c r="AV10" s="1167" t="str">
        <f t="shared" si="3"/>
        <v/>
      </c>
      <c r="AW10" s="1167" t="str">
        <f t="shared" si="4"/>
        <v/>
      </c>
      <c r="AX10" s="1163" t="str">
        <f t="shared" si="5"/>
        <v/>
      </c>
      <c r="BA10" s="502" t="str">
        <f>IFERROR(INDEX($C$6:$C$53,_xlfn.AGGREGATE(15,6,(ROW($Y$6:$Y$53)-ROW($Y$6)+1)/(($Y$6:$Y$53&gt;0)*(MOD($AA$6:$AA$53,20)=10)),5)),"")</f>
        <v/>
      </c>
      <c r="BB10" s="503" t="str">
        <f>IF($BA10="","",IFERROR(INDEX($D$6:$D$53,_xlfn.AGGREGATE(15,6,(ROW($Y$6:$Y$53)-ROW($Y$6)+1)/(($Y$6:$Y$53&gt;0)*(MOD($AA$6:$AA$53,20)=10)),5)),""))</f>
        <v/>
      </c>
      <c r="BC10" s="504" t="str">
        <f>IF($BA10="","",IFERROR(INDEX($AA$6:$AA$53,_xlfn.AGGREGATE(15,6,(ROW($Y$6:$Y$53)-ROW($Y$6)+1)/(($Y$6:$Y$53&gt;0)*(MOD($AA$6:$AA$53,20)=10)),5)),""))</f>
        <v/>
      </c>
      <c r="BD10" s="505" t="str">
        <f t="shared" si="6"/>
        <v/>
      </c>
    </row>
    <row r="11" spans="1:61" ht="45.75">
      <c r="A11" s="2257"/>
      <c r="C11" s="42">
        <f>+PP!B29</f>
        <v>6</v>
      </c>
      <c r="D11" s="1020" t="str">
        <f>+PP!C29</f>
        <v>ALETA ENTERA 500-1000 g/pza</v>
      </c>
      <c r="E11" s="217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76"/>
      <c r="Y11" s="508">
        <f t="shared" si="7"/>
        <v>0</v>
      </c>
      <c r="Z11" s="149">
        <f t="shared" si="0"/>
        <v>0</v>
      </c>
      <c r="AA11" s="146">
        <f t="shared" si="8"/>
        <v>0</v>
      </c>
      <c r="AC11" s="1162" t="str" cm="1">
        <f t="array" ref="AC11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),"")</f>
        <v/>
      </c>
      <c r="AD11" s="1169" t="str" cm="1">
        <f t="array" ref="AD11">IF($AC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),""))</f>
        <v/>
      </c>
      <c r="AE11" s="1492" t="str" cm="1">
        <f t="array" ref="AE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1),""),""))</f>
        <v/>
      </c>
      <c r="AF11" s="1492" t="str" cm="1">
        <f t="array" ref="AF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2),""),""))</f>
        <v/>
      </c>
      <c r="AG11" s="1492" t="str" cm="1">
        <f t="array" ref="AG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3),""),""))</f>
        <v/>
      </c>
      <c r="AH11" s="1492" t="str" cm="1">
        <f t="array" ref="AH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4),""),""))</f>
        <v/>
      </c>
      <c r="AI11" s="1492" t="str" cm="1">
        <f t="array" ref="AI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5),""),""))</f>
        <v/>
      </c>
      <c r="AJ11" s="1492" t="str" cm="1">
        <f t="array" ref="AJ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6),""),""))</f>
        <v/>
      </c>
      <c r="AK11" s="1492" t="str" cm="1">
        <f t="array" ref="AK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7),""),""))</f>
        <v/>
      </c>
      <c r="AL11" s="1492" t="str" cm="1">
        <f t="array" ref="AL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8),""),""))</f>
        <v/>
      </c>
      <c r="AM11" s="1492" t="str" cm="1">
        <f t="array" ref="AM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9),""),""))</f>
        <v/>
      </c>
      <c r="AN11" s="1492" t="str" cm="1">
        <f t="array" ref="AN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10),""),""))</f>
        <v/>
      </c>
      <c r="AO11" s="1492" t="str" cm="1">
        <f t="array" ref="AO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11),""),""))</f>
        <v/>
      </c>
      <c r="AP11" s="1492" t="str" cm="1">
        <f t="array" ref="AP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12),""),""))</f>
        <v/>
      </c>
      <c r="AQ11" s="1492" t="str" cm="1">
        <f t="array" ref="AQ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13),""),""))</f>
        <v/>
      </c>
      <c r="AR11" s="1492" t="str" cm="1">
        <f t="array" ref="AR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14),""),""))</f>
        <v/>
      </c>
      <c r="AS11" s="1492" t="str" cm="1">
        <f t="array" ref="AS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15),""),""))</f>
        <v/>
      </c>
      <c r="AT11" s="1167" t="str">
        <f t="shared" si="1"/>
        <v/>
      </c>
      <c r="AU11" s="1167" t="str">
        <f t="shared" si="2"/>
        <v/>
      </c>
      <c r="AV11" s="1167" t="str">
        <f t="shared" si="3"/>
        <v/>
      </c>
      <c r="AW11" s="1167" t="str">
        <f t="shared" si="4"/>
        <v/>
      </c>
      <c r="AX11" s="1163" t="str">
        <f t="shared" si="5"/>
        <v/>
      </c>
      <c r="BA11" s="502" t="str">
        <f>IFERROR(INDEX($C$6:$C$53,_xlfn.AGGREGATE(15,6,(ROW($Y$6:$Y$53)-ROW($Y$6)+1)/(($Y$6:$Y$53&gt;0)*(MOD($AA$6:$AA$53,20)=10)),6)),"")</f>
        <v/>
      </c>
      <c r="BB11" s="503" t="str">
        <f>IF($BA11="","",IFERROR(INDEX($D$6:$D$53,_xlfn.AGGREGATE(15,6,(ROW($Y$6:$Y$53)-ROW($Y$6)+1)/(($Y$6:$Y$53&gt;0)*(MOD($AA$6:$AA$53,20)=10)),6)),""))</f>
        <v/>
      </c>
      <c r="BC11" s="504" t="str">
        <f>IF($BA11="","",IFERROR(INDEX($AA$6:$AA$53,_xlfn.AGGREGATE(15,6,(ROW($Y$6:$Y$53)-ROW($Y$6)+1)/(($Y$6:$Y$53&gt;0)*(MOD($AA$6:$AA$53,20)=10)),6)),""))</f>
        <v/>
      </c>
      <c r="BD11" s="505" t="str">
        <f t="shared" si="6"/>
        <v/>
      </c>
    </row>
    <row r="12" spans="1:61" ht="45.75">
      <c r="A12" s="2257"/>
      <c r="C12" s="42">
        <f>+PP!B30</f>
        <v>7</v>
      </c>
      <c r="D12" s="1020" t="str">
        <f>+PP!C30</f>
        <v>ALETA ENTERA 1.0-2.0 kg/pza</v>
      </c>
      <c r="E12" s="217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508">
        <f t="shared" si="7"/>
        <v>0</v>
      </c>
      <c r="Z12" s="149">
        <f t="shared" si="0"/>
        <v>0</v>
      </c>
      <c r="AA12" s="146">
        <f t="shared" si="8"/>
        <v>0</v>
      </c>
      <c r="AC12" s="1162" t="str" cm="1">
        <f t="array" ref="AC12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),"")</f>
        <v/>
      </c>
      <c r="AD12" s="1169" t="str" cm="1">
        <f t="array" ref="AD12">IF($AC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),""))</f>
        <v/>
      </c>
      <c r="AE12" s="1492" t="str" cm="1">
        <f t="array" ref="AE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1),""),""))</f>
        <v/>
      </c>
      <c r="AF12" s="1492" t="str" cm="1">
        <f t="array" ref="AF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2),""),""))</f>
        <v/>
      </c>
      <c r="AG12" s="1492" t="str" cm="1">
        <f t="array" ref="AG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3),""),""))</f>
        <v/>
      </c>
      <c r="AH12" s="1492" t="str" cm="1">
        <f t="array" ref="AH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4),""),""))</f>
        <v/>
      </c>
      <c r="AI12" s="1492" t="str" cm="1">
        <f t="array" ref="AI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5),""),""))</f>
        <v/>
      </c>
      <c r="AJ12" s="1492" t="str" cm="1">
        <f t="array" ref="AJ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6),""),""))</f>
        <v/>
      </c>
      <c r="AK12" s="1492" t="str" cm="1">
        <f t="array" ref="AK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7),""),""))</f>
        <v/>
      </c>
      <c r="AL12" s="1492" t="str" cm="1">
        <f t="array" ref="AL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8),""),""))</f>
        <v/>
      </c>
      <c r="AM12" s="1492" t="str" cm="1">
        <f t="array" ref="AM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9),""),""))</f>
        <v/>
      </c>
      <c r="AN12" s="1492" t="str" cm="1">
        <f t="array" ref="AN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10),""),""))</f>
        <v/>
      </c>
      <c r="AO12" s="1492" t="str" cm="1">
        <f t="array" ref="AO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11),""),""))</f>
        <v/>
      </c>
      <c r="AP12" s="1492" t="str" cm="1">
        <f t="array" ref="AP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12),""),""))</f>
        <v/>
      </c>
      <c r="AQ12" s="1492" t="str" cm="1">
        <f t="array" ref="AQ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13),""),""))</f>
        <v/>
      </c>
      <c r="AR12" s="1492" t="str" cm="1">
        <f t="array" ref="AR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14),""),""))</f>
        <v/>
      </c>
      <c r="AS12" s="1492" t="str" cm="1">
        <f t="array" ref="AS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15),""),""))</f>
        <v/>
      </c>
      <c r="AT12" s="1167" t="str">
        <f t="shared" si="1"/>
        <v/>
      </c>
      <c r="AU12" s="1167" t="str">
        <f t="shared" si="2"/>
        <v/>
      </c>
      <c r="AV12" s="1167" t="str">
        <f t="shared" si="3"/>
        <v/>
      </c>
      <c r="AW12" s="1167" t="str">
        <f t="shared" si="4"/>
        <v/>
      </c>
      <c r="AX12" s="1163" t="str">
        <f t="shared" si="5"/>
        <v/>
      </c>
      <c r="BA12" s="502" t="str">
        <f>IFERROR(INDEX($C$6:$C$53,_xlfn.AGGREGATE(15,6,(ROW($Y$6:$Y$53)-ROW($Y$6)+1)/(($Y$6:$Y$53&gt;0)*(MOD($AA$6:$AA$53,20)=10)),7)),"")</f>
        <v/>
      </c>
      <c r="BB12" s="503" t="str">
        <f>IF($BA12="","",IFERROR(INDEX($D$6:$D$53,_xlfn.AGGREGATE(15,6,(ROW($Y$6:$Y$53)-ROW($Y$6)+1)/(($Y$6:$Y$53&gt;0)*(MOD($AA$6:$AA$53,20)=10)),7)),""))</f>
        <v/>
      </c>
      <c r="BC12" s="504" t="str">
        <f>IF($BA12="","",IFERROR(INDEX($AA$6:$AA$53,_xlfn.AGGREGATE(15,6,(ROW($Y$6:$Y$53)-ROW($Y$6)+1)/(($Y$6:$Y$53&gt;0)*(MOD($AA$6:$AA$53,20)=10)),7)),""))</f>
        <v/>
      </c>
      <c r="BD12" s="505" t="str">
        <f t="shared" si="6"/>
        <v/>
      </c>
    </row>
    <row r="13" spans="1:61" ht="45.75">
      <c r="A13" s="2257"/>
      <c r="C13" s="42">
        <f>+PP!B31</f>
        <v>8</v>
      </c>
      <c r="D13" s="1020" t="str">
        <f>+PP!C31</f>
        <v>ALETA FRESCA PARTIDA 2.0-4.0 kg/pza</v>
      </c>
      <c r="E13" s="217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531"/>
      <c r="W13" s="531"/>
      <c r="X13" s="531"/>
      <c r="Y13" s="508">
        <f t="shared" si="7"/>
        <v>0</v>
      </c>
      <c r="Z13" s="149">
        <f t="shared" si="0"/>
        <v>0</v>
      </c>
      <c r="AA13" s="146">
        <f t="shared" si="8"/>
        <v>0</v>
      </c>
      <c r="AC13" s="1162" t="str" cm="1">
        <f t="array" ref="AC13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),"")</f>
        <v/>
      </c>
      <c r="AD13" s="1169" t="str" cm="1">
        <f t="array" ref="AD13">IF($AC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),""))</f>
        <v/>
      </c>
      <c r="AE13" s="1492" t="str" cm="1">
        <f t="array" ref="AE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1),""),""))</f>
        <v/>
      </c>
      <c r="AF13" s="1492" t="str" cm="1">
        <f t="array" ref="AF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2),""),""))</f>
        <v/>
      </c>
      <c r="AG13" s="1492" t="str" cm="1">
        <f t="array" ref="AG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3),""),""))</f>
        <v/>
      </c>
      <c r="AH13" s="1492" t="str" cm="1">
        <f t="array" ref="AH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4),""),""))</f>
        <v/>
      </c>
      <c r="AI13" s="1492" t="str" cm="1">
        <f t="array" ref="AI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5),""),""))</f>
        <v/>
      </c>
      <c r="AJ13" s="1492" t="str" cm="1">
        <f t="array" ref="AJ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6),""),""))</f>
        <v/>
      </c>
      <c r="AK13" s="1492" t="str" cm="1">
        <f t="array" ref="AK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7),""),""))</f>
        <v/>
      </c>
      <c r="AL13" s="1492" t="str" cm="1">
        <f t="array" ref="AL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8),""),""))</f>
        <v/>
      </c>
      <c r="AM13" s="1492" t="str" cm="1">
        <f t="array" ref="AM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9),""),""))</f>
        <v/>
      </c>
      <c r="AN13" s="1492" t="str" cm="1">
        <f t="array" ref="AN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10),""),""))</f>
        <v/>
      </c>
      <c r="AO13" s="1492" t="str" cm="1">
        <f t="array" ref="AO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11),""),""))</f>
        <v/>
      </c>
      <c r="AP13" s="1492" t="str" cm="1">
        <f t="array" ref="AP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12),""),""))</f>
        <v/>
      </c>
      <c r="AQ13" s="1492" t="str" cm="1">
        <f t="array" ref="AQ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13),""),""))</f>
        <v/>
      </c>
      <c r="AR13" s="1492" t="str" cm="1">
        <f t="array" ref="AR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14),""),""))</f>
        <v/>
      </c>
      <c r="AS13" s="1492" t="str" cm="1">
        <f t="array" ref="AS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15),""),""))</f>
        <v/>
      </c>
      <c r="AT13" s="1167" t="str">
        <f t="shared" si="1"/>
        <v/>
      </c>
      <c r="AU13" s="1167" t="str">
        <f t="shared" si="2"/>
        <v/>
      </c>
      <c r="AV13" s="1167" t="str">
        <f t="shared" si="3"/>
        <v/>
      </c>
      <c r="AW13" s="1167" t="str">
        <f t="shared" si="4"/>
        <v/>
      </c>
      <c r="AX13" s="1163" t="str">
        <f t="shared" si="5"/>
        <v/>
      </c>
      <c r="BA13" s="502" t="str">
        <f>IFERROR(INDEX($C$6:$C$53,_xlfn.AGGREGATE(15,6,(ROW($Y$6:$Y$53)-ROW($Y$6)+1)/(($Y$6:$Y$53&gt;0)*(MOD($AA$6:$AA$53,20)=10)),8)),"")</f>
        <v/>
      </c>
      <c r="BB13" s="503" t="str">
        <f>IF($BA13="","",IFERROR(INDEX($D$6:$D$53,_xlfn.AGGREGATE(15,6,(ROW($Y$6:$Y$53)-ROW($Y$6)+1)/(($Y$6:$Y$53&gt;0)*(MOD($AA$6:$AA$53,20)=10)),8)),""))</f>
        <v/>
      </c>
      <c r="BC13" s="504" t="str">
        <f>IF($BA13="","",IFERROR(INDEX($AA$6:$AA$53,_xlfn.AGGREGATE(15,6,(ROW($Y$6:$Y$53)-ROW($Y$6)+1)/(($Y$6:$Y$53&gt;0)*(MOD($AA$6:$AA$53,20)=10)),8)),""))</f>
        <v/>
      </c>
      <c r="BD13" s="505" t="str">
        <f t="shared" si="6"/>
        <v/>
      </c>
    </row>
    <row r="14" spans="1:61" ht="45.75">
      <c r="A14" s="2257"/>
      <c r="C14" s="42">
        <f>+PP!B32</f>
        <v>9</v>
      </c>
      <c r="D14" s="1020" t="str">
        <f>+PP!C32</f>
        <v>ALETA PRECOCIDA ENTERA 300-UP g/pza</v>
      </c>
      <c r="E14" s="217"/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18"/>
      <c r="W14" s="218"/>
      <c r="X14" s="276"/>
      <c r="Y14" s="508">
        <f t="shared" si="7"/>
        <v>0</v>
      </c>
      <c r="Z14" s="149">
        <f t="shared" si="0"/>
        <v>0</v>
      </c>
      <c r="AA14" s="146">
        <f t="shared" si="8"/>
        <v>0</v>
      </c>
      <c r="AC14" s="1162" t="str" cm="1">
        <f t="array" ref="AC14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),"")</f>
        <v/>
      </c>
      <c r="AD14" s="1169" t="str" cm="1">
        <f t="array" ref="AD14">IF($AC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),""))</f>
        <v/>
      </c>
      <c r="AE14" s="1492" t="str" cm="1">
        <f t="array" ref="AE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1),""),""))</f>
        <v/>
      </c>
      <c r="AF14" s="1492" t="str" cm="1">
        <f t="array" ref="AF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2),""),""))</f>
        <v/>
      </c>
      <c r="AG14" s="1492" t="str" cm="1">
        <f t="array" ref="AG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3),""),""))</f>
        <v/>
      </c>
      <c r="AH14" s="1492" t="str" cm="1">
        <f t="array" ref="AH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4),""),""))</f>
        <v/>
      </c>
      <c r="AI14" s="1492" t="str" cm="1">
        <f t="array" ref="AI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5),""),""))</f>
        <v/>
      </c>
      <c r="AJ14" s="1492" t="str" cm="1">
        <f t="array" ref="AJ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6),""),""))</f>
        <v/>
      </c>
      <c r="AK14" s="1492" t="str" cm="1">
        <f t="array" ref="AK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7),""),""))</f>
        <v/>
      </c>
      <c r="AL14" s="1492" t="str" cm="1">
        <f t="array" ref="AL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8),""),""))</f>
        <v/>
      </c>
      <c r="AM14" s="1492" t="str" cm="1">
        <f t="array" ref="AM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9),""),""))</f>
        <v/>
      </c>
      <c r="AN14" s="1492" t="str" cm="1">
        <f t="array" ref="AN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10),""),""))</f>
        <v/>
      </c>
      <c r="AO14" s="1492" t="str" cm="1">
        <f t="array" ref="AO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11),""),""))</f>
        <v/>
      </c>
      <c r="AP14" s="1492" t="str" cm="1">
        <f t="array" ref="AP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12),""),""))</f>
        <v/>
      </c>
      <c r="AQ14" s="1492" t="str" cm="1">
        <f t="array" ref="AQ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13),""),""))</f>
        <v/>
      </c>
      <c r="AR14" s="1492" t="str" cm="1">
        <f t="array" ref="AR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14),""),""))</f>
        <v/>
      </c>
      <c r="AS14" s="1492" t="str" cm="1">
        <f t="array" ref="AS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15),""),""))</f>
        <v/>
      </c>
      <c r="AT14" s="1167" t="str">
        <f t="shared" si="1"/>
        <v/>
      </c>
      <c r="AU14" s="1167" t="str">
        <f t="shared" si="2"/>
        <v/>
      </c>
      <c r="AV14" s="1167" t="str">
        <f t="shared" si="3"/>
        <v/>
      </c>
      <c r="AW14" s="1167" t="str">
        <f t="shared" si="4"/>
        <v/>
      </c>
      <c r="AX14" s="1163" t="str">
        <f t="shared" si="5"/>
        <v/>
      </c>
      <c r="BA14" s="502" t="str">
        <f>IFERROR(INDEX($C$6:$C$53,_xlfn.AGGREGATE(15,6,(ROW($Y$6:$Y$53)-ROW($Y$6)+1)/(($Y$6:$Y$53&gt;0)*(MOD($AA$6:$AA$53,20)=10)),9)),"")</f>
        <v/>
      </c>
      <c r="BB14" s="503" t="str">
        <f>IF($BA14="","",IFERROR(INDEX($D$6:$D$53,_xlfn.AGGREGATE(15,6,(ROW($Y$6:$Y$53)-ROW($Y$6)+1)/(($Y$6:$Y$53&gt;0)*(MOD($AA$6:$AA$53,20)=10)),9)),""))</f>
        <v/>
      </c>
      <c r="BC14" s="504" t="str">
        <f>IF($BA14="","",IFERROR(INDEX($AA$6:$AA$53,_xlfn.AGGREGATE(15,6,(ROW($Y$6:$Y$53)-ROW($Y$6)+1)/(($Y$6:$Y$53&gt;0)*(MOD($AA$6:$AA$53,20)=10)),9)),""))</f>
        <v/>
      </c>
      <c r="BD14" s="505" t="str">
        <f t="shared" si="6"/>
        <v/>
      </c>
    </row>
    <row r="15" spans="1:61" ht="46.5" thickBot="1">
      <c r="A15" s="2257"/>
      <c r="C15" s="40">
        <f>+PP!B33</f>
        <v>10</v>
      </c>
      <c r="D15" s="1021" t="str">
        <f>+PP!C33</f>
        <v>ALETA PRECOCIDA PARTIDA 300-UP g/pza</v>
      </c>
      <c r="E15" s="214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73"/>
      <c r="Y15" s="509">
        <f t="shared" si="7"/>
        <v>0</v>
      </c>
      <c r="Z15" s="150">
        <f t="shared" si="0"/>
        <v>0</v>
      </c>
      <c r="AA15" s="147">
        <f t="shared" si="8"/>
        <v>0</v>
      </c>
      <c r="AC15" s="1162" t="str" cm="1">
        <f t="array" ref="AC15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),"")</f>
        <v/>
      </c>
      <c r="AD15" s="1169" t="str" cm="1">
        <f t="array" ref="AD15">IF($AC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),""))</f>
        <v/>
      </c>
      <c r="AE15" s="1492" t="str" cm="1">
        <f t="array" ref="AE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1),""),""))</f>
        <v/>
      </c>
      <c r="AF15" s="1492" t="str" cm="1">
        <f t="array" ref="AF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2),""),""))</f>
        <v/>
      </c>
      <c r="AG15" s="1492" t="str" cm="1">
        <f t="array" ref="AG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3),""),""))</f>
        <v/>
      </c>
      <c r="AH15" s="1492" t="str" cm="1">
        <f t="array" ref="AH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4),""),""))</f>
        <v/>
      </c>
      <c r="AI15" s="1492" t="str" cm="1">
        <f t="array" ref="AI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5),""),""))</f>
        <v/>
      </c>
      <c r="AJ15" s="1492" t="str" cm="1">
        <f t="array" ref="AJ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6),""),""))</f>
        <v/>
      </c>
      <c r="AK15" s="1492" t="str" cm="1">
        <f t="array" ref="AK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7),""),""))</f>
        <v/>
      </c>
      <c r="AL15" s="1492" t="str" cm="1">
        <f t="array" ref="AL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8),""),""))</f>
        <v/>
      </c>
      <c r="AM15" s="1492" t="str" cm="1">
        <f t="array" ref="AM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9),""),""))</f>
        <v/>
      </c>
      <c r="AN15" s="1492" t="str" cm="1">
        <f t="array" ref="AN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10),""),""))</f>
        <v/>
      </c>
      <c r="AO15" s="1492" t="str" cm="1">
        <f t="array" ref="AO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11),""),""))</f>
        <v/>
      </c>
      <c r="AP15" s="1492" t="str" cm="1">
        <f t="array" ref="AP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12),""),""))</f>
        <v/>
      </c>
      <c r="AQ15" s="1492" t="str" cm="1">
        <f t="array" ref="AQ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13),""),""))</f>
        <v/>
      </c>
      <c r="AR15" s="1492" t="str" cm="1">
        <f t="array" ref="AR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14),""),""))</f>
        <v/>
      </c>
      <c r="AS15" s="1492" t="str" cm="1">
        <f t="array" ref="AS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15),""),""))</f>
        <v/>
      </c>
      <c r="AT15" s="1167" t="str">
        <f t="shared" si="1"/>
        <v/>
      </c>
      <c r="AU15" s="1167" t="str">
        <f t="shared" si="2"/>
        <v/>
      </c>
      <c r="AV15" s="1167" t="str">
        <f t="shared" si="3"/>
        <v/>
      </c>
      <c r="AW15" s="1167" t="str">
        <f t="shared" si="4"/>
        <v/>
      </c>
      <c r="AX15" s="1163" t="str">
        <f t="shared" si="5"/>
        <v/>
      </c>
      <c r="BA15" s="502" t="str">
        <f>IFERROR(INDEX($C$6:$C$53,_xlfn.AGGREGATE(15,6,(ROW($Y$6:$Y$53)-ROW($Y$6)+1)/(($Y$6:$Y$53&gt;0)*(MOD($AA$6:$AA$53,20)=10)),10)),"")</f>
        <v/>
      </c>
      <c r="BB15" s="503" t="str">
        <f>IF($BA15="","",IFERROR(INDEX($D$6:$D$53,_xlfn.AGGREGATE(15,6,(ROW($Y$6:$Y$53)-ROW($Y$6)+1)/(($Y$6:$Y$53&gt;0)*(MOD($AA$6:$AA$53,20)=10)),10)),""))</f>
        <v/>
      </c>
      <c r="BC15" s="504" t="str">
        <f>IF($BA15="","",IFERROR(INDEX($AA$6:$AA$53,_xlfn.AGGREGATE(15,6,(ROW($Y$6:$Y$53)-ROW($Y$6)+1)/(($Y$6:$Y$53&gt;0)*(MOD($AA$6:$AA$53,20)=10)),10)),""))</f>
        <v/>
      </c>
      <c r="BD15" s="505" t="str">
        <f t="shared" si="6"/>
        <v/>
      </c>
    </row>
    <row r="16" spans="1:61" ht="45.75">
      <c r="A16" s="2257"/>
      <c r="C16" s="41">
        <f>+PP!B34</f>
        <v>11</v>
      </c>
      <c r="D16" s="259" t="str">
        <f>+PP!C34</f>
        <v>BOTON BLANCO SM ST</v>
      </c>
      <c r="E16" s="950"/>
      <c r="F16" s="532"/>
      <c r="G16" s="532"/>
      <c r="H16" s="532"/>
      <c r="I16" s="532"/>
      <c r="J16" s="532"/>
      <c r="K16" s="532"/>
      <c r="L16" s="532"/>
      <c r="M16" s="532"/>
      <c r="N16" s="532"/>
      <c r="O16" s="532"/>
      <c r="P16" s="532"/>
      <c r="Q16" s="532"/>
      <c r="R16" s="532"/>
      <c r="S16" s="532"/>
      <c r="T16" s="532"/>
      <c r="U16" s="532"/>
      <c r="V16" s="532"/>
      <c r="W16" s="212"/>
      <c r="X16" s="212"/>
      <c r="Y16" s="510">
        <f t="shared" si="7"/>
        <v>0</v>
      </c>
      <c r="Z16" s="148">
        <f t="shared" si="0"/>
        <v>0</v>
      </c>
      <c r="AA16" s="145">
        <f t="shared" si="8"/>
        <v>0</v>
      </c>
      <c r="AC16" s="1162" t="str" cm="1">
        <f t="array" ref="AC16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),"")</f>
        <v/>
      </c>
      <c r="AD16" s="1169" t="str" cm="1">
        <f t="array" ref="AD16">IF($AC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),""))</f>
        <v/>
      </c>
      <c r="AE16" s="1492" t="str" cm="1">
        <f t="array" ref="AE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1),""),""))</f>
        <v/>
      </c>
      <c r="AF16" s="1492" t="str" cm="1">
        <f t="array" ref="AF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2),""),""))</f>
        <v/>
      </c>
      <c r="AG16" s="1492" t="str" cm="1">
        <f t="array" ref="AG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3),""),""))</f>
        <v/>
      </c>
      <c r="AH16" s="1492" t="str" cm="1">
        <f t="array" ref="AH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4),""),""))</f>
        <v/>
      </c>
      <c r="AI16" s="1492" t="str" cm="1">
        <f t="array" ref="AI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5),""),""))</f>
        <v/>
      </c>
      <c r="AJ16" s="1492" t="str" cm="1">
        <f t="array" ref="AJ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6),""),""))</f>
        <v/>
      </c>
      <c r="AK16" s="1492" t="str" cm="1">
        <f t="array" ref="AK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7),""),""))</f>
        <v/>
      </c>
      <c r="AL16" s="1492" t="str" cm="1">
        <f t="array" ref="AL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8),""),""))</f>
        <v/>
      </c>
      <c r="AM16" s="1492" t="str" cm="1">
        <f t="array" ref="AM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9),""),""))</f>
        <v/>
      </c>
      <c r="AN16" s="1492" t="str" cm="1">
        <f t="array" ref="AN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10),""),""))</f>
        <v/>
      </c>
      <c r="AO16" s="1492" t="str" cm="1">
        <f t="array" ref="AO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11),""),""))</f>
        <v/>
      </c>
      <c r="AP16" s="1492" t="str" cm="1">
        <f t="array" ref="AP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12),""),""))</f>
        <v/>
      </c>
      <c r="AQ16" s="1492" t="str" cm="1">
        <f t="array" ref="AQ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13),""),""))</f>
        <v/>
      </c>
      <c r="AR16" s="1492" t="str" cm="1">
        <f t="array" ref="AR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14),""),""))</f>
        <v/>
      </c>
      <c r="AS16" s="1492" t="str" cm="1">
        <f t="array" ref="AS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15),""),""))</f>
        <v/>
      </c>
      <c r="AT16" s="1167" t="str">
        <f t="shared" si="1"/>
        <v/>
      </c>
      <c r="AU16" s="1167" t="str">
        <f t="shared" si="2"/>
        <v/>
      </c>
      <c r="AV16" s="1167" t="str">
        <f t="shared" si="3"/>
        <v/>
      </c>
      <c r="AW16" s="1167" t="str">
        <f t="shared" si="4"/>
        <v/>
      </c>
      <c r="AX16" s="1163" t="str">
        <f t="shared" si="5"/>
        <v/>
      </c>
      <c r="BA16" s="502" t="str">
        <f>IFERROR(INDEX($C$6:$C$53,_xlfn.AGGREGATE(15,6,(ROW($Y$6:$Y$53)-ROW($Y$6)+1)/(($Y$6:$Y$53&gt;0)*(MOD($AA$6:$AA$53,20)=10)),11)),"")</f>
        <v/>
      </c>
      <c r="BB16" s="503" t="str">
        <f>IF($BA16="","",IFERROR(INDEX($D$6:$D$53,_xlfn.AGGREGATE(15,6,(ROW($Y$6:$Y$53)-ROW($Y$6)+1)/(($Y$6:$Y$53&gt;0)*(MOD($AA$6:$AA$53,20)=10)),11)),""))</f>
        <v/>
      </c>
      <c r="BC16" s="504" t="str">
        <f>IF($BA16="","",IFERROR(INDEX($AA$6:$AA$53,_xlfn.AGGREGATE(15,6,(ROW($Y$6:$Y$53)-ROW($Y$6)+1)/(($Y$6:$Y$53&gt;0)*(MOD($AA$6:$AA$53,20)=10)),11)),""))</f>
        <v/>
      </c>
      <c r="BD16" s="505" t="str">
        <f t="shared" si="6"/>
        <v/>
      </c>
    </row>
    <row r="17" spans="1:56" ht="46.5" thickBot="1">
      <c r="A17" s="2257"/>
      <c r="C17" s="40">
        <f>+PP!B35</f>
        <v>12</v>
      </c>
      <c r="D17" s="1021" t="str">
        <f>+PP!C35</f>
        <v>BOTON AMARILLO SM ST</v>
      </c>
      <c r="E17" s="951"/>
      <c r="F17" s="215"/>
      <c r="G17" s="215"/>
      <c r="H17" s="215"/>
      <c r="I17" s="215"/>
      <c r="J17" s="215"/>
      <c r="K17" s="215"/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511">
        <f t="shared" si="7"/>
        <v>0</v>
      </c>
      <c r="Z17" s="150">
        <f t="shared" si="0"/>
        <v>0</v>
      </c>
      <c r="AA17" s="147">
        <f t="shared" si="8"/>
        <v>0</v>
      </c>
      <c r="AC17" s="1162" t="str" cm="1">
        <f t="array" ref="AC17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),"")</f>
        <v/>
      </c>
      <c r="AD17" s="1169" t="str" cm="1">
        <f t="array" ref="AD17">IF($AC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),""))</f>
        <v/>
      </c>
      <c r="AE17" s="1492" t="str" cm="1">
        <f t="array" ref="AE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1),""),""))</f>
        <v/>
      </c>
      <c r="AF17" s="1492" t="str" cm="1">
        <f t="array" ref="AF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2),""),""))</f>
        <v/>
      </c>
      <c r="AG17" s="1492" t="str" cm="1">
        <f t="array" ref="AG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3),""),""))</f>
        <v/>
      </c>
      <c r="AH17" s="1492" t="str" cm="1">
        <f t="array" ref="AH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4),""),""))</f>
        <v/>
      </c>
      <c r="AI17" s="1492" t="str" cm="1">
        <f t="array" ref="AI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5),""),""))</f>
        <v/>
      </c>
      <c r="AJ17" s="1492" t="str" cm="1">
        <f t="array" ref="AJ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6),""),""))</f>
        <v/>
      </c>
      <c r="AK17" s="1492" t="str" cm="1">
        <f t="array" ref="AK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7),""),""))</f>
        <v/>
      </c>
      <c r="AL17" s="1492" t="str" cm="1">
        <f t="array" ref="AL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8),""),""))</f>
        <v/>
      </c>
      <c r="AM17" s="1492" t="str" cm="1">
        <f t="array" ref="AM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9),""),""))</f>
        <v/>
      </c>
      <c r="AN17" s="1492" t="str" cm="1">
        <f t="array" ref="AN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10),""),""))</f>
        <v/>
      </c>
      <c r="AO17" s="1492" t="str" cm="1">
        <f t="array" ref="AO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11),""),""))</f>
        <v/>
      </c>
      <c r="AP17" s="1492" t="str" cm="1">
        <f t="array" ref="AP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12),""),""))</f>
        <v/>
      </c>
      <c r="AQ17" s="1492" t="str" cm="1">
        <f t="array" ref="AQ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13),""),""))</f>
        <v/>
      </c>
      <c r="AR17" s="1492" t="str" cm="1">
        <f t="array" ref="AR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14),""),""))</f>
        <v/>
      </c>
      <c r="AS17" s="1492" t="str" cm="1">
        <f t="array" ref="AS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15),""),""))</f>
        <v/>
      </c>
      <c r="AT17" s="1167" t="str">
        <f t="shared" si="1"/>
        <v/>
      </c>
      <c r="AU17" s="1167" t="str">
        <f t="shared" si="2"/>
        <v/>
      </c>
      <c r="AV17" s="1167" t="str">
        <f t="shared" si="3"/>
        <v/>
      </c>
      <c r="AW17" s="1167" t="str">
        <f t="shared" si="4"/>
        <v/>
      </c>
      <c r="AX17" s="1163" t="str">
        <f t="shared" si="5"/>
        <v/>
      </c>
      <c r="BA17" s="502" t="str">
        <f>IFERROR(INDEX($C$6:$C$53,_xlfn.AGGREGATE(15,6,(ROW($Y$6:$Y$53)-ROW($Y$6)+1)/(($Y$6:$Y$53&gt;0)*(MOD($AA$6:$AA$53,20)=10)),12)),"")</f>
        <v/>
      </c>
      <c r="BB17" s="503" t="str">
        <f>IF($BA17="","",IFERROR(INDEX($D$6:$D$53,_xlfn.AGGREGATE(15,6,(ROW($Y$6:$Y$53)-ROW($Y$6)+1)/(($Y$6:$Y$53&gt;0)*(MOD($AA$6:$AA$53,20)=10)),12)),""))</f>
        <v/>
      </c>
      <c r="BC17" s="504" t="str">
        <f>IF($BA17="","",IFERROR(INDEX($AA$6:$AA$53,_xlfn.AGGREGATE(15,6,(ROW($Y$6:$Y$53)-ROW($Y$6)+1)/(($Y$6:$Y$53&gt;0)*(MOD($AA$6:$AA$53,20)=10)),12)),""))</f>
        <v/>
      </c>
      <c r="BD17" s="505" t="str">
        <f t="shared" si="6"/>
        <v/>
      </c>
    </row>
    <row r="18" spans="1:56" ht="46.5" thickBot="1">
      <c r="A18" s="2257"/>
      <c r="C18" s="526">
        <f>+PP!B36</f>
        <v>13</v>
      </c>
      <c r="D18" s="538" t="str">
        <f>+PP!C36</f>
        <v>CONOS DE POTA</v>
      </c>
      <c r="E18" s="220"/>
      <c r="F18" s="22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21"/>
      <c r="W18" s="221"/>
      <c r="X18" s="221"/>
      <c r="Y18" s="512">
        <f t="shared" si="7"/>
        <v>0</v>
      </c>
      <c r="Z18" s="153">
        <f t="shared" si="0"/>
        <v>0</v>
      </c>
      <c r="AA18" s="154">
        <f t="shared" si="8"/>
        <v>0</v>
      </c>
      <c r="AC18" s="1162" t="str" cm="1">
        <f t="array" ref="AC18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),"")</f>
        <v/>
      </c>
      <c r="AD18" s="1169" t="str" cm="1">
        <f t="array" ref="AD18">IF($AC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),""))</f>
        <v/>
      </c>
      <c r="AE18" s="1492" t="str" cm="1">
        <f t="array" ref="AE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1),""),""))</f>
        <v/>
      </c>
      <c r="AF18" s="1492" t="str" cm="1">
        <f t="array" ref="AF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2),""),""))</f>
        <v/>
      </c>
      <c r="AG18" s="1492" t="str" cm="1">
        <f t="array" ref="AG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3),""),""))</f>
        <v/>
      </c>
      <c r="AH18" s="1492" t="str" cm="1">
        <f t="array" ref="AH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4),""),""))</f>
        <v/>
      </c>
      <c r="AI18" s="1492" t="str" cm="1">
        <f t="array" ref="AI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5),""),""))</f>
        <v/>
      </c>
      <c r="AJ18" s="1492" t="str" cm="1">
        <f t="array" ref="AJ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6),""),""))</f>
        <v/>
      </c>
      <c r="AK18" s="1492" t="str" cm="1">
        <f t="array" ref="AK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7),""),""))</f>
        <v/>
      </c>
      <c r="AL18" s="1492" t="str" cm="1">
        <f t="array" ref="AL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8),""),""))</f>
        <v/>
      </c>
      <c r="AM18" s="1492" t="str" cm="1">
        <f t="array" ref="AM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9),""),""))</f>
        <v/>
      </c>
      <c r="AN18" s="1492" t="str" cm="1">
        <f t="array" ref="AN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10),""),""))</f>
        <v/>
      </c>
      <c r="AO18" s="1492" t="str" cm="1">
        <f t="array" ref="AO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11),""),""))</f>
        <v/>
      </c>
      <c r="AP18" s="1492" t="str" cm="1">
        <f t="array" ref="AP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12),""),""))</f>
        <v/>
      </c>
      <c r="AQ18" s="1492" t="str" cm="1">
        <f t="array" ref="AQ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13),""),""))</f>
        <v/>
      </c>
      <c r="AR18" s="1492" t="str" cm="1">
        <f t="array" ref="AR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14),""),""))</f>
        <v/>
      </c>
      <c r="AS18" s="1492" t="str" cm="1">
        <f t="array" ref="AS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15),""),""))</f>
        <v/>
      </c>
      <c r="AT18" s="1167" t="str">
        <f t="shared" si="1"/>
        <v/>
      </c>
      <c r="AU18" s="1167" t="str">
        <f t="shared" si="2"/>
        <v/>
      </c>
      <c r="AV18" s="1167" t="str">
        <f t="shared" si="3"/>
        <v/>
      </c>
      <c r="AW18" s="1167" t="str">
        <f t="shared" si="4"/>
        <v/>
      </c>
      <c r="AX18" s="1163" t="str">
        <f t="shared" si="5"/>
        <v/>
      </c>
      <c r="BA18" s="502" t="str">
        <f>IFERROR(INDEX($C$6:$C$53,_xlfn.AGGREGATE(15,6,(ROW($Y$6:$Y$53)-ROW($Y$6)+1)/(($Y$6:$Y$53&gt;0)*(MOD($AA$6:$AA$53,20)=10)),13)),"")</f>
        <v/>
      </c>
      <c r="BB18" s="503" t="str">
        <f>IF($BA18="","",IFERROR(INDEX($D$6:$D$53,_xlfn.AGGREGATE(15,6,(ROW($Y$6:$Y$53)-ROW($Y$6)+1)/(($Y$6:$Y$53&gt;0)*(MOD($AA$6:$AA$53,20)=10)),13)),""))</f>
        <v/>
      </c>
      <c r="BC18" s="504" t="str">
        <f>IF($BA18="","",IFERROR(INDEX($AA$6:$AA$53,_xlfn.AGGREGATE(15,6,(ROW($Y$6:$Y$53)-ROW($Y$6)+1)/(($Y$6:$Y$53&gt;0)*(MOD($AA$6:$AA$53,20)=10)),13)),""))</f>
        <v/>
      </c>
      <c r="BD18" s="505" t="str">
        <f t="shared" si="6"/>
        <v/>
      </c>
    </row>
    <row r="19" spans="1:56" ht="45.75">
      <c r="A19" s="2257"/>
      <c r="C19" s="41">
        <f>+PP!B37</f>
        <v>14</v>
      </c>
      <c r="D19" s="259" t="str">
        <f>+PP!C37</f>
        <v>FILETE C/TT DARUMA</v>
      </c>
      <c r="E19" s="223"/>
      <c r="F19" s="224"/>
      <c r="G19" s="224"/>
      <c r="H19" s="224"/>
      <c r="I19" s="224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513">
        <f t="shared" si="7"/>
        <v>0</v>
      </c>
      <c r="Z19" s="151">
        <f t="shared" si="0"/>
        <v>0</v>
      </c>
      <c r="AA19" s="152">
        <f t="shared" si="8"/>
        <v>0</v>
      </c>
      <c r="AC19" s="1162" t="str" cm="1">
        <f t="array" ref="AC19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),"")</f>
        <v/>
      </c>
      <c r="AD19" s="1169" t="str" cm="1">
        <f t="array" ref="AD19">IF($AC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),""))</f>
        <v/>
      </c>
      <c r="AE19" s="1492" t="str" cm="1">
        <f t="array" ref="AE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1),""),""))</f>
        <v/>
      </c>
      <c r="AF19" s="1492" t="str" cm="1">
        <f t="array" ref="AF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2),""),""))</f>
        <v/>
      </c>
      <c r="AG19" s="1492" t="str" cm="1">
        <f t="array" ref="AG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3),""),""))</f>
        <v/>
      </c>
      <c r="AH19" s="1492" t="str" cm="1">
        <f t="array" ref="AH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4),""),""))</f>
        <v/>
      </c>
      <c r="AI19" s="1492" t="str" cm="1">
        <f t="array" ref="AI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5),""),""))</f>
        <v/>
      </c>
      <c r="AJ19" s="1492" t="str" cm="1">
        <f t="array" ref="AJ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6),""),""))</f>
        <v/>
      </c>
      <c r="AK19" s="1492" t="str" cm="1">
        <f t="array" ref="AK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7),""),""))</f>
        <v/>
      </c>
      <c r="AL19" s="1492" t="str" cm="1">
        <f t="array" ref="AL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8),""),""))</f>
        <v/>
      </c>
      <c r="AM19" s="1492" t="str" cm="1">
        <f t="array" ref="AM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9),""),""))</f>
        <v/>
      </c>
      <c r="AN19" s="1492" t="str" cm="1">
        <f t="array" ref="AN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10),""),""))</f>
        <v/>
      </c>
      <c r="AO19" s="1492" t="str" cm="1">
        <f t="array" ref="AO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11),""),""))</f>
        <v/>
      </c>
      <c r="AP19" s="1492" t="str" cm="1">
        <f t="array" ref="AP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12),""),""))</f>
        <v/>
      </c>
      <c r="AQ19" s="1492" t="str" cm="1">
        <f t="array" ref="AQ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13),""),""))</f>
        <v/>
      </c>
      <c r="AR19" s="1492" t="str" cm="1">
        <f t="array" ref="AR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14),""),""))</f>
        <v/>
      </c>
      <c r="AS19" s="1492" t="str" cm="1">
        <f t="array" ref="AS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15),""),""))</f>
        <v/>
      </c>
      <c r="AT19" s="1167" t="str">
        <f t="shared" si="1"/>
        <v/>
      </c>
      <c r="AU19" s="1167" t="str">
        <f t="shared" si="2"/>
        <v/>
      </c>
      <c r="AV19" s="1167" t="str">
        <f t="shared" si="3"/>
        <v/>
      </c>
      <c r="AW19" s="1167" t="str">
        <f t="shared" si="4"/>
        <v/>
      </c>
      <c r="AX19" s="1163" t="str">
        <f t="shared" si="5"/>
        <v/>
      </c>
      <c r="BA19" s="502" t="str">
        <f>IFERROR(INDEX($C$6:$C$53,_xlfn.AGGREGATE(15,6,(ROW($Y$6:$Y$53)-ROW($Y$6)+1)/(($Y$6:$Y$53&gt;0)*(MOD($AA$6:$AA$53,20)=10)),14)),"")</f>
        <v/>
      </c>
      <c r="BB19" s="503" t="str">
        <f>IF($BA19="","",IFERROR(INDEX($D$6:$D$53,_xlfn.AGGREGATE(15,6,(ROW($Y$6:$Y$53)-ROW($Y$6)+1)/(($Y$6:$Y$53&gt;0)*(MOD($AA$6:$AA$53,20)=10)),14)),""))</f>
        <v/>
      </c>
      <c r="BC19" s="504" t="str">
        <f>IF($BA19="","",IFERROR(INDEX($AA$6:$AA$53,_xlfn.AGGREGATE(15,6,(ROW($Y$6:$Y$53)-ROW($Y$6)+1)/(($Y$6:$Y$53&gt;0)*(MOD($AA$6:$AA$53,20)=10)),14)),""))</f>
        <v/>
      </c>
      <c r="BD19" s="505" t="str">
        <f t="shared" si="6"/>
        <v/>
      </c>
    </row>
    <row r="20" spans="1:56" ht="45.75">
      <c r="A20" s="2257"/>
      <c r="C20" s="42">
        <f>+PP!B38</f>
        <v>15</v>
      </c>
      <c r="D20" s="1020" t="str">
        <f>+PP!C38</f>
        <v>FILETE C/M C/T TRES PIELES 1.0-2.0 kg/pza</v>
      </c>
      <c r="E20" s="223"/>
      <c r="F20" s="224"/>
      <c r="G20" s="224"/>
      <c r="H20" s="224"/>
      <c r="I20" s="224"/>
      <c r="J20" s="224"/>
      <c r="K20" s="224"/>
      <c r="L20" s="224"/>
      <c r="M20" s="224"/>
      <c r="N20" s="224"/>
      <c r="O20" s="224"/>
      <c r="P20" s="224"/>
      <c r="Q20" s="224"/>
      <c r="R20" s="224"/>
      <c r="S20" s="224"/>
      <c r="T20" s="224"/>
      <c r="U20" s="224"/>
      <c r="V20" s="224"/>
      <c r="W20" s="224"/>
      <c r="X20" s="224"/>
      <c r="Y20" s="508">
        <f t="shared" si="7"/>
        <v>0</v>
      </c>
      <c r="Z20" s="149">
        <f>Y20/2</f>
        <v>0</v>
      </c>
      <c r="AA20" s="146">
        <f>+Y20*10</f>
        <v>0</v>
      </c>
      <c r="AC20" s="1162" t="str" cm="1">
        <f t="array" ref="AC20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),"")</f>
        <v/>
      </c>
      <c r="AD20" s="1169" t="str" cm="1">
        <f t="array" ref="AD20">IF($AC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),""))</f>
        <v/>
      </c>
      <c r="AE20" s="1492" t="str" cm="1">
        <f t="array" ref="AE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1),""),""))</f>
        <v/>
      </c>
      <c r="AF20" s="1492" t="str" cm="1">
        <f t="array" ref="AF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2),""),""))</f>
        <v/>
      </c>
      <c r="AG20" s="1492" t="str" cm="1">
        <f t="array" ref="AG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3),""),""))</f>
        <v/>
      </c>
      <c r="AH20" s="1492" t="str" cm="1">
        <f t="array" ref="AH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4),""),""))</f>
        <v/>
      </c>
      <c r="AI20" s="1492" t="str" cm="1">
        <f t="array" ref="AI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5),""),""))</f>
        <v/>
      </c>
      <c r="AJ20" s="1492" t="str" cm="1">
        <f t="array" ref="AJ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6),""),""))</f>
        <v/>
      </c>
      <c r="AK20" s="1492" t="str" cm="1">
        <f t="array" ref="AK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7),""),""))</f>
        <v/>
      </c>
      <c r="AL20" s="1492" t="str" cm="1">
        <f t="array" ref="AL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8),""),""))</f>
        <v/>
      </c>
      <c r="AM20" s="1492" t="str" cm="1">
        <f t="array" ref="AM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9),""),""))</f>
        <v/>
      </c>
      <c r="AN20" s="1492" t="str" cm="1">
        <f t="array" ref="AN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10),""),""))</f>
        <v/>
      </c>
      <c r="AO20" s="1492" t="str" cm="1">
        <f t="array" ref="AO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11),""),""))</f>
        <v/>
      </c>
      <c r="AP20" s="1492" t="str" cm="1">
        <f t="array" ref="AP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12),""),""))</f>
        <v/>
      </c>
      <c r="AQ20" s="1492" t="str" cm="1">
        <f t="array" ref="AQ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13),""),""))</f>
        <v/>
      </c>
      <c r="AR20" s="1492" t="str" cm="1">
        <f t="array" ref="AR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14),""),""))</f>
        <v/>
      </c>
      <c r="AS20" s="1492" t="str" cm="1">
        <f t="array" ref="AS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15),""),""))</f>
        <v/>
      </c>
      <c r="AT20" s="1167" t="str">
        <f t="shared" si="1"/>
        <v/>
      </c>
      <c r="AU20" s="1167" t="str">
        <f t="shared" si="2"/>
        <v/>
      </c>
      <c r="AV20" s="1167" t="str">
        <f t="shared" si="3"/>
        <v/>
      </c>
      <c r="AW20" s="1167" t="str">
        <f t="shared" si="4"/>
        <v/>
      </c>
      <c r="AX20" s="1163" t="str">
        <f t="shared" si="5"/>
        <v/>
      </c>
      <c r="BA20" s="502" t="str">
        <f>IFERROR(INDEX($C$6:$C$53,_xlfn.AGGREGATE(15,6,(ROW($Y$6:$Y$53)-ROW($Y$6)+1)/(($Y$6:$Y$53&gt;0)*(MOD($AA$6:$AA$53,20)=10)),15)),"")</f>
        <v/>
      </c>
      <c r="BB20" s="503" t="str">
        <f>IF($BA20="","",IFERROR(INDEX($D$6:$D$53,_xlfn.AGGREGATE(15,6,(ROW($Y$6:$Y$53)-ROW($Y$6)+1)/(($Y$6:$Y$53&gt;0)*(MOD($AA$6:$AA$53,20)=10)),15)),""))</f>
        <v/>
      </c>
      <c r="BC20" s="504" t="str">
        <f>IF($BA20="","",IFERROR(INDEX($AA$6:$AA$53,_xlfn.AGGREGATE(15,6,(ROW($Y$6:$Y$53)-ROW($Y$6)+1)/(($Y$6:$Y$53&gt;0)*(MOD($AA$6:$AA$53,20)=10)),15)),""))</f>
        <v/>
      </c>
      <c r="BD20" s="505" t="str">
        <f t="shared" si="6"/>
        <v/>
      </c>
    </row>
    <row r="21" spans="1:56" ht="45.75">
      <c r="A21" s="2257"/>
      <c r="C21" s="42">
        <f>+PP!B39</f>
        <v>16</v>
      </c>
      <c r="D21" s="1020" t="str">
        <f>+PP!C39</f>
        <v>FILETE C/M C/T TRES PIELES 2.0-4.0 kg/pza</v>
      </c>
      <c r="E21" s="223"/>
      <c r="F21" s="224"/>
      <c r="G21" s="224"/>
      <c r="H21" s="224"/>
      <c r="I21" s="224"/>
      <c r="J21" s="224"/>
      <c r="K21" s="224"/>
      <c r="L21" s="224"/>
      <c r="M21" s="224"/>
      <c r="N21" s="224"/>
      <c r="O21" s="224"/>
      <c r="P21" s="224"/>
      <c r="Q21" s="224"/>
      <c r="R21" s="224"/>
      <c r="S21" s="224"/>
      <c r="T21" s="224"/>
      <c r="U21" s="224"/>
      <c r="V21" s="224"/>
      <c r="W21" s="224"/>
      <c r="X21" s="224"/>
      <c r="Y21" s="508">
        <f t="shared" si="7"/>
        <v>0</v>
      </c>
      <c r="Z21" s="149">
        <f>Y21/2</f>
        <v>0</v>
      </c>
      <c r="AA21" s="146">
        <f>+Y21*10</f>
        <v>0</v>
      </c>
      <c r="AC21" s="1162" t="str" cm="1">
        <f t="array" ref="AC21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),"")</f>
        <v/>
      </c>
      <c r="AD21" s="1169" t="str" cm="1">
        <f t="array" ref="AD21">IF($AC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),""))</f>
        <v/>
      </c>
      <c r="AE21" s="1167" t="str" cm="1">
        <f t="array" ref="AE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1),""),""))</f>
        <v/>
      </c>
      <c r="AF21" s="1167" t="str" cm="1">
        <f t="array" ref="AF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2),""),""))</f>
        <v/>
      </c>
      <c r="AG21" s="1167" t="str" cm="1">
        <f t="array" ref="AG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3),""),""))</f>
        <v/>
      </c>
      <c r="AH21" s="1167" t="str" cm="1">
        <f t="array" ref="AH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4),""),""))</f>
        <v/>
      </c>
      <c r="AI21" s="1167" t="str" cm="1">
        <f t="array" ref="AI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5),""),""))</f>
        <v/>
      </c>
      <c r="AJ21" s="1167" t="str" cm="1">
        <f t="array" ref="AJ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6),""),""))</f>
        <v/>
      </c>
      <c r="AK21" s="1167" t="str" cm="1">
        <f t="array" ref="AK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7),""),""))</f>
        <v/>
      </c>
      <c r="AL21" s="1167" t="str" cm="1">
        <f t="array" ref="AL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8),""),""))</f>
        <v/>
      </c>
      <c r="AM21" s="1167" t="str" cm="1">
        <f t="array" ref="AM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9),""),""))</f>
        <v/>
      </c>
      <c r="AN21" s="1167" t="str" cm="1">
        <f t="array" ref="AN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10),""),""))</f>
        <v/>
      </c>
      <c r="AO21" s="1167" t="str" cm="1">
        <f t="array" ref="AO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11),""),""))</f>
        <v/>
      </c>
      <c r="AP21" s="1167" t="str" cm="1">
        <f t="array" ref="AP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12),""),""))</f>
        <v/>
      </c>
      <c r="AQ21" s="1167" t="str" cm="1">
        <f t="array" ref="AQ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13),""),""))</f>
        <v/>
      </c>
      <c r="AR21" s="1167" t="str" cm="1">
        <f t="array" ref="AR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14),""),""))</f>
        <v/>
      </c>
      <c r="AS21" s="1167" t="str" cm="1">
        <f t="array" ref="AS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15),""),""))</f>
        <v/>
      </c>
      <c r="AT21" s="1167" t="str">
        <f t="shared" si="1"/>
        <v/>
      </c>
      <c r="AU21" s="1167" t="str">
        <f t="shared" si="2"/>
        <v/>
      </c>
      <c r="AV21" s="1167" t="str">
        <f t="shared" si="3"/>
        <v/>
      </c>
      <c r="AW21" s="1167" t="str">
        <f t="shared" si="4"/>
        <v/>
      </c>
      <c r="AX21" s="1163" t="str">
        <f t="shared" si="5"/>
        <v/>
      </c>
      <c r="BA21" s="502" t="str">
        <f>IFERROR(INDEX($C$6:$C$53,_xlfn.AGGREGATE(15,6,(ROW($Y$6:$Y$53)-ROW($Y$6)+1)/(($Y$6:$Y$53&gt;0)*(MOD($AA$6:$AA$53,20)=10)),16)),"")</f>
        <v/>
      </c>
      <c r="BB21" s="503" t="str">
        <f>IF($BA21="","",IFERROR(INDEX($D$6:$D$53,_xlfn.AGGREGATE(15,6,(ROW($Y$6:$Y$53)-ROW($Y$6)+1)/(($Y$6:$Y$53&gt;0)*(MOD($AA$6:$AA$53,20)=10)),16)),""))</f>
        <v/>
      </c>
      <c r="BC21" s="504" t="str">
        <f>IF($BA21="","",IFERROR(INDEX($AA$6:$AA$53,_xlfn.AGGREGATE(15,6,(ROW($Y$6:$Y$53)-ROW($Y$6)+1)/(($Y$6:$Y$53&gt;0)*(MOD($AA$6:$AA$53,20)=10)),16)),""))</f>
        <v/>
      </c>
      <c r="BD21" s="505" t="str">
        <f t="shared" si="6"/>
        <v/>
      </c>
    </row>
    <row r="22" spans="1:56" ht="45.75">
      <c r="A22" s="2257"/>
      <c r="C22" s="42">
        <f>+PP!B40</f>
        <v>17</v>
      </c>
      <c r="D22" s="1020" t="str">
        <f>+PP!C40</f>
        <v>FILETE C/M C/T ENTERO BLANCO 1.0-2.0 kg/pza</v>
      </c>
      <c r="E22" s="217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218"/>
      <c r="Q22" s="218"/>
      <c r="R22" s="218"/>
      <c r="S22" s="218"/>
      <c r="T22" s="218"/>
      <c r="U22" s="218"/>
      <c r="V22" s="218"/>
      <c r="W22" s="218"/>
      <c r="X22" s="218"/>
      <c r="Y22" s="508">
        <f t="shared" si="7"/>
        <v>0</v>
      </c>
      <c r="Z22" s="149">
        <f t="shared" si="0"/>
        <v>0</v>
      </c>
      <c r="AA22" s="146">
        <f t="shared" si="8"/>
        <v>0</v>
      </c>
      <c r="AC22" s="1162" t="str" cm="1">
        <f t="array" ref="AC22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),"")</f>
        <v/>
      </c>
      <c r="AD22" s="1188" t="str" cm="1">
        <f t="array" ref="AD22">IF($AC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),""))</f>
        <v/>
      </c>
      <c r="AE22" s="1189" t="str" cm="1">
        <f t="array" ref="AE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1),""),""))</f>
        <v/>
      </c>
      <c r="AF22" s="1189" t="str" cm="1">
        <f t="array" ref="AF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2),""),""))</f>
        <v/>
      </c>
      <c r="AG22" s="1189" t="str" cm="1">
        <f t="array" ref="AG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3),""),""))</f>
        <v/>
      </c>
      <c r="AH22" s="1189" t="str" cm="1">
        <f t="array" ref="AH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4),""),""))</f>
        <v/>
      </c>
      <c r="AI22" s="1189" t="str" cm="1">
        <f t="array" ref="AI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5),""),""))</f>
        <v/>
      </c>
      <c r="AJ22" s="1189" t="str" cm="1">
        <f t="array" ref="AJ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6),""),""))</f>
        <v/>
      </c>
      <c r="AK22" s="1189" t="str" cm="1">
        <f t="array" ref="AK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7),""),""))</f>
        <v/>
      </c>
      <c r="AL22" s="1189" t="str" cm="1">
        <f t="array" ref="AL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8),""),""))</f>
        <v/>
      </c>
      <c r="AM22" s="1189" t="str" cm="1">
        <f t="array" ref="AM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9),""),""))</f>
        <v/>
      </c>
      <c r="AN22" s="1189" t="str" cm="1">
        <f t="array" ref="AN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10),""),""))</f>
        <v/>
      </c>
      <c r="AO22" s="1189" t="str" cm="1">
        <f t="array" ref="AO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11),""),""))</f>
        <v/>
      </c>
      <c r="AP22" s="1189" t="str" cm="1">
        <f t="array" ref="AP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12),""),""))</f>
        <v/>
      </c>
      <c r="AQ22" s="1189" t="str" cm="1">
        <f t="array" ref="AQ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13),""),""))</f>
        <v/>
      </c>
      <c r="AR22" s="1189" t="str" cm="1">
        <f t="array" ref="AR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14),""),""))</f>
        <v/>
      </c>
      <c r="AS22" s="1189" t="str" cm="1">
        <f t="array" ref="AS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15),""),""))</f>
        <v/>
      </c>
      <c r="AT22" s="1189" t="str">
        <f t="shared" si="1"/>
        <v/>
      </c>
      <c r="AU22" s="1189" t="str">
        <f t="shared" si="2"/>
        <v/>
      </c>
      <c r="AV22" s="1189" t="str">
        <f t="shared" si="3"/>
        <v/>
      </c>
      <c r="AW22" s="1189" t="str">
        <f t="shared" si="4"/>
        <v/>
      </c>
      <c r="AX22" s="1163" t="str">
        <f t="shared" si="5"/>
        <v/>
      </c>
      <c r="BA22" s="502" t="str">
        <f>IFERROR(INDEX($C$6:$C$53,_xlfn.AGGREGATE(15,6,(ROW($Y$6:$Y$53)-ROW($Y$6)+1)/(($Y$6:$Y$53&gt;0)*(MOD($AA$6:$AA$53,20)=10)),17)),"")</f>
        <v/>
      </c>
      <c r="BB22" s="503" t="str">
        <f>IF($BA22="","",IFERROR(INDEX($D$6:$D$53,_xlfn.AGGREGATE(15,6,(ROW($Y$6:$Y$53)-ROW($Y$6)+1)/(($Y$6:$Y$53&gt;0)*(MOD($AA$6:$AA$53,20)=10)),17)),""))</f>
        <v/>
      </c>
      <c r="BC22" s="504" t="str">
        <f>IF($BA22="","",IFERROR(INDEX($AA$6:$AA$53,_xlfn.AGGREGATE(15,6,(ROW($Y$6:$Y$53)-ROW($Y$6)+1)/(($Y$6:$Y$53&gt;0)*(MOD($AA$6:$AA$53,20)=10)),17)),""))</f>
        <v/>
      </c>
      <c r="BD22" s="505" t="str">
        <f t="shared" si="6"/>
        <v/>
      </c>
    </row>
    <row r="23" spans="1:56" ht="45.75">
      <c r="A23" s="2257"/>
      <c r="C23" s="42">
        <f>+PP!B41</f>
        <v>18</v>
      </c>
      <c r="D23" s="1020" t="str">
        <f>+PP!C41</f>
        <v>FILETE C/M C/T ENTERO BLANCO 2.0-4.0 kg/pza</v>
      </c>
      <c r="E23" s="217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508">
        <f t="shared" si="7"/>
        <v>0</v>
      </c>
      <c r="Z23" s="149">
        <f t="shared" si="0"/>
        <v>0</v>
      </c>
      <c r="AA23" s="146">
        <f t="shared" si="8"/>
        <v>0</v>
      </c>
      <c r="AC23" s="1162" t="str" cm="1">
        <f t="array" ref="AC23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),"")</f>
        <v/>
      </c>
      <c r="AD23" s="1188" t="str" cm="1">
        <f t="array" ref="AD23">IF($AC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),""))</f>
        <v/>
      </c>
      <c r="AE23" s="1189" t="str" cm="1">
        <f t="array" ref="AE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1),""),""))</f>
        <v/>
      </c>
      <c r="AF23" s="1189" t="str" cm="1">
        <f t="array" ref="AF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2),""),""))</f>
        <v/>
      </c>
      <c r="AG23" s="1189" t="str" cm="1">
        <f t="array" ref="AG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3),""),""))</f>
        <v/>
      </c>
      <c r="AH23" s="1189" t="str" cm="1">
        <f t="array" ref="AH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4),""),""))</f>
        <v/>
      </c>
      <c r="AI23" s="1189" t="str" cm="1">
        <f t="array" ref="AI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5),""),""))</f>
        <v/>
      </c>
      <c r="AJ23" s="1189" t="str" cm="1">
        <f t="array" ref="AJ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6),""),""))</f>
        <v/>
      </c>
      <c r="AK23" s="1189" t="str" cm="1">
        <f t="array" ref="AK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7),""),""))</f>
        <v/>
      </c>
      <c r="AL23" s="1189" t="str" cm="1">
        <f t="array" ref="AL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8),""),""))</f>
        <v/>
      </c>
      <c r="AM23" s="1189" t="str" cm="1">
        <f t="array" ref="AM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9),""),""))</f>
        <v/>
      </c>
      <c r="AN23" s="1189" t="str" cm="1">
        <f t="array" ref="AN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10),""),""))</f>
        <v/>
      </c>
      <c r="AO23" s="1189" t="str" cm="1">
        <f t="array" ref="AO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11),""),""))</f>
        <v/>
      </c>
      <c r="AP23" s="1189" t="str" cm="1">
        <f t="array" ref="AP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12),""),""))</f>
        <v/>
      </c>
      <c r="AQ23" s="1189" t="str" cm="1">
        <f t="array" ref="AQ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13),""),""))</f>
        <v/>
      </c>
      <c r="AR23" s="1189" t="str" cm="1">
        <f t="array" ref="AR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14),""),""))</f>
        <v/>
      </c>
      <c r="AS23" s="1189" t="str" cm="1">
        <f t="array" ref="AS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15),""),""))</f>
        <v/>
      </c>
      <c r="AT23" s="1189" t="str">
        <f t="shared" si="1"/>
        <v/>
      </c>
      <c r="AU23" s="1189" t="str">
        <f t="shared" si="2"/>
        <v/>
      </c>
      <c r="AV23" s="1189" t="str">
        <f t="shared" si="3"/>
        <v/>
      </c>
      <c r="AW23" s="1189" t="str">
        <f t="shared" si="4"/>
        <v/>
      </c>
      <c r="AX23" s="1163" t="str">
        <f t="shared" si="5"/>
        <v/>
      </c>
      <c r="BA23" s="502" t="str">
        <f>IFERROR(INDEX($C$6:$C$53,_xlfn.AGGREGATE(15,6,(ROW($Y$6:$Y$53)-ROW($Y$6)+1)/(($Y$6:$Y$53&gt;0)*(MOD($AA$6:$AA$53,20)=10)),18)),"")</f>
        <v/>
      </c>
      <c r="BB23" s="503" t="str">
        <f>IF($BA23="","",IFERROR(INDEX($D$6:$D$53,_xlfn.AGGREGATE(15,6,(ROW($Y$6:$Y$53)-ROW($Y$6)+1)/(($Y$6:$Y$53&gt;0)*(MOD($AA$6:$AA$53,20)=10)),18)),""))</f>
        <v/>
      </c>
      <c r="BC23" s="504" t="str">
        <f>IF($BA23="","",IFERROR(INDEX($AA$6:$AA$53,_xlfn.AGGREGATE(15,6,(ROW($Y$6:$Y$53)-ROW($Y$6)+1)/(($Y$6:$Y$53&gt;0)*(MOD($AA$6:$AA$53,20)=10)),18)),""))</f>
        <v/>
      </c>
      <c r="BD23" s="505" t="str">
        <f t="shared" si="6"/>
        <v/>
      </c>
    </row>
    <row r="24" spans="1:56" ht="46.5" thickBot="1">
      <c r="A24" s="2257"/>
      <c r="C24" s="40">
        <f>+PP!B42</f>
        <v>19</v>
      </c>
      <c r="D24" s="1021" t="str">
        <f>+PP!C42</f>
        <v>FILETE LP C/M C/T ENTERO 2.0-4.0 kg/pza</v>
      </c>
      <c r="E24" s="226"/>
      <c r="F24" s="227"/>
      <c r="G24" s="227"/>
      <c r="H24" s="227"/>
      <c r="I24" s="227"/>
      <c r="J24" s="227"/>
      <c r="K24" s="227"/>
      <c r="L24" s="227"/>
      <c r="M24" s="227"/>
      <c r="N24" s="227"/>
      <c r="O24" s="227"/>
      <c r="P24" s="227"/>
      <c r="Q24" s="227"/>
      <c r="R24" s="227"/>
      <c r="S24" s="227"/>
      <c r="T24" s="227"/>
      <c r="U24" s="227"/>
      <c r="V24" s="227"/>
      <c r="W24" s="227"/>
      <c r="X24" s="227"/>
      <c r="Y24" s="509">
        <f t="shared" si="7"/>
        <v>0</v>
      </c>
      <c r="Z24" s="155">
        <f t="shared" si="0"/>
        <v>0</v>
      </c>
      <c r="AA24" s="156">
        <f t="shared" si="8"/>
        <v>0</v>
      </c>
      <c r="AC24" s="1162" t="str" cm="1">
        <f t="array" ref="AC24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),"")</f>
        <v/>
      </c>
      <c r="AD24" s="1188" t="str" cm="1">
        <f t="array" ref="AD24">IF($AC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),""))</f>
        <v/>
      </c>
      <c r="AE24" s="1189" t="str" cm="1">
        <f t="array" ref="AE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1),""),""))</f>
        <v/>
      </c>
      <c r="AF24" s="1189" t="str" cm="1">
        <f t="array" ref="AF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2),""),""))</f>
        <v/>
      </c>
      <c r="AG24" s="1189" t="str" cm="1">
        <f t="array" ref="AG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3),""),""))</f>
        <v/>
      </c>
      <c r="AH24" s="1189" t="str" cm="1">
        <f t="array" ref="AH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4),""),""))</f>
        <v/>
      </c>
      <c r="AI24" s="1189" t="str" cm="1">
        <f t="array" ref="AI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5),""),""))</f>
        <v/>
      </c>
      <c r="AJ24" s="1189" t="str" cm="1">
        <f t="array" ref="AJ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6),""),""))</f>
        <v/>
      </c>
      <c r="AK24" s="1189" t="str" cm="1">
        <f t="array" ref="AK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7),""),""))</f>
        <v/>
      </c>
      <c r="AL24" s="1189" t="str" cm="1">
        <f t="array" ref="AL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8),""),""))</f>
        <v/>
      </c>
      <c r="AM24" s="1189" t="str" cm="1">
        <f t="array" ref="AM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9),""),""))</f>
        <v/>
      </c>
      <c r="AN24" s="1189" t="str" cm="1">
        <f t="array" ref="AN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10),""),""))</f>
        <v/>
      </c>
      <c r="AO24" s="1189" t="str" cm="1">
        <f t="array" ref="AO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11),""),""))</f>
        <v/>
      </c>
      <c r="AP24" s="1189" t="str" cm="1">
        <f t="array" ref="AP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12),""),""))</f>
        <v/>
      </c>
      <c r="AQ24" s="1189" t="str" cm="1">
        <f t="array" ref="AQ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13),""),""))</f>
        <v/>
      </c>
      <c r="AR24" s="1189" t="str" cm="1">
        <f t="array" ref="AR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14),""),""))</f>
        <v/>
      </c>
      <c r="AS24" s="1189" t="str" cm="1">
        <f t="array" ref="AS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15),""),""))</f>
        <v/>
      </c>
      <c r="AT24" s="1189" t="str">
        <f t="shared" si="1"/>
        <v/>
      </c>
      <c r="AU24" s="1189" t="str">
        <f t="shared" si="2"/>
        <v/>
      </c>
      <c r="AV24" s="1189" t="str">
        <f t="shared" si="3"/>
        <v/>
      </c>
      <c r="AW24" s="1189" t="str">
        <f t="shared" si="4"/>
        <v/>
      </c>
      <c r="AX24" s="1163" t="str">
        <f t="shared" si="5"/>
        <v/>
      </c>
      <c r="BA24" s="502" t="str">
        <f>IFERROR(INDEX($C$6:$C$53,_xlfn.AGGREGATE(15,6,(ROW($Y$6:$Y$53)-ROW($Y$6)+1)/(($Y$6:$Y$53&gt;0)*(MOD($AA$6:$AA$53,20)=10)),19)),"")</f>
        <v/>
      </c>
      <c r="BB24" s="503" t="str">
        <f>IF($BA24="","",IFERROR(INDEX($D$6:$D$53,_xlfn.AGGREGATE(15,6,(ROW($Y$6:$Y$53)-ROW($Y$6)+1)/(($Y$6:$Y$53&gt;0)*(MOD($AA$6:$AA$53,20)=10)),19)),""))</f>
        <v/>
      </c>
      <c r="BC24" s="504" t="str">
        <f>IF($BA24="","",IFERROR(INDEX($AA$6:$AA$53,_xlfn.AGGREGATE(15,6,(ROW($Y$6:$Y$53)-ROW($Y$6)+1)/(($Y$6:$Y$53&gt;0)*(MOD($AA$6:$AA$53,20)=10)),19)),""))</f>
        <v/>
      </c>
      <c r="BD24" s="505" t="str">
        <f t="shared" si="6"/>
        <v/>
      </c>
    </row>
    <row r="25" spans="1:56" ht="45.75">
      <c r="A25" s="2257"/>
      <c r="C25" s="41">
        <f>+PP!B43</f>
        <v>20</v>
      </c>
      <c r="D25" s="259" t="str">
        <f>+PP!C43</f>
        <v>MANTO BLANCO C/M C/T 500-1000 g/pza</v>
      </c>
      <c r="E25" s="211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212"/>
      <c r="S25" s="212"/>
      <c r="T25" s="212"/>
      <c r="U25" s="212"/>
      <c r="V25" s="212"/>
      <c r="W25" s="212"/>
      <c r="X25" s="212"/>
      <c r="Y25" s="514">
        <f t="shared" si="7"/>
        <v>0</v>
      </c>
      <c r="Z25" s="148">
        <f t="shared" si="0"/>
        <v>0</v>
      </c>
      <c r="AA25" s="145">
        <f t="shared" si="8"/>
        <v>0</v>
      </c>
      <c r="AC25" s="1162" t="str" cm="1">
        <f t="array" ref="AC25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),"")</f>
        <v/>
      </c>
      <c r="AD25" s="1188" t="str" cm="1">
        <f t="array" ref="AD25">IF($AC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),""))</f>
        <v/>
      </c>
      <c r="AE25" s="1189" t="str" cm="1">
        <f t="array" ref="AE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1),""),""))</f>
        <v/>
      </c>
      <c r="AF25" s="1189" t="str" cm="1">
        <f t="array" ref="AF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2),""),""))</f>
        <v/>
      </c>
      <c r="AG25" s="1189" t="str" cm="1">
        <f t="array" ref="AG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3),""),""))</f>
        <v/>
      </c>
      <c r="AH25" s="1189" t="str" cm="1">
        <f t="array" ref="AH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4),""),""))</f>
        <v/>
      </c>
      <c r="AI25" s="1189" t="str" cm="1">
        <f t="array" ref="AI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5),""),""))</f>
        <v/>
      </c>
      <c r="AJ25" s="1189" t="str" cm="1">
        <f t="array" ref="AJ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6),""),""))</f>
        <v/>
      </c>
      <c r="AK25" s="1189" t="str" cm="1">
        <f t="array" ref="AK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7),""),""))</f>
        <v/>
      </c>
      <c r="AL25" s="1189" t="str" cm="1">
        <f t="array" ref="AL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8),""),""))</f>
        <v/>
      </c>
      <c r="AM25" s="1189" t="str" cm="1">
        <f t="array" ref="AM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9),""),""))</f>
        <v/>
      </c>
      <c r="AN25" s="1189" t="str" cm="1">
        <f t="array" ref="AN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10),""),""))</f>
        <v/>
      </c>
      <c r="AO25" s="1189" t="str" cm="1">
        <f t="array" ref="AO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11),""),""))</f>
        <v/>
      </c>
      <c r="AP25" s="1189" t="str" cm="1">
        <f t="array" ref="AP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12),""),""))</f>
        <v/>
      </c>
      <c r="AQ25" s="1189" t="str" cm="1">
        <f t="array" ref="AQ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13),""),""))</f>
        <v/>
      </c>
      <c r="AR25" s="1189" t="str" cm="1">
        <f t="array" ref="AR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14),""),""))</f>
        <v/>
      </c>
      <c r="AS25" s="1189" t="str" cm="1">
        <f t="array" ref="AS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15),""),""))</f>
        <v/>
      </c>
      <c r="AT25" s="1189" t="str">
        <f t="shared" si="1"/>
        <v/>
      </c>
      <c r="AU25" s="1189" t="str">
        <f t="shared" si="2"/>
        <v/>
      </c>
      <c r="AV25" s="1189" t="str">
        <f t="shared" si="3"/>
        <v/>
      </c>
      <c r="AW25" s="1189" t="str">
        <f t="shared" si="4"/>
        <v/>
      </c>
      <c r="AX25" s="1163" t="str">
        <f t="shared" si="5"/>
        <v/>
      </c>
      <c r="BA25" s="502" t="str">
        <f>IFERROR(INDEX($C$6:$C$53,_xlfn.AGGREGATE(15,6,(ROW($Y$6:$Y$53)-ROW($Y$6)+1)/(($Y$6:$Y$53&gt;0)*(MOD($AA$6:$AA$53,20)=10)),20)),"")</f>
        <v/>
      </c>
      <c r="BB25" s="503" t="str">
        <f>IF($BA25="","",IFERROR(INDEX($D$6:$D$53,_xlfn.AGGREGATE(15,6,(ROW($Y$6:$Y$53)-ROW($Y$6)+1)/(($Y$6:$Y$53&gt;0)*(MOD($AA$6:$AA$53,20)=10)),20)),""))</f>
        <v/>
      </c>
      <c r="BC25" s="504" t="str">
        <f>IF($BA25="","",IFERROR(INDEX($AA$6:$AA$53,_xlfn.AGGREGATE(15,6,(ROW($Y$6:$Y$53)-ROW($Y$6)+1)/(($Y$6:$Y$53&gt;0)*(MOD($AA$6:$AA$53,20)=10)),20)),""))</f>
        <v/>
      </c>
      <c r="BD25" s="505" t="str">
        <f t="shared" si="6"/>
        <v/>
      </c>
    </row>
    <row r="26" spans="1:56" ht="45.75">
      <c r="A26" s="2257"/>
      <c r="C26" s="42">
        <f>+PP!B44</f>
        <v>21</v>
      </c>
      <c r="D26" s="1020" t="str">
        <f>+PP!C44</f>
        <v>MANTO BLANCO C/M C/T 1.0-2.0 kg/pza</v>
      </c>
      <c r="E26" s="217"/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218"/>
      <c r="S26" s="218"/>
      <c r="T26" s="218"/>
      <c r="U26" s="218"/>
      <c r="V26" s="218"/>
      <c r="W26" s="218"/>
      <c r="X26" s="218"/>
      <c r="Y26" s="508">
        <f t="shared" si="7"/>
        <v>0</v>
      </c>
      <c r="Z26" s="149">
        <f t="shared" si="0"/>
        <v>0</v>
      </c>
      <c r="AA26" s="146">
        <f t="shared" si="8"/>
        <v>0</v>
      </c>
      <c r="AC26" s="499" t="str" cm="1">
        <f t="array" ref="AC26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),"")</f>
        <v/>
      </c>
      <c r="AD26" s="500" t="str" cm="1">
        <f t="array" ref="AD26">IF($AC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),""))</f>
        <v/>
      </c>
      <c r="AE26" s="458" t="str" cm="1">
        <f t="array" ref="AE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1),""),""))</f>
        <v/>
      </c>
      <c r="AF26" s="458" t="str" cm="1">
        <f t="array" ref="AF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2),""),""))</f>
        <v/>
      </c>
      <c r="AG26" s="458" t="str" cm="1">
        <f t="array" ref="AG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3),""),""))</f>
        <v/>
      </c>
      <c r="AH26" s="458" t="str" cm="1">
        <f t="array" ref="AH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4),""),""))</f>
        <v/>
      </c>
      <c r="AI26" s="458" t="str" cm="1">
        <f t="array" ref="AI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5),""),""))</f>
        <v/>
      </c>
      <c r="AJ26" s="458" t="str" cm="1">
        <f t="array" ref="AJ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6),""),""))</f>
        <v/>
      </c>
      <c r="AK26" s="458" t="str" cm="1">
        <f t="array" ref="AK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7),""),""))</f>
        <v/>
      </c>
      <c r="AL26" s="458" t="str" cm="1">
        <f t="array" ref="AL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8),""),""))</f>
        <v/>
      </c>
      <c r="AM26" s="458" t="str" cm="1">
        <f t="array" ref="AM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9),""),""))</f>
        <v/>
      </c>
      <c r="AN26" s="458" t="str" cm="1">
        <f t="array" ref="AN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10),""),""))</f>
        <v/>
      </c>
      <c r="AO26" s="458" t="str" cm="1">
        <f t="array" ref="AO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11),""),""))</f>
        <v/>
      </c>
      <c r="AP26" s="458" t="str" cm="1">
        <f t="array" ref="AP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12),""),""))</f>
        <v/>
      </c>
      <c r="AQ26" s="458" t="str" cm="1">
        <f t="array" ref="AQ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13),""),""))</f>
        <v/>
      </c>
      <c r="AR26" s="458" t="str" cm="1">
        <f t="array" ref="AR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14),""),""))</f>
        <v/>
      </c>
      <c r="AS26" s="458" t="str" cm="1">
        <f t="array" ref="AS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15),""),""))</f>
        <v/>
      </c>
      <c r="AT26" s="458" t="str">
        <f t="shared" si="1"/>
        <v/>
      </c>
      <c r="AU26" s="458" t="str">
        <f t="shared" si="2"/>
        <v/>
      </c>
      <c r="AV26" s="458" t="str">
        <f t="shared" si="3"/>
        <v/>
      </c>
      <c r="AW26" s="458" t="str">
        <f t="shared" si="4"/>
        <v/>
      </c>
      <c r="AX26" s="501" t="str">
        <f t="shared" si="5"/>
        <v/>
      </c>
      <c r="BA26" s="502" t="str">
        <f>IFERROR(INDEX($C$6:$C$53,_xlfn.AGGREGATE(15,6,(ROW($Y$6:$Y$53)-ROW($Y$6)+1)/(($Y$6:$Y$53&gt;0)*(MOD($AA$6:$AA$53,20)=10)),21)),"")</f>
        <v/>
      </c>
      <c r="BB26" s="503" t="str">
        <f>IF($BA26="","",IFERROR(INDEX($D$6:$D$53,_xlfn.AGGREGATE(15,6,(ROW($Y$6:$Y$53)-ROW($Y$6)+1)/(($Y$6:$Y$53&gt;0)*(MOD($AA$6:$AA$53,20)=10)),21)),""))</f>
        <v/>
      </c>
      <c r="BC26" s="504" t="str">
        <f>IF($BA26="","",IFERROR(INDEX($AA$6:$AA$53,_xlfn.AGGREGATE(15,6,(ROW($Y$6:$Y$53)-ROW($Y$6)+1)/(($Y$6:$Y$53&gt;0)*(MOD($AA$6:$AA$53,20)=10)),21)),""))</f>
        <v/>
      </c>
      <c r="BD26" s="505" t="str">
        <f t="shared" si="6"/>
        <v/>
      </c>
    </row>
    <row r="27" spans="1:56" ht="46.5" thickBot="1">
      <c r="A27" s="2257"/>
      <c r="C27" s="42">
        <f>+PP!B45</f>
        <v>22</v>
      </c>
      <c r="D27" s="1020" t="str">
        <f>+PP!C45</f>
        <v>MANTO BLANCO C/M C/T 2.0-4.0 kg/pza</v>
      </c>
      <c r="E27" s="217"/>
      <c r="F27" s="218"/>
      <c r="G27" s="21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218"/>
      <c r="S27" s="218"/>
      <c r="T27" s="218"/>
      <c r="U27" s="218"/>
      <c r="V27" s="218"/>
      <c r="W27" s="218"/>
      <c r="X27" s="218"/>
      <c r="Y27" s="508">
        <f t="shared" si="7"/>
        <v>0</v>
      </c>
      <c r="Z27" s="149">
        <f t="shared" si="0"/>
        <v>0</v>
      </c>
      <c r="AA27" s="146">
        <f t="shared" si="8"/>
        <v>0</v>
      </c>
      <c r="AC27" s="515" t="str" cm="1">
        <f t="array" ref="AC27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),"")</f>
        <v/>
      </c>
      <c r="AD27" s="516" t="str" cm="1">
        <f t="array" ref="AD27">IF($AC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),""))</f>
        <v/>
      </c>
      <c r="AE27" s="517" t="str" cm="1">
        <f t="array" ref="AE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1),""),""))</f>
        <v/>
      </c>
      <c r="AF27" s="517" t="str" cm="1">
        <f t="array" ref="AF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2),""),""))</f>
        <v/>
      </c>
      <c r="AG27" s="517" t="str" cm="1">
        <f t="array" ref="AG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3),""),""))</f>
        <v/>
      </c>
      <c r="AH27" s="517" t="str" cm="1">
        <f t="array" ref="AH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4),""),""))</f>
        <v/>
      </c>
      <c r="AI27" s="517" t="str" cm="1">
        <f t="array" ref="AI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5),""),""))</f>
        <v/>
      </c>
      <c r="AJ27" s="517" t="str" cm="1">
        <f t="array" ref="AJ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6),""),""))</f>
        <v/>
      </c>
      <c r="AK27" s="517" t="str" cm="1">
        <f t="array" ref="AK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7),""),""))</f>
        <v/>
      </c>
      <c r="AL27" s="517" t="str" cm="1">
        <f t="array" ref="AL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8),""),""))</f>
        <v/>
      </c>
      <c r="AM27" s="517" t="str" cm="1">
        <f t="array" ref="AM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9),""),""))</f>
        <v/>
      </c>
      <c r="AN27" s="517" t="str" cm="1">
        <f t="array" ref="AN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10),""),""))</f>
        <v/>
      </c>
      <c r="AO27" s="517" t="str" cm="1">
        <f t="array" ref="AO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11),""),""))</f>
        <v/>
      </c>
      <c r="AP27" s="517" t="str" cm="1">
        <f t="array" ref="AP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12),""),""))</f>
        <v/>
      </c>
      <c r="AQ27" s="517" t="str" cm="1">
        <f t="array" ref="AQ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13),""),""))</f>
        <v/>
      </c>
      <c r="AR27" s="517" t="str" cm="1">
        <f t="array" ref="AR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14),""),""))</f>
        <v/>
      </c>
      <c r="AS27" s="517" t="str" cm="1">
        <f t="array" ref="AS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15),""),""))</f>
        <v/>
      </c>
      <c r="AT27" s="517" t="str">
        <f t="shared" si="1"/>
        <v/>
      </c>
      <c r="AU27" s="517" t="str">
        <f t="shared" si="2"/>
        <v/>
      </c>
      <c r="AV27" s="517" t="str">
        <f t="shared" si="3"/>
        <v/>
      </c>
      <c r="AW27" s="517" t="str">
        <f t="shared" si="4"/>
        <v/>
      </c>
      <c r="AX27" s="518" t="str">
        <f t="shared" si="5"/>
        <v/>
      </c>
      <c r="BA27" s="519" t="str">
        <f>IFERROR(INDEX($C$6:$C$53,_xlfn.AGGREGATE(15,6,(ROW($Y$6:$Y$53)-ROW($Y$6)+1)/(($Y$6:$Y$53&gt;0)*(MOD($AA$6:$AA$53,20)=10)),22)),"")</f>
        <v/>
      </c>
      <c r="BB27" s="520" t="str">
        <f>IF($BA27="","",IFERROR(INDEX($D$6:$D$53,_xlfn.AGGREGATE(15,6,(ROW($Y$6:$Y$53)-ROW($Y$6)+1)/(($Y$6:$Y$53&gt;0)*(MOD($AA$6:$AA$53,20)=10)),22)),""))</f>
        <v/>
      </c>
      <c r="BC27" s="521" t="str">
        <f>IF($BA27="","",IFERROR(INDEX($AA$6:$AA$53,_xlfn.AGGREGATE(15,6,(ROW($Y$6:$Y$53)-ROW($Y$6)+1)/(($Y$6:$Y$53&gt;0)*(MOD($AA$6:$AA$53,20)=10)),22)),""))</f>
        <v/>
      </c>
      <c r="BD27" s="522" t="str">
        <f t="shared" si="6"/>
        <v/>
      </c>
    </row>
    <row r="28" spans="1:56" ht="46.5" thickBot="1">
      <c r="A28" s="2257"/>
      <c r="C28" s="42">
        <f>+PP!B46</f>
        <v>23</v>
      </c>
      <c r="D28" s="1020" t="str">
        <f>+PP!C46</f>
        <v>MANTO LP C/M C/T 500-1000 g/pza</v>
      </c>
      <c r="E28" s="217"/>
      <c r="F28" s="218"/>
      <c r="G28" s="218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218"/>
      <c r="S28" s="218"/>
      <c r="T28" s="218"/>
      <c r="U28" s="218"/>
      <c r="V28" s="218"/>
      <c r="W28" s="218"/>
      <c r="X28" s="218"/>
      <c r="Y28" s="508">
        <f t="shared" si="7"/>
        <v>0</v>
      </c>
      <c r="Z28" s="149">
        <f t="shared" si="0"/>
        <v>0</v>
      </c>
      <c r="AA28" s="146">
        <f t="shared" si="8"/>
        <v>0</v>
      </c>
      <c r="AC28" s="2543" t="s">
        <v>3</v>
      </c>
      <c r="AD28" s="2544"/>
      <c r="AE28" s="523">
        <f t="shared" ref="AE28:AV28" si="9">SUM(AE6:AE27)</f>
        <v>0</v>
      </c>
      <c r="AF28" s="523">
        <f t="shared" si="9"/>
        <v>0</v>
      </c>
      <c r="AG28" s="523">
        <f t="shared" si="9"/>
        <v>0</v>
      </c>
      <c r="AH28" s="523">
        <f t="shared" si="9"/>
        <v>0</v>
      </c>
      <c r="AI28" s="523">
        <f t="shared" si="9"/>
        <v>0</v>
      </c>
      <c r="AJ28" s="523">
        <f t="shared" si="9"/>
        <v>0</v>
      </c>
      <c r="AK28" s="523">
        <f t="shared" si="9"/>
        <v>0</v>
      </c>
      <c r="AL28" s="523">
        <f t="shared" si="9"/>
        <v>0</v>
      </c>
      <c r="AM28" s="523">
        <f t="shared" si="9"/>
        <v>0</v>
      </c>
      <c r="AN28" s="523">
        <f t="shared" si="9"/>
        <v>0</v>
      </c>
      <c r="AO28" s="523">
        <f t="shared" si="9"/>
        <v>0</v>
      </c>
      <c r="AP28" s="523">
        <f t="shared" si="9"/>
        <v>0</v>
      </c>
      <c r="AQ28" s="523">
        <f t="shared" si="9"/>
        <v>0</v>
      </c>
      <c r="AR28" s="523">
        <f t="shared" si="9"/>
        <v>0</v>
      </c>
      <c r="AS28" s="523">
        <f t="shared" si="9"/>
        <v>0</v>
      </c>
      <c r="AT28" s="523">
        <f t="shared" si="9"/>
        <v>0</v>
      </c>
      <c r="AU28" s="523">
        <f t="shared" si="9"/>
        <v>0</v>
      </c>
      <c r="AV28" s="523">
        <f t="shared" si="9"/>
        <v>0</v>
      </c>
      <c r="AW28" s="523" t="str">
        <f>IF(COUNTIF(AW6:AW27,"REVISIÓN*")&gt;0,"REVISAR","OK")</f>
        <v>OK</v>
      </c>
      <c r="AX28" s="482" t="str">
        <f>IF(COUNTIF(AX6:AX27,"SÍ")&gt;0,"HAY","NO")</f>
        <v>NO</v>
      </c>
      <c r="BA28" s="2517" t="s">
        <v>514</v>
      </c>
      <c r="BB28" s="2518"/>
      <c r="BC28" s="2519">
        <f>COUNT($BA$6:$BA$27)</f>
        <v>0</v>
      </c>
      <c r="BD28" s="2520"/>
    </row>
    <row r="29" spans="1:56" ht="45.75">
      <c r="A29" s="2257"/>
      <c r="C29" s="42">
        <f>+PP!B47</f>
        <v>24</v>
      </c>
      <c r="D29" s="1020" t="str">
        <f>+PP!C47</f>
        <v>MANTO LP C/M C/T 1.0-2.0 Kg/pza</v>
      </c>
      <c r="E29" s="217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8"/>
      <c r="T29" s="218"/>
      <c r="U29" s="218"/>
      <c r="V29" s="218"/>
      <c r="W29" s="218"/>
      <c r="X29" s="218"/>
      <c r="Y29" s="508">
        <f t="shared" si="7"/>
        <v>0</v>
      </c>
      <c r="Z29" s="149">
        <f t="shared" si="0"/>
        <v>0</v>
      </c>
      <c r="AA29" s="146">
        <f t="shared" si="8"/>
        <v>0</v>
      </c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</row>
    <row r="30" spans="1:56" ht="46.5" thickBot="1">
      <c r="A30" s="2257"/>
      <c r="C30" s="40">
        <f>+PP!B48</f>
        <v>25</v>
      </c>
      <c r="D30" s="1021" t="str">
        <f>+PP!C48</f>
        <v>MANTO LP C/M C/T 2.0-4.0 Kg/pza</v>
      </c>
      <c r="E30" s="214"/>
      <c r="F30" s="215"/>
      <c r="G30" s="215"/>
      <c r="H30" s="215"/>
      <c r="I30" s="215"/>
      <c r="J30" s="215"/>
      <c r="K30" s="215"/>
      <c r="L30" s="215"/>
      <c r="M30" s="215"/>
      <c r="N30" s="215"/>
      <c r="O30" s="215"/>
      <c r="P30" s="215"/>
      <c r="Q30" s="215"/>
      <c r="R30" s="215"/>
      <c r="S30" s="215"/>
      <c r="T30" s="215"/>
      <c r="U30" s="215"/>
      <c r="V30" s="215"/>
      <c r="W30" s="215"/>
      <c r="X30" s="215"/>
      <c r="Y30" s="524">
        <f t="shared" si="7"/>
        <v>0</v>
      </c>
      <c r="Z30" s="150">
        <f t="shared" si="0"/>
        <v>0</v>
      </c>
      <c r="AA30" s="147">
        <f t="shared" si="8"/>
        <v>0</v>
      </c>
      <c r="AC30"/>
      <c r="AD30" s="207"/>
      <c r="AE30" s="207"/>
      <c r="AF30" s="207"/>
      <c r="AG30" s="207"/>
      <c r="AH30" s="207"/>
      <c r="AI30" s="207"/>
      <c r="AJ30" s="207"/>
      <c r="AK30" s="207"/>
      <c r="AL30" s="207"/>
      <c r="AM30" s="207"/>
      <c r="AN30" s="207"/>
      <c r="AO30"/>
      <c r="AP30"/>
      <c r="AQ30"/>
      <c r="AR30"/>
      <c r="AS30"/>
      <c r="AT30"/>
      <c r="AU30"/>
      <c r="AV30"/>
      <c r="AW30"/>
      <c r="AX30"/>
    </row>
    <row r="31" spans="1:56" ht="45.75">
      <c r="A31" s="2257"/>
      <c r="C31" s="42">
        <f>+PP!B49</f>
        <v>26</v>
      </c>
      <c r="D31" s="1020" t="str">
        <f>+PP!C49</f>
        <v>NUCA C/C CERRADO 0-100 g/pza</v>
      </c>
      <c r="E31" s="257"/>
      <c r="F31" s="218"/>
      <c r="G31" s="218"/>
      <c r="H31" s="218"/>
      <c r="I31" s="218"/>
      <c r="J31" s="218"/>
      <c r="K31" s="218"/>
      <c r="L31" s="218"/>
      <c r="M31" s="219"/>
      <c r="N31" s="219"/>
      <c r="O31" s="219"/>
      <c r="P31" s="219"/>
      <c r="Q31" s="219"/>
      <c r="R31" s="219"/>
      <c r="S31" s="219"/>
      <c r="T31" s="219"/>
      <c r="U31" s="275"/>
      <c r="V31" s="218"/>
      <c r="W31" s="218"/>
      <c r="X31" s="218"/>
      <c r="Y31" s="508">
        <f t="shared" si="7"/>
        <v>0</v>
      </c>
      <c r="Z31" s="149">
        <f t="shared" si="0"/>
        <v>0</v>
      </c>
      <c r="AA31" s="146">
        <f t="shared" si="8"/>
        <v>0</v>
      </c>
      <c r="AC31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/>
      <c r="AP31"/>
      <c r="AQ31"/>
      <c r="AR31"/>
      <c r="AS31"/>
      <c r="AT31"/>
      <c r="AU31"/>
      <c r="AV31"/>
      <c r="AW31"/>
      <c r="AX31"/>
    </row>
    <row r="32" spans="1:56" ht="45.75">
      <c r="A32" s="2257"/>
      <c r="C32" s="42">
        <f>+PP!B50</f>
        <v>27</v>
      </c>
      <c r="D32" s="1020" t="str">
        <f>+PP!C50</f>
        <v>NUCA C/C ABIERTO 100-300 g/pza</v>
      </c>
      <c r="E32" s="257"/>
      <c r="F32" s="218"/>
      <c r="G32" s="218"/>
      <c r="H32" s="218"/>
      <c r="I32" s="218"/>
      <c r="J32" s="218"/>
      <c r="K32" s="218"/>
      <c r="L32" s="218"/>
      <c r="M32" s="218"/>
      <c r="N32" s="218"/>
      <c r="O32" s="218"/>
      <c r="P32" s="218"/>
      <c r="Q32" s="218"/>
      <c r="R32" s="218"/>
      <c r="S32" s="218"/>
      <c r="T32" s="218"/>
      <c r="U32" s="218"/>
      <c r="V32" s="218"/>
      <c r="W32" s="218"/>
      <c r="X32" s="218"/>
      <c r="Y32" s="508">
        <f t="shared" si="7"/>
        <v>0</v>
      </c>
      <c r="Z32" s="149">
        <f t="shared" si="0"/>
        <v>0</v>
      </c>
      <c r="AA32" s="146">
        <f t="shared" si="8"/>
        <v>0</v>
      </c>
      <c r="AC32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/>
      <c r="AP32"/>
      <c r="AQ32"/>
      <c r="AR32"/>
      <c r="AS32"/>
      <c r="AT32"/>
      <c r="AU32"/>
      <c r="AV32"/>
      <c r="AW32"/>
      <c r="AX32"/>
    </row>
    <row r="33" spans="1:50" ht="45.75">
      <c r="A33" s="2257"/>
      <c r="C33" s="42">
        <f>+PP!B51</f>
        <v>28</v>
      </c>
      <c r="D33" s="1020" t="str">
        <f>+PP!C51</f>
        <v>NUCA C/C ABIERTO 300-500 g/pza</v>
      </c>
      <c r="E33" s="257"/>
      <c r="F33" s="218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531"/>
      <c r="W33" s="531"/>
      <c r="X33" s="531"/>
      <c r="Y33" s="508">
        <f t="shared" si="7"/>
        <v>0</v>
      </c>
      <c r="Z33" s="149">
        <f t="shared" si="0"/>
        <v>0</v>
      </c>
      <c r="AA33" s="146">
        <f t="shared" si="8"/>
        <v>0</v>
      </c>
      <c r="AC33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/>
      <c r="AP33"/>
      <c r="AQ33"/>
      <c r="AR33"/>
      <c r="AS33"/>
      <c r="AT33"/>
      <c r="AU33"/>
      <c r="AV33"/>
      <c r="AW33"/>
      <c r="AX33"/>
    </row>
    <row r="34" spans="1:50" ht="46.5" thickBot="1">
      <c r="A34" s="2257"/>
      <c r="C34" s="40">
        <f>+PP!B52</f>
        <v>29</v>
      </c>
      <c r="D34" s="1021" t="str">
        <f>+PP!C52</f>
        <v>NUCA C/C ABIERTO 500-1000 g/pza</v>
      </c>
      <c r="E34" s="255"/>
      <c r="F34" s="227"/>
      <c r="G34" s="227"/>
      <c r="H34" s="227"/>
      <c r="I34" s="227"/>
      <c r="J34" s="227"/>
      <c r="K34" s="227"/>
      <c r="L34" s="227"/>
      <c r="M34" s="227"/>
      <c r="N34" s="227"/>
      <c r="O34" s="227"/>
      <c r="P34" s="227"/>
      <c r="Q34" s="227"/>
      <c r="R34" s="227"/>
      <c r="S34" s="227"/>
      <c r="T34" s="227"/>
      <c r="U34" s="227"/>
      <c r="V34" s="533"/>
      <c r="W34" s="533"/>
      <c r="X34" s="533"/>
      <c r="Y34" s="509">
        <f t="shared" si="7"/>
        <v>0</v>
      </c>
      <c r="Z34" s="155">
        <f t="shared" si="0"/>
        <v>0</v>
      </c>
      <c r="AA34" s="156">
        <f t="shared" si="8"/>
        <v>0</v>
      </c>
      <c r="AC34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/>
      <c r="AP34"/>
      <c r="AQ34"/>
      <c r="AR34"/>
      <c r="AS34"/>
      <c r="AT34"/>
      <c r="AU34"/>
      <c r="AV34"/>
      <c r="AW34"/>
      <c r="AX34"/>
    </row>
    <row r="35" spans="1:50" ht="45.75">
      <c r="A35" s="2257"/>
      <c r="C35" s="41">
        <f>+PP!B53</f>
        <v>30</v>
      </c>
      <c r="D35" s="259" t="str">
        <f>+PP!C53</f>
        <v>NUCA C/C ABIERTO 1.0 - UP kg/pza</v>
      </c>
      <c r="E35" s="382"/>
      <c r="F35" s="212"/>
      <c r="G35" s="212"/>
      <c r="H35" s="212"/>
      <c r="I35" s="212"/>
      <c r="J35" s="212"/>
      <c r="K35" s="212"/>
      <c r="L35" s="212"/>
      <c r="M35" s="212"/>
      <c r="N35" s="212"/>
      <c r="O35" s="212"/>
      <c r="P35" s="212"/>
      <c r="Q35" s="212"/>
      <c r="R35" s="212"/>
      <c r="S35" s="212"/>
      <c r="T35" s="212"/>
      <c r="U35" s="212"/>
      <c r="V35" s="212"/>
      <c r="W35" s="212"/>
      <c r="X35" s="212"/>
      <c r="Y35" s="514">
        <f t="shared" si="7"/>
        <v>0</v>
      </c>
      <c r="Z35" s="148">
        <f t="shared" si="0"/>
        <v>0</v>
      </c>
      <c r="AA35" s="145">
        <f t="shared" si="8"/>
        <v>0</v>
      </c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</row>
    <row r="36" spans="1:50" ht="45.75">
      <c r="A36" s="2257"/>
      <c r="C36" s="42">
        <f>+PP!B54</f>
        <v>31</v>
      </c>
      <c r="D36" s="1020" t="str">
        <f>+PP!C54</f>
        <v>RECORTE BLANCO SM ST</v>
      </c>
      <c r="E36" s="595"/>
      <c r="F36" s="531"/>
      <c r="G36" s="531"/>
      <c r="H36" s="531"/>
      <c r="I36" s="531"/>
      <c r="J36" s="531"/>
      <c r="K36" s="531"/>
      <c r="L36" s="531"/>
      <c r="M36" s="531"/>
      <c r="N36" s="531"/>
      <c r="O36" s="531"/>
      <c r="P36" s="531"/>
      <c r="Q36" s="531"/>
      <c r="R36" s="531"/>
      <c r="S36" s="531"/>
      <c r="T36" s="531"/>
      <c r="U36" s="531"/>
      <c r="V36" s="531"/>
      <c r="W36" s="218"/>
      <c r="X36" s="218"/>
      <c r="Y36" s="508">
        <f t="shared" si="7"/>
        <v>0</v>
      </c>
      <c r="Z36" s="149">
        <f t="shared" si="0"/>
        <v>0</v>
      </c>
      <c r="AA36" s="146">
        <f t="shared" si="8"/>
        <v>0</v>
      </c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</row>
    <row r="37" spans="1:50" ht="46.5" thickBot="1">
      <c r="A37" s="2257"/>
      <c r="C37" s="42">
        <f>+PP!B55</f>
        <v>32</v>
      </c>
      <c r="D37" s="1021" t="str">
        <f>+PP!C55</f>
        <v>RECORTE AMARILLO SM ST</v>
      </c>
      <c r="E37" s="951"/>
      <c r="F37" s="215"/>
      <c r="G37" s="215"/>
      <c r="H37" s="215"/>
      <c r="I37" s="215"/>
      <c r="J37" s="215"/>
      <c r="K37" s="215"/>
      <c r="L37" s="215"/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524">
        <f>SUM(E37:X37)</f>
        <v>0</v>
      </c>
      <c r="Z37" s="150">
        <f t="shared" si="0"/>
        <v>0</v>
      </c>
      <c r="AA37" s="147">
        <f t="shared" si="8"/>
        <v>0</v>
      </c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</row>
    <row r="38" spans="1:50" ht="45.75">
      <c r="A38" s="2257"/>
      <c r="C38" s="42">
        <f>+PP!B56</f>
        <v>33</v>
      </c>
      <c r="D38" s="1020" t="str">
        <f>+PP!C56</f>
        <v>RECORTE PRECOCIDO</v>
      </c>
      <c r="E38" s="211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212"/>
      <c r="U38" s="212"/>
      <c r="V38" s="212"/>
      <c r="W38" s="212"/>
      <c r="X38" s="212"/>
      <c r="Y38" s="514">
        <f t="shared" si="7"/>
        <v>0</v>
      </c>
      <c r="Z38" s="148">
        <f t="shared" si="0"/>
        <v>0</v>
      </c>
      <c r="AA38" s="145">
        <f t="shared" si="8"/>
        <v>0</v>
      </c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</row>
    <row r="39" spans="1:50" ht="46.5" thickBot="1">
      <c r="A39" s="2257"/>
      <c r="C39" s="40">
        <f>+PP!B57</f>
        <v>34</v>
      </c>
      <c r="D39" s="1021" t="str">
        <f>+PP!C57</f>
        <v>REPRODUCTORES SV, PEQUEÑO</v>
      </c>
      <c r="E39" s="214"/>
      <c r="F39" s="215"/>
      <c r="G39" s="215"/>
      <c r="H39" s="215"/>
      <c r="I39" s="215"/>
      <c r="J39" s="215"/>
      <c r="K39" s="215"/>
      <c r="L39" s="215"/>
      <c r="M39" s="215"/>
      <c r="N39" s="215"/>
      <c r="O39" s="215"/>
      <c r="P39" s="215"/>
      <c r="Q39" s="215"/>
      <c r="R39" s="215"/>
      <c r="S39" s="215"/>
      <c r="T39" s="215"/>
      <c r="U39" s="215"/>
      <c r="V39" s="215"/>
      <c r="W39" s="215"/>
      <c r="X39" s="215"/>
      <c r="Y39" s="524">
        <f t="shared" si="7"/>
        <v>0</v>
      </c>
      <c r="Z39" s="150">
        <f t="shared" si="0"/>
        <v>0</v>
      </c>
      <c r="AA39" s="147">
        <f t="shared" si="8"/>
        <v>0</v>
      </c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</row>
    <row r="40" spans="1:50" ht="46.5" thickBot="1">
      <c r="A40" s="2257"/>
      <c r="C40" s="526">
        <f>+PP!B58</f>
        <v>35</v>
      </c>
      <c r="D40" s="538" t="str">
        <f>+PP!C58</f>
        <v>REPRODUCTOR SV GRANDE</v>
      </c>
      <c r="E40" s="214"/>
      <c r="F40" s="215"/>
      <c r="G40" s="215"/>
      <c r="H40" s="215"/>
      <c r="I40" s="215"/>
      <c r="J40" s="215"/>
      <c r="K40" s="215"/>
      <c r="L40" s="215"/>
      <c r="M40" s="215"/>
      <c r="N40" s="215"/>
      <c r="O40" s="215"/>
      <c r="P40" s="215"/>
      <c r="Q40" s="215"/>
      <c r="R40" s="215"/>
      <c r="S40" s="215"/>
      <c r="T40" s="215"/>
      <c r="U40" s="215"/>
      <c r="V40" s="215"/>
      <c r="W40" s="215"/>
      <c r="X40" s="215"/>
      <c r="Y40" s="524">
        <f t="shared" si="7"/>
        <v>0</v>
      </c>
      <c r="Z40" s="150">
        <f>Y40/2</f>
        <v>0</v>
      </c>
      <c r="AA40" s="147">
        <f>+Y40*10</f>
        <v>0</v>
      </c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</row>
    <row r="41" spans="1:50" ht="45.75">
      <c r="A41" s="2257"/>
      <c r="C41" s="41">
        <f>+PP!B59</f>
        <v>36</v>
      </c>
      <c r="D41" s="259" t="str">
        <f>+PP!C59</f>
        <v>TUBO ALETA 1.0-2.0 Kg/pza</v>
      </c>
      <c r="E41" s="256"/>
      <c r="F41" s="224"/>
      <c r="G41" s="224"/>
      <c r="H41" s="224"/>
      <c r="I41" s="224"/>
      <c r="J41" s="224"/>
      <c r="K41" s="224"/>
      <c r="L41" s="224"/>
      <c r="M41" s="225"/>
      <c r="N41" s="225"/>
      <c r="O41" s="225"/>
      <c r="P41" s="225"/>
      <c r="Q41" s="225"/>
      <c r="R41" s="225"/>
      <c r="S41" s="225"/>
      <c r="T41" s="225"/>
      <c r="U41" s="274"/>
      <c r="V41" s="224"/>
      <c r="W41" s="224"/>
      <c r="X41" s="225"/>
      <c r="Y41" s="510">
        <f t="shared" si="7"/>
        <v>0</v>
      </c>
      <c r="Z41" s="148">
        <f t="shared" ref="Z41:Z53" si="10">Y41/2</f>
        <v>0</v>
      </c>
      <c r="AA41" s="145">
        <f t="shared" ref="AA41:AA53" si="11">+Y41*10</f>
        <v>0</v>
      </c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</row>
    <row r="42" spans="1:50" ht="45.75">
      <c r="A42" s="2257"/>
      <c r="C42" s="42">
        <f>+PP!B60</f>
        <v>37</v>
      </c>
      <c r="D42" s="1020" t="str">
        <f>+PP!C60</f>
        <v>TENTACULO C/B C/V SR 100-300 g/pza (SUCIO)</v>
      </c>
      <c r="E42" s="257"/>
      <c r="F42" s="218"/>
      <c r="G42" s="218"/>
      <c r="H42" s="218"/>
      <c r="I42" s="218"/>
      <c r="J42" s="218"/>
      <c r="K42" s="218"/>
      <c r="L42" s="218"/>
      <c r="M42" s="219"/>
      <c r="N42" s="219"/>
      <c r="O42" s="219"/>
      <c r="P42" s="219"/>
      <c r="Q42" s="219"/>
      <c r="R42" s="219"/>
      <c r="S42" s="219"/>
      <c r="T42" s="219"/>
      <c r="U42" s="275"/>
      <c r="V42" s="218"/>
      <c r="W42" s="218"/>
      <c r="X42" s="219"/>
      <c r="Y42" s="525">
        <f t="shared" si="7"/>
        <v>0</v>
      </c>
      <c r="Z42" s="149">
        <f t="shared" si="10"/>
        <v>0</v>
      </c>
      <c r="AA42" s="146">
        <f t="shared" si="11"/>
        <v>0</v>
      </c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</row>
    <row r="43" spans="1:50" ht="45.75">
      <c r="A43" s="2257"/>
      <c r="C43" s="42">
        <f>+PP!B61</f>
        <v>38</v>
      </c>
      <c r="D43" s="1020" t="str">
        <f>+PP!C61</f>
        <v>TENTACULO C/B C/V SR 300-500 g/pza (SUCIO)</v>
      </c>
      <c r="E43" s="257"/>
      <c r="F43" s="218"/>
      <c r="G43" s="218"/>
      <c r="H43" s="218"/>
      <c r="I43" s="218"/>
      <c r="J43" s="218"/>
      <c r="K43" s="218"/>
      <c r="L43" s="218"/>
      <c r="M43" s="219"/>
      <c r="N43" s="219"/>
      <c r="O43" s="219"/>
      <c r="P43" s="219"/>
      <c r="Q43" s="219"/>
      <c r="R43" s="219"/>
      <c r="S43" s="219"/>
      <c r="T43" s="219"/>
      <c r="U43" s="275"/>
      <c r="V43" s="218"/>
      <c r="W43" s="218"/>
      <c r="X43" s="219"/>
      <c r="Y43" s="525">
        <f t="shared" si="7"/>
        <v>0</v>
      </c>
      <c r="Z43" s="149">
        <f t="shared" si="10"/>
        <v>0</v>
      </c>
      <c r="AA43" s="146">
        <f t="shared" si="11"/>
        <v>0</v>
      </c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</row>
    <row r="44" spans="1:50" ht="45.75">
      <c r="A44" s="2257"/>
      <c r="C44" s="42">
        <f>+PP!B62</f>
        <v>39</v>
      </c>
      <c r="D44" s="1020" t="str">
        <f>+PP!C62</f>
        <v>TENTACULO C/B S/V SR 100-300 g/pza</v>
      </c>
      <c r="E44" s="257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525">
        <f t="shared" si="7"/>
        <v>0</v>
      </c>
      <c r="Z44" s="149">
        <f t="shared" si="10"/>
        <v>0</v>
      </c>
      <c r="AA44" s="146">
        <f t="shared" si="11"/>
        <v>0</v>
      </c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</row>
    <row r="45" spans="1:50" ht="45.75">
      <c r="A45" s="2257"/>
      <c r="C45" s="42">
        <f>+PP!B63</f>
        <v>40</v>
      </c>
      <c r="D45" s="1020" t="str">
        <f>+PP!C63</f>
        <v>TENTACULO C/B C/V SR 100-500 g/pza (SUCIO)</v>
      </c>
      <c r="E45" s="257"/>
      <c r="F45" s="218"/>
      <c r="G45" s="218"/>
      <c r="H45" s="218"/>
      <c r="I45" s="218"/>
      <c r="J45" s="218"/>
      <c r="K45" s="218"/>
      <c r="L45" s="218"/>
      <c r="M45" s="219"/>
      <c r="N45" s="219"/>
      <c r="O45" s="219"/>
      <c r="P45" s="219"/>
      <c r="Q45" s="219"/>
      <c r="R45" s="219"/>
      <c r="S45" s="219"/>
      <c r="T45" s="219"/>
      <c r="U45" s="219"/>
      <c r="V45" s="218"/>
      <c r="W45" s="218"/>
      <c r="X45" s="219"/>
      <c r="Y45" s="525">
        <f t="shared" si="7"/>
        <v>0</v>
      </c>
      <c r="Z45" s="149">
        <f t="shared" si="10"/>
        <v>0</v>
      </c>
      <c r="AA45" s="146">
        <f t="shared" si="11"/>
        <v>0</v>
      </c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</row>
    <row r="46" spans="1:50" ht="45.75">
      <c r="A46" s="2257"/>
      <c r="C46" s="42">
        <f>+PP!B64</f>
        <v>41</v>
      </c>
      <c r="D46" s="1020" t="str">
        <f>+PP!C64</f>
        <v>TENTACULO C/B S/V SR 100-500 g/pza</v>
      </c>
      <c r="E46" s="257"/>
      <c r="F46" s="218"/>
      <c r="G46" s="218"/>
      <c r="H46" s="218"/>
      <c r="I46" s="218"/>
      <c r="J46" s="218"/>
      <c r="K46" s="218"/>
      <c r="L46" s="218"/>
      <c r="M46" s="219"/>
      <c r="N46" s="219"/>
      <c r="O46" s="219"/>
      <c r="P46" s="219"/>
      <c r="Q46" s="219"/>
      <c r="R46" s="219"/>
      <c r="S46" s="219"/>
      <c r="T46" s="219"/>
      <c r="U46" s="275"/>
      <c r="V46" s="218"/>
      <c r="W46" s="218"/>
      <c r="X46" s="219"/>
      <c r="Y46" s="525">
        <f t="shared" si="7"/>
        <v>0</v>
      </c>
      <c r="Z46" s="149">
        <f t="shared" si="10"/>
        <v>0</v>
      </c>
      <c r="AA46" s="146">
        <f t="shared" si="11"/>
        <v>0</v>
      </c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</row>
    <row r="47" spans="1:50" ht="45.75">
      <c r="A47" s="2257"/>
      <c r="C47" s="42">
        <f>+PP!B65</f>
        <v>42</v>
      </c>
      <c r="D47" s="1020" t="str">
        <f>+PP!C65</f>
        <v>TENTACULO C/B S/V SR 300-500 g/pza</v>
      </c>
      <c r="E47" s="257"/>
      <c r="F47" s="218"/>
      <c r="G47" s="218"/>
      <c r="H47" s="218"/>
      <c r="I47" s="218"/>
      <c r="J47" s="218"/>
      <c r="K47" s="218"/>
      <c r="L47" s="218"/>
      <c r="M47" s="219"/>
      <c r="N47" s="219"/>
      <c r="O47" s="219"/>
      <c r="P47" s="219"/>
      <c r="Q47" s="219"/>
      <c r="R47" s="219"/>
      <c r="S47" s="219"/>
      <c r="T47" s="219"/>
      <c r="U47" s="275"/>
      <c r="V47" s="218"/>
      <c r="W47" s="218"/>
      <c r="X47" s="219"/>
      <c r="Y47" s="525">
        <f t="shared" si="7"/>
        <v>0</v>
      </c>
      <c r="Z47" s="149">
        <f t="shared" si="10"/>
        <v>0</v>
      </c>
      <c r="AA47" s="146">
        <f t="shared" si="11"/>
        <v>0</v>
      </c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</row>
    <row r="48" spans="1:50" ht="45.75">
      <c r="A48" s="2257"/>
      <c r="C48" s="42">
        <f>+PP!B66</f>
        <v>43</v>
      </c>
      <c r="D48" s="1020" t="str">
        <f>+PP!C66</f>
        <v>TENTACULO C/B C/V SR 500-1000 g/pza (SUCIO)</v>
      </c>
      <c r="E48" s="217"/>
      <c r="F48" s="218"/>
      <c r="G48" s="218"/>
      <c r="H48" s="218"/>
      <c r="I48" s="218"/>
      <c r="J48" s="218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18"/>
      <c r="W48" s="218"/>
      <c r="X48" s="218"/>
      <c r="Y48" s="525">
        <f t="shared" si="7"/>
        <v>0</v>
      </c>
      <c r="Z48" s="149">
        <f t="shared" si="10"/>
        <v>0</v>
      </c>
      <c r="AA48" s="146">
        <f t="shared" si="11"/>
        <v>0</v>
      </c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</row>
    <row r="49" spans="1:91" ht="54.75" customHeight="1">
      <c r="A49" s="2257"/>
      <c r="C49" s="42">
        <f>+PP!B67</f>
        <v>44</v>
      </c>
      <c r="D49" s="1020" t="str">
        <f>+PP!C67</f>
        <v>TENTACULO C/B S/V SR 500-1000 g/pza</v>
      </c>
      <c r="E49" s="257"/>
      <c r="F49" s="218"/>
      <c r="G49" s="218"/>
      <c r="H49" s="218"/>
      <c r="I49" s="218"/>
      <c r="J49" s="218"/>
      <c r="K49" s="218"/>
      <c r="L49" s="218"/>
      <c r="M49" s="219"/>
      <c r="N49" s="219"/>
      <c r="O49" s="219"/>
      <c r="P49" s="219"/>
      <c r="Q49" s="219"/>
      <c r="R49" s="219"/>
      <c r="S49" s="219"/>
      <c r="T49" s="219"/>
      <c r="U49" s="275"/>
      <c r="V49" s="218"/>
      <c r="W49" s="218"/>
      <c r="X49" s="219"/>
      <c r="Y49" s="525">
        <f t="shared" si="7"/>
        <v>0</v>
      </c>
      <c r="Z49" s="149">
        <f>Y49/2</f>
        <v>0</v>
      </c>
      <c r="AA49" s="146">
        <f>+Y49*10</f>
        <v>0</v>
      </c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</row>
    <row r="50" spans="1:91" ht="45.75">
      <c r="A50" s="2257"/>
      <c r="C50" s="42">
        <f>+PP!B68</f>
        <v>45</v>
      </c>
      <c r="D50" s="1020" t="str">
        <f>+PP!C68</f>
        <v>TENTACULO C/B C/V SR 1.0-2.0 Kg/pza (SUCIO)</v>
      </c>
      <c r="E50" s="257"/>
      <c r="F50" s="218"/>
      <c r="G50" s="218"/>
      <c r="H50" s="218"/>
      <c r="I50" s="218"/>
      <c r="J50" s="218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18"/>
      <c r="W50" s="218"/>
      <c r="X50" s="218"/>
      <c r="Y50" s="525">
        <f t="shared" si="7"/>
        <v>0</v>
      </c>
      <c r="Z50" s="149">
        <f t="shared" si="10"/>
        <v>0</v>
      </c>
      <c r="AA50" s="146">
        <f t="shared" si="11"/>
        <v>0</v>
      </c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</row>
    <row r="51" spans="1:91" ht="45.75">
      <c r="A51" s="2257"/>
      <c r="C51" s="42">
        <f>+PP!B69</f>
        <v>46</v>
      </c>
      <c r="D51" s="1020" t="str">
        <f>+PP!C69</f>
        <v>TENTACULO C/B S/V SR 1.0-2.0 Kg/pza</v>
      </c>
      <c r="E51" s="255"/>
      <c r="F51" s="227"/>
      <c r="G51" s="227"/>
      <c r="H51" s="227"/>
      <c r="I51" s="227"/>
      <c r="J51" s="227"/>
      <c r="K51" s="227"/>
      <c r="L51" s="227"/>
      <c r="M51" s="227"/>
      <c r="N51" s="227"/>
      <c r="O51" s="227"/>
      <c r="P51" s="227"/>
      <c r="Q51" s="227"/>
      <c r="R51" s="227"/>
      <c r="S51" s="227"/>
      <c r="T51" s="227"/>
      <c r="U51" s="227"/>
      <c r="V51" s="227"/>
      <c r="W51" s="227"/>
      <c r="X51" s="228"/>
      <c r="Y51" s="525">
        <f t="shared" si="7"/>
        <v>0</v>
      </c>
      <c r="Z51" s="149">
        <f>Y51/2</f>
        <v>0</v>
      </c>
      <c r="AA51" s="146">
        <f t="shared" si="11"/>
        <v>0</v>
      </c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</row>
    <row r="52" spans="1:91" ht="46.5" thickBot="1">
      <c r="A52" s="2257"/>
      <c r="C52" s="40">
        <f>+PP!B70</f>
        <v>47</v>
      </c>
      <c r="D52" s="1021" t="str">
        <f>+PP!C70</f>
        <v>TENTACULO C/B S/V SR 2 UP Kg/pza</v>
      </c>
      <c r="E52" s="255"/>
      <c r="F52" s="227"/>
      <c r="G52" s="227"/>
      <c r="H52" s="227"/>
      <c r="I52" s="227"/>
      <c r="J52" s="227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227"/>
      <c r="W52" s="227"/>
      <c r="X52" s="228"/>
      <c r="Y52" s="525">
        <f t="shared" si="7"/>
        <v>0</v>
      </c>
      <c r="Z52" s="155">
        <f>Y52/2</f>
        <v>0</v>
      </c>
      <c r="AA52" s="156">
        <f>+Y52*10</f>
        <v>0</v>
      </c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</row>
    <row r="53" spans="1:91" ht="46.5" thickBot="1">
      <c r="A53" s="2257"/>
      <c r="C53" s="677">
        <f>+PP!B71</f>
        <v>48</v>
      </c>
      <c r="D53" s="1022" t="str">
        <f>+PP!C71</f>
        <v>TUBO ALETA 500-1000 g/pza</v>
      </c>
      <c r="E53" s="211"/>
      <c r="F53" s="212"/>
      <c r="G53" s="212"/>
      <c r="H53" s="212"/>
      <c r="I53" s="212"/>
      <c r="J53" s="212"/>
      <c r="K53" s="212"/>
      <c r="L53" s="212"/>
      <c r="M53" s="212"/>
      <c r="N53" s="212"/>
      <c r="O53" s="212"/>
      <c r="P53" s="212"/>
      <c r="Q53" s="212"/>
      <c r="R53" s="212"/>
      <c r="S53" s="212"/>
      <c r="T53" s="212"/>
      <c r="U53" s="212"/>
      <c r="V53" s="212"/>
      <c r="W53" s="212"/>
      <c r="X53" s="213"/>
      <c r="Y53" s="527">
        <f t="shared" si="7"/>
        <v>0</v>
      </c>
      <c r="Z53" s="153">
        <f t="shared" si="10"/>
        <v>0</v>
      </c>
      <c r="AA53" s="154">
        <f t="shared" si="11"/>
        <v>0</v>
      </c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</row>
    <row r="54" spans="1:91" ht="70.150000000000006" customHeight="1" thickBot="1">
      <c r="A54" s="2257"/>
      <c r="D54" s="96" t="s">
        <v>38</v>
      </c>
      <c r="E54" s="528">
        <f>SUM(E6:E53)</f>
        <v>0</v>
      </c>
      <c r="F54" s="70">
        <f t="shared" ref="F54:AA54" si="12">SUM(F6:F53)</f>
        <v>0</v>
      </c>
      <c r="G54" s="70">
        <f t="shared" si="12"/>
        <v>0</v>
      </c>
      <c r="H54" s="70">
        <f t="shared" si="12"/>
        <v>0</v>
      </c>
      <c r="I54" s="70">
        <f t="shared" si="12"/>
        <v>0</v>
      </c>
      <c r="J54" s="70">
        <f t="shared" si="12"/>
        <v>0</v>
      </c>
      <c r="K54" s="70">
        <f t="shared" si="12"/>
        <v>0</v>
      </c>
      <c r="L54" s="70">
        <f t="shared" si="12"/>
        <v>0</v>
      </c>
      <c r="M54" s="70">
        <f t="shared" si="12"/>
        <v>0</v>
      </c>
      <c r="N54" s="70">
        <f t="shared" si="12"/>
        <v>0</v>
      </c>
      <c r="O54" s="70">
        <f t="shared" si="12"/>
        <v>0</v>
      </c>
      <c r="P54" s="70">
        <f t="shared" si="12"/>
        <v>0</v>
      </c>
      <c r="Q54" s="70">
        <f t="shared" si="12"/>
        <v>0</v>
      </c>
      <c r="R54" s="70">
        <f t="shared" si="12"/>
        <v>0</v>
      </c>
      <c r="S54" s="70">
        <f t="shared" si="12"/>
        <v>0</v>
      </c>
      <c r="T54" s="70">
        <f t="shared" si="12"/>
        <v>0</v>
      </c>
      <c r="U54" s="70">
        <f t="shared" si="12"/>
        <v>0</v>
      </c>
      <c r="V54" s="70">
        <f t="shared" si="12"/>
        <v>0</v>
      </c>
      <c r="W54" s="70">
        <f t="shared" si="12"/>
        <v>0</v>
      </c>
      <c r="X54" s="70">
        <f t="shared" si="12"/>
        <v>0</v>
      </c>
      <c r="Y54" s="57">
        <f t="shared" si="12"/>
        <v>0</v>
      </c>
      <c r="Z54" s="58">
        <f t="shared" si="12"/>
        <v>0</v>
      </c>
      <c r="AA54" s="59">
        <f t="shared" si="12"/>
        <v>0</v>
      </c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</row>
    <row r="55" spans="1:91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</row>
    <row r="56" spans="1:91" ht="46.5" thickBot="1">
      <c r="D56" s="46" t="s">
        <v>113</v>
      </c>
      <c r="E56" s="2258" t="s">
        <v>703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59"/>
      <c r="S56" s="2259"/>
      <c r="T56" s="2259"/>
      <c r="U56" s="2259"/>
      <c r="V56" s="2259"/>
      <c r="W56" s="2259"/>
      <c r="X56" s="2535"/>
      <c r="CL56" s="33" t="s">
        <v>77</v>
      </c>
      <c r="CM56" s="31" t="e">
        <f>+AA54/PP!K20*100</f>
        <v>#DIV/0!</v>
      </c>
    </row>
    <row r="57" spans="1:91" ht="30.75" thickBot="1"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</row>
    <row r="58" spans="1:91" ht="46.5" thickBot="1">
      <c r="D58" s="46" t="s">
        <v>374</v>
      </c>
      <c r="E58" s="2536">
        <v>0.58680555555555558</v>
      </c>
      <c r="F58" s="2537"/>
      <c r="G58" s="2537"/>
      <c r="H58" s="2537"/>
      <c r="I58" s="2537"/>
      <c r="J58" s="2537"/>
      <c r="K58" s="2537"/>
      <c r="L58" s="2537"/>
      <c r="M58" s="2537"/>
      <c r="N58" s="2537"/>
      <c r="O58" s="2537"/>
      <c r="P58" s="2537"/>
      <c r="Q58" s="2537"/>
      <c r="R58" s="2537"/>
      <c r="S58" s="2537"/>
      <c r="T58" s="2537"/>
      <c r="U58" s="2537"/>
      <c r="V58" s="2537"/>
      <c r="W58" s="2537"/>
      <c r="X58" s="2538"/>
      <c r="Y58" s="529"/>
    </row>
    <row r="59" spans="1:91" ht="30.75" thickBot="1"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</row>
    <row r="60" spans="1:91" ht="33.950000000000003" customHeight="1" thickTop="1" thickBot="1">
      <c r="D60" s="2526" t="s">
        <v>657</v>
      </c>
      <c r="E60" s="2527"/>
      <c r="F60" s="2527"/>
      <c r="G60" s="2527"/>
      <c r="H60" s="2527"/>
      <c r="I60" s="2527"/>
      <c r="J60" s="2528"/>
      <c r="K60" s="28"/>
      <c r="O60" s="30"/>
      <c r="P60" s="30"/>
      <c r="Q60" s="30"/>
      <c r="R60" s="2529" t="s">
        <v>604</v>
      </c>
      <c r="S60" s="2530"/>
      <c r="T60" s="2531"/>
      <c r="U60" s="30"/>
      <c r="V60" s="30"/>
      <c r="W60" s="30"/>
      <c r="X60" s="30"/>
    </row>
    <row r="61" spans="1:91" ht="30.95" customHeight="1" thickTop="1">
      <c r="D61" s="2532" t="s">
        <v>15</v>
      </c>
      <c r="E61" s="2533"/>
      <c r="F61" s="2533"/>
      <c r="G61" s="2533"/>
      <c r="H61" s="1466" t="s">
        <v>186</v>
      </c>
      <c r="I61" s="1466" t="s">
        <v>670</v>
      </c>
      <c r="J61" s="1466" t="s">
        <v>667</v>
      </c>
      <c r="K61" s="1466" t="s">
        <v>671</v>
      </c>
      <c r="L61" s="1466" t="s">
        <v>637</v>
      </c>
      <c r="M61" s="1469" t="s">
        <v>637</v>
      </c>
      <c r="N61" s="2028"/>
      <c r="O61" s="30"/>
      <c r="P61" s="30"/>
      <c r="Q61" s="30"/>
      <c r="R61" s="2534" t="s">
        <v>658</v>
      </c>
      <c r="S61" s="2534"/>
      <c r="T61" s="1448">
        <v>6000</v>
      </c>
      <c r="U61" s="30"/>
      <c r="V61" s="30"/>
      <c r="W61" s="30"/>
      <c r="X61" s="30"/>
      <c r="Y61" s="529"/>
    </row>
    <row r="62" spans="1:91" ht="30.95" customHeight="1">
      <c r="D62" s="2521">
        <v>1</v>
      </c>
      <c r="E62" s="2522"/>
      <c r="F62" s="2522"/>
      <c r="G62" s="2522"/>
      <c r="H62" s="1449" t="str">
        <f>+'T1'!E62</f>
        <v xml:space="preserve">ANDRES </v>
      </c>
      <c r="I62" s="1443"/>
      <c r="J62" s="1443"/>
      <c r="K62" s="1443"/>
      <c r="L62" s="1443"/>
      <c r="M62" s="1470">
        <f t="shared" ref="M62:M72" si="13">SUM(I62+J62+K62+L62)</f>
        <v>0</v>
      </c>
      <c r="N62" s="2029"/>
      <c r="O62" s="30"/>
      <c r="P62" s="30"/>
      <c r="R62" s="2525" t="s">
        <v>8</v>
      </c>
      <c r="S62" s="2525"/>
      <c r="T62" s="1445">
        <f>M73</f>
        <v>0</v>
      </c>
    </row>
    <row r="63" spans="1:91" ht="30.95" customHeight="1">
      <c r="D63" s="2521">
        <v>2</v>
      </c>
      <c r="E63" s="2522"/>
      <c r="F63" s="2522"/>
      <c r="G63" s="2522"/>
      <c r="H63" s="1449" t="str">
        <f>+'T1'!E63</f>
        <v xml:space="preserve">FLOR </v>
      </c>
      <c r="I63" s="1444"/>
      <c r="J63" s="1444"/>
      <c r="K63" s="1444"/>
      <c r="L63" s="1444"/>
      <c r="M63" s="1470">
        <f t="shared" si="13"/>
        <v>0</v>
      </c>
      <c r="N63" s="2029"/>
      <c r="O63" s="30"/>
      <c r="P63" s="30"/>
      <c r="R63" s="2525" t="s">
        <v>659</v>
      </c>
      <c r="S63" s="2525"/>
      <c r="T63" s="1445">
        <f>T61-T62</f>
        <v>6000</v>
      </c>
    </row>
    <row r="64" spans="1:91" ht="30.95" customHeight="1">
      <c r="D64" s="2521">
        <v>3</v>
      </c>
      <c r="E64" s="2522"/>
      <c r="F64" s="2522"/>
      <c r="G64" s="2522"/>
      <c r="H64" s="1449" t="str">
        <f>+'T1'!E64</f>
        <v>HANNOY</v>
      </c>
      <c r="I64" s="1443"/>
      <c r="J64" s="1443"/>
      <c r="K64" s="1443"/>
      <c r="L64" s="1443"/>
      <c r="M64" s="1470">
        <f t="shared" si="13"/>
        <v>0</v>
      </c>
      <c r="N64" s="2029"/>
      <c r="O64" s="30"/>
      <c r="P64" s="30"/>
      <c r="R64" s="2525" t="s">
        <v>449</v>
      </c>
      <c r="S64" s="2525"/>
      <c r="T64" s="1446" t="str">
        <f>IF(T63&lt;0,"SOBRA",IF(T63&gt;0,"FALTA","OK"))</f>
        <v>FALTA</v>
      </c>
    </row>
    <row r="65" spans="4:20" ht="30.95" customHeight="1">
      <c r="D65" s="2521">
        <v>4</v>
      </c>
      <c r="E65" s="2522"/>
      <c r="F65" s="2522"/>
      <c r="G65" s="2522"/>
      <c r="H65" s="1449" t="str">
        <f>+'T1'!E65</f>
        <v>CHERLITA</v>
      </c>
      <c r="I65" s="1443"/>
      <c r="J65" s="1443"/>
      <c r="K65" s="1443"/>
      <c r="L65" s="1443"/>
      <c r="M65" s="1470">
        <f t="shared" si="13"/>
        <v>0</v>
      </c>
      <c r="N65" s="2029"/>
      <c r="O65" s="30"/>
      <c r="P65" s="30"/>
      <c r="R65" s="28"/>
      <c r="S65" s="28"/>
      <c r="T65" s="28"/>
    </row>
    <row r="66" spans="4:20" ht="33.950000000000003" customHeight="1">
      <c r="D66" s="2521">
        <v>5</v>
      </c>
      <c r="E66" s="2522"/>
      <c r="F66" s="2522"/>
      <c r="G66" s="2522"/>
      <c r="H66" s="1449" t="str">
        <f>+'T1'!E66</f>
        <v>CHARLY</v>
      </c>
      <c r="I66" s="1443"/>
      <c r="J66" s="1443"/>
      <c r="K66" s="1443"/>
      <c r="L66" s="1443"/>
      <c r="M66" s="1470">
        <f t="shared" si="13"/>
        <v>0</v>
      </c>
      <c r="N66" s="2029"/>
      <c r="O66" s="30"/>
      <c r="P66" s="30"/>
      <c r="R66" s="2249" t="s">
        <v>660</v>
      </c>
      <c r="S66" s="2250"/>
      <c r="T66" s="2250"/>
    </row>
    <row r="67" spans="4:20" ht="33.950000000000003" customHeight="1">
      <c r="D67" s="2521">
        <v>6</v>
      </c>
      <c r="E67" s="2522"/>
      <c r="F67" s="2522"/>
      <c r="G67" s="2522"/>
      <c r="H67" s="1449" t="str">
        <f>+'T1'!E67</f>
        <v>POLANCO</v>
      </c>
      <c r="I67" s="1443"/>
      <c r="J67" s="1443"/>
      <c r="K67" s="1443"/>
      <c r="L67" s="1443"/>
      <c r="M67" s="1470">
        <f t="shared" si="13"/>
        <v>0</v>
      </c>
      <c r="N67" s="2029"/>
      <c r="O67" s="30"/>
      <c r="P67" s="30"/>
      <c r="R67" s="2250" t="s">
        <v>662</v>
      </c>
      <c r="S67" s="2250"/>
      <c r="T67" s="2250"/>
    </row>
    <row r="68" spans="4:20" ht="33.950000000000003" customHeight="1">
      <c r="D68" s="2521">
        <v>7</v>
      </c>
      <c r="E68" s="2522"/>
      <c r="F68" s="2522"/>
      <c r="G68" s="2522"/>
      <c r="H68" s="1449" t="str">
        <f>+'T1'!E68</f>
        <v>ELIANA</v>
      </c>
      <c r="I68" s="1443"/>
      <c r="J68" s="1443"/>
      <c r="K68" s="1443"/>
      <c r="L68" s="1443"/>
      <c r="M68" s="1470">
        <f t="shared" si="13"/>
        <v>0</v>
      </c>
      <c r="N68" s="2029"/>
      <c r="O68" s="30"/>
      <c r="P68" s="30"/>
    </row>
    <row r="69" spans="4:20" ht="33.950000000000003" customHeight="1">
      <c r="D69" s="2521">
        <v>8</v>
      </c>
      <c r="E69" s="2522"/>
      <c r="F69" s="2522"/>
      <c r="G69" s="2522"/>
      <c r="H69" s="1449" t="str">
        <f>+'T1'!E69</f>
        <v>ALENET</v>
      </c>
      <c r="I69" s="1443"/>
      <c r="J69" s="1443"/>
      <c r="K69" s="1443"/>
      <c r="L69" s="1443"/>
      <c r="M69" s="1470">
        <f t="shared" si="13"/>
        <v>0</v>
      </c>
      <c r="N69" s="2029"/>
      <c r="O69" s="1194"/>
      <c r="P69" s="1194"/>
    </row>
    <row r="70" spans="4:20" ht="33.950000000000003" customHeight="1">
      <c r="D70" s="2521">
        <v>9</v>
      </c>
      <c r="E70" s="2522"/>
      <c r="F70" s="2522"/>
      <c r="G70" s="2522"/>
      <c r="H70" s="1449" t="str">
        <f>+'T1'!E70</f>
        <v>ERIKA</v>
      </c>
      <c r="I70" s="1443"/>
      <c r="J70" s="1443"/>
      <c r="K70" s="1443"/>
      <c r="L70" s="1443"/>
      <c r="M70" s="1470">
        <f t="shared" si="13"/>
        <v>0</v>
      </c>
      <c r="N70" s="2029"/>
      <c r="O70" s="1194"/>
      <c r="P70" s="1194"/>
    </row>
    <row r="71" spans="4:20" ht="30.95" customHeight="1">
      <c r="D71" s="2521">
        <v>10</v>
      </c>
      <c r="E71" s="2522"/>
      <c r="F71" s="2522"/>
      <c r="G71" s="2522"/>
      <c r="H71" s="1449" t="str">
        <f>+'T1'!E71</f>
        <v>MARILU</v>
      </c>
      <c r="I71" s="1443"/>
      <c r="J71" s="1443"/>
      <c r="K71" s="1443"/>
      <c r="L71" s="1443"/>
      <c r="M71" s="1470">
        <f t="shared" si="13"/>
        <v>0</v>
      </c>
      <c r="N71" s="1464"/>
      <c r="O71" s="192"/>
      <c r="P71" s="192"/>
    </row>
    <row r="72" spans="4:20" ht="30.95" customHeight="1">
      <c r="D72" s="2521">
        <v>11</v>
      </c>
      <c r="E72" s="2522"/>
      <c r="F72" s="2522"/>
      <c r="G72" s="2522"/>
      <c r="H72" s="1449">
        <f>+'T1'!E73</f>
        <v>0</v>
      </c>
      <c r="I72" s="1443"/>
      <c r="J72" s="1443"/>
      <c r="K72" s="1443"/>
      <c r="L72" s="1443"/>
      <c r="M72" s="1470">
        <f t="shared" si="13"/>
        <v>0</v>
      </c>
      <c r="N72" s="1464"/>
      <c r="O72" s="192"/>
      <c r="P72" s="192"/>
    </row>
    <row r="73" spans="4:20" ht="30.95" customHeight="1" thickBot="1">
      <c r="D73" s="2523" t="s">
        <v>3</v>
      </c>
      <c r="E73" s="2524"/>
      <c r="F73" s="2524"/>
      <c r="G73" s="2524"/>
      <c r="H73" s="252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  <c r="O73" s="192"/>
      <c r="P73" s="192"/>
    </row>
    <row r="74" spans="4:20">
      <c r="D74"/>
      <c r="E74"/>
      <c r="F74"/>
      <c r="G74"/>
      <c r="H74"/>
      <c r="I74"/>
      <c r="J74"/>
      <c r="K74"/>
      <c r="L74"/>
      <c r="M74"/>
      <c r="N74"/>
    </row>
    <row r="75" spans="4:20">
      <c r="D75"/>
      <c r="E75"/>
      <c r="F75"/>
      <c r="G75"/>
      <c r="H75"/>
      <c r="I75"/>
      <c r="J75"/>
      <c r="K75"/>
      <c r="L75"/>
      <c r="M75"/>
      <c r="N75"/>
    </row>
    <row r="76" spans="4:20">
      <c r="D76"/>
      <c r="E76"/>
      <c r="F76"/>
      <c r="G76"/>
      <c r="H76"/>
      <c r="I76"/>
      <c r="J76"/>
      <c r="K76"/>
      <c r="L76"/>
      <c r="M76"/>
      <c r="N76"/>
    </row>
    <row r="77" spans="4:20">
      <c r="D77"/>
      <c r="E77"/>
      <c r="F77"/>
      <c r="G77"/>
      <c r="H77"/>
      <c r="I77"/>
      <c r="J77"/>
      <c r="K77"/>
      <c r="L77"/>
      <c r="M77"/>
      <c r="N77"/>
    </row>
  </sheetData>
  <autoFilter ref="D5:D54" xr:uid="{4FD09BD0-63FB-4648-86E6-70B875C189AE}"/>
  <mergeCells count="33">
    <mergeCell ref="AC4:AX4"/>
    <mergeCell ref="BA4:BD4"/>
    <mergeCell ref="A5:A54"/>
    <mergeCell ref="AC28:AD28"/>
    <mergeCell ref="BA28:BB28"/>
    <mergeCell ref="BC28:BD28"/>
    <mergeCell ref="E56:X56"/>
    <mergeCell ref="E58:X58"/>
    <mergeCell ref="E1:AA1"/>
    <mergeCell ref="C2:D2"/>
    <mergeCell ref="E2:AA2"/>
    <mergeCell ref="E4:X4"/>
    <mergeCell ref="D60:J60"/>
    <mergeCell ref="R60:T60"/>
    <mergeCell ref="D61:G61"/>
    <mergeCell ref="R61:S61"/>
    <mergeCell ref="D62:G62"/>
    <mergeCell ref="R62:S62"/>
    <mergeCell ref="D63:G63"/>
    <mergeCell ref="R63:S63"/>
    <mergeCell ref="D64:G64"/>
    <mergeCell ref="R64:S64"/>
    <mergeCell ref="D65:G65"/>
    <mergeCell ref="D66:G66"/>
    <mergeCell ref="R66:T66"/>
    <mergeCell ref="D67:G67"/>
    <mergeCell ref="R67:T67"/>
    <mergeCell ref="D71:G71"/>
    <mergeCell ref="D72:G72"/>
    <mergeCell ref="D73:H73"/>
    <mergeCell ref="D68:G68"/>
    <mergeCell ref="D69:G69"/>
    <mergeCell ref="D70:G70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A3EE8-6A7E-471D-9AFB-4C05B4280418}">
  <sheetPr codeName="Hoja7">
    <pageSetUpPr fitToPage="1"/>
  </sheetPr>
  <dimension ref="A1:CB77"/>
  <sheetViews>
    <sheetView topLeftCell="B1" zoomScale="55" zoomScaleNormal="55" workbookViewId="0">
      <pane ySplit="5" topLeftCell="A42" activePane="bottomLeft" state="frozen"/>
      <selection activeCell="C32" sqref="C32"/>
      <selection pane="bottomLeft" activeCell="O34" sqref="O34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100.85546875" style="26" customWidth="1"/>
    <col min="5" max="7" width="13.42578125" style="26" customWidth="1"/>
    <col min="8" max="8" width="15" style="26" customWidth="1"/>
    <col min="9" max="9" width="15.5703125" style="26" customWidth="1"/>
    <col min="10" max="11" width="13.28515625" style="26" customWidth="1"/>
    <col min="12" max="12" width="12.7109375" style="26" customWidth="1"/>
    <col min="13" max="14" width="15.5703125" style="26" customWidth="1"/>
    <col min="15" max="15" width="13.7109375" style="26" customWidth="1"/>
    <col min="16" max="16" width="9.7109375" style="26" bestFit="1" customWidth="1"/>
    <col min="17" max="17" width="30.85546875" style="26" customWidth="1"/>
    <col min="18" max="18" width="42.7109375" style="26" customWidth="1"/>
    <col min="19" max="19" width="30.85546875" style="26" customWidth="1"/>
    <col min="20" max="20" width="18.140625" style="26" customWidth="1"/>
    <col min="21" max="21" width="14.7109375" style="26" bestFit="1" customWidth="1"/>
    <col min="22" max="22" width="94.140625" style="26" bestFit="1" customWidth="1"/>
    <col min="23" max="24" width="8.7109375" style="1544" customWidth="1"/>
    <col min="25" max="34" width="8.7109375" style="26" customWidth="1"/>
    <col min="35" max="35" width="21.5703125" style="26" customWidth="1"/>
    <col min="36" max="36" width="20.140625" style="26" customWidth="1"/>
    <col min="37" max="37" width="16.5703125" style="26" customWidth="1"/>
    <col min="38" max="38" width="31.28515625" style="26" customWidth="1"/>
    <col min="39" max="39" width="17" style="26" customWidth="1"/>
    <col min="40" max="41" width="13.85546875" style="26" customWidth="1"/>
    <col min="42" max="42" width="6.42578125" style="26" customWidth="1"/>
    <col min="43" max="43" width="69.42578125" style="26" customWidth="1"/>
    <col min="44" max="44" width="23" style="26" customWidth="1"/>
    <col min="45" max="45" width="18.28515625" style="26" customWidth="1"/>
    <col min="46" max="76" width="13.85546875" style="26" customWidth="1"/>
    <col min="77" max="77" width="12.140625" style="26" bestFit="1" customWidth="1"/>
    <col min="78" max="80" width="28.28515625" style="26" customWidth="1"/>
    <col min="81" max="16384" width="11.42578125" style="26"/>
  </cols>
  <sheetData>
    <row r="1" spans="1:50" ht="45.75" hidden="1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7"/>
      <c r="R1" s="37"/>
      <c r="S1" s="37"/>
      <c r="T1" s="37"/>
      <c r="U1" s="37"/>
      <c r="V1" s="37"/>
      <c r="W1" s="1694"/>
      <c r="X1" s="1694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</row>
    <row r="2" spans="1:50" ht="46.5" hidden="1" thickBot="1">
      <c r="B2" s="38"/>
      <c r="C2" s="2266" t="s">
        <v>41</v>
      </c>
      <c r="D2" s="2267"/>
      <c r="E2" s="2502" t="s">
        <v>683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70"/>
      <c r="Q2" s="1138">
        <f>464+26+100</f>
        <v>590</v>
      </c>
      <c r="R2" s="1726"/>
      <c r="S2" s="1726"/>
      <c r="T2" s="1716"/>
      <c r="U2" s="1716"/>
      <c r="V2" s="1716"/>
      <c r="W2" s="1716"/>
      <c r="X2" s="1716"/>
      <c r="Y2" s="38"/>
      <c r="Z2" s="38"/>
      <c r="AA2" s="38"/>
      <c r="AB2" s="38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</row>
    <row r="3" spans="1:50" ht="17.25" thickBot="1">
      <c r="C3" s="28"/>
      <c r="R3" s="452"/>
      <c r="S3" s="452"/>
      <c r="T3" s="452"/>
      <c r="U3" s="452"/>
      <c r="V3" s="452"/>
      <c r="W3" s="452"/>
      <c r="X3" s="452"/>
      <c r="AV3" s="28"/>
      <c r="AW3" s="28"/>
      <c r="AX3" s="28"/>
    </row>
    <row r="4" spans="1:50" ht="38.25" customHeight="1" thickBot="1">
      <c r="C4" s="28"/>
      <c r="E4" s="2551" t="s">
        <v>112</v>
      </c>
      <c r="F4" s="2551"/>
      <c r="G4" s="2551"/>
      <c r="H4" s="2551"/>
      <c r="I4" s="2551"/>
      <c r="J4" s="2551"/>
      <c r="K4" s="2551"/>
      <c r="L4" s="2551"/>
      <c r="M4" s="2551"/>
      <c r="N4" s="2551"/>
      <c r="O4" s="2551"/>
      <c r="P4" s="2551"/>
      <c r="R4" s="452"/>
      <c r="S4" s="452"/>
      <c r="T4" s="452"/>
      <c r="U4" s="2547" t="s">
        <v>504</v>
      </c>
      <c r="V4" s="2547"/>
      <c r="W4" s="2547"/>
      <c r="X4" s="2547"/>
      <c r="Y4" s="2548"/>
      <c r="Z4" s="2549"/>
      <c r="AA4" s="2549"/>
      <c r="AB4" s="2549"/>
      <c r="AC4" s="2549"/>
      <c r="AD4" s="2549"/>
      <c r="AE4" s="2549"/>
      <c r="AF4" s="2549"/>
      <c r="AG4" s="2549"/>
      <c r="AH4" s="2549"/>
      <c r="AI4" s="2549"/>
      <c r="AJ4" s="2549"/>
      <c r="AK4" s="2549"/>
      <c r="AL4" s="2549"/>
      <c r="AM4" s="2550"/>
      <c r="AP4" s="2552" t="s">
        <v>511</v>
      </c>
      <c r="AQ4" s="2553"/>
      <c r="AR4" s="2553"/>
      <c r="AS4" s="2554"/>
      <c r="AV4" s="28"/>
      <c r="AW4" s="28"/>
      <c r="AX4" s="28"/>
    </row>
    <row r="5" spans="1:50" ht="90.75" thickBot="1">
      <c r="A5" s="2257"/>
      <c r="C5" s="543" t="s">
        <v>15</v>
      </c>
      <c r="D5" s="952" t="s">
        <v>6</v>
      </c>
      <c r="E5" s="35" t="s">
        <v>349</v>
      </c>
      <c r="F5" s="36" t="s">
        <v>350</v>
      </c>
      <c r="G5" s="36" t="s">
        <v>351</v>
      </c>
      <c r="H5" s="36" t="s">
        <v>352</v>
      </c>
      <c r="I5" s="36" t="s">
        <v>353</v>
      </c>
      <c r="J5" s="36" t="s">
        <v>354</v>
      </c>
      <c r="K5" s="36" t="s">
        <v>355</v>
      </c>
      <c r="L5" s="36" t="s">
        <v>356</v>
      </c>
      <c r="M5" s="36" t="s">
        <v>357</v>
      </c>
      <c r="N5" s="36" t="s">
        <v>325</v>
      </c>
      <c r="O5" s="36" t="s">
        <v>326</v>
      </c>
      <c r="P5" s="48" t="s">
        <v>327</v>
      </c>
      <c r="Q5" s="49" t="s">
        <v>108</v>
      </c>
      <c r="R5" s="2229" t="s">
        <v>107</v>
      </c>
      <c r="S5" s="2911" t="s">
        <v>3</v>
      </c>
      <c r="T5" s="452"/>
      <c r="U5" s="1725" t="s">
        <v>15</v>
      </c>
      <c r="V5" s="1787" t="s">
        <v>6</v>
      </c>
      <c r="W5" s="1788" t="s">
        <v>349</v>
      </c>
      <c r="X5" s="1788" t="s">
        <v>350</v>
      </c>
      <c r="Y5" s="1788" t="s">
        <v>351</v>
      </c>
      <c r="Z5" s="1788" t="s">
        <v>352</v>
      </c>
      <c r="AA5" s="1788" t="s">
        <v>353</v>
      </c>
      <c r="AB5" s="1788" t="s">
        <v>354</v>
      </c>
      <c r="AC5" s="1788" t="s">
        <v>355</v>
      </c>
      <c r="AD5" s="1788" t="s">
        <v>356</v>
      </c>
      <c r="AE5" s="1788" t="s">
        <v>357</v>
      </c>
      <c r="AF5" s="1788" t="s">
        <v>325</v>
      </c>
      <c r="AG5" s="1789" t="s">
        <v>326</v>
      </c>
      <c r="AH5" s="1788" t="s">
        <v>327</v>
      </c>
      <c r="AI5" s="1788" t="s">
        <v>502</v>
      </c>
      <c r="AJ5" s="1788" t="s">
        <v>503</v>
      </c>
      <c r="AK5" s="1788" t="s">
        <v>8</v>
      </c>
      <c r="AL5" s="1788" t="s">
        <v>505</v>
      </c>
      <c r="AM5" s="1790" t="s">
        <v>511</v>
      </c>
      <c r="AP5" s="534" t="s">
        <v>15</v>
      </c>
      <c r="AQ5" s="535" t="s">
        <v>6</v>
      </c>
      <c r="AR5" s="535" t="s">
        <v>8</v>
      </c>
      <c r="AS5" s="536" t="s">
        <v>513</v>
      </c>
    </row>
    <row r="6" spans="1:50" ht="46.5">
      <c r="A6" s="2257"/>
      <c r="C6" s="157">
        <f>+PP!B24</f>
        <v>1</v>
      </c>
      <c r="D6" s="162" t="str">
        <f>+PP!C24</f>
        <v>ANILLAS BLANCAS SM ST</v>
      </c>
      <c r="E6" s="2230"/>
      <c r="F6" s="2231"/>
      <c r="G6" s="2231"/>
      <c r="H6" s="2231"/>
      <c r="I6" s="2231"/>
      <c r="J6" s="2231"/>
      <c r="K6" s="2231"/>
      <c r="L6" s="2231"/>
      <c r="M6" s="2231"/>
      <c r="N6" s="2231"/>
      <c r="O6" s="2231"/>
      <c r="P6" s="2232"/>
      <c r="Q6" s="514">
        <f>SUM(E6:P6)</f>
        <v>0</v>
      </c>
      <c r="R6" s="148">
        <f t="shared" ref="R6:R53" si="0">Q6/2</f>
        <v>0</v>
      </c>
      <c r="S6" s="490">
        <f>+Q6*10</f>
        <v>0</v>
      </c>
      <c r="T6" s="452"/>
      <c r="U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</f>
        <v/>
      </c>
      <c r="V6" s="1784" t="str">
        <f>IF($U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)</f>
        <v/>
      </c>
      <c r="W6" s="1713" t="str">
        <f t="shared" ref="W6:W53" si="1">IF($U6="","",IFERROR(IF(INDEX($E$6:$E$53,MATCH($U6,$C$6:$C$53,0))&gt;0,INDEX($E$6:$E$53,MATCH($U6,$C$6:$C$53,0)),""),""))</f>
        <v/>
      </c>
      <c r="X6" s="1713" t="str">
        <f t="shared" ref="X6:X53" si="2">IF($U6="","",IFERROR(IF(INDEX($F$6:$F$53,MATCH($U6,$C$6:$C$53,0))&gt;0,INDEX($F$6:$F$53,MATCH($U6,$C$6:$C$53,0)),""),""))</f>
        <v/>
      </c>
      <c r="Y6" s="1960" t="str">
        <f t="shared" ref="Y6:Y53" si="3">IF($U6="","",IFERROR(IF(INDEX($G$6:$G$53,MATCH($U6,$C$6:$C$53,0))&gt;0,INDEX($G$6:$G$53,MATCH($U6,$C$6:$C$53,0)),""),""))</f>
        <v/>
      </c>
      <c r="Z6" s="1690" t="str">
        <f t="shared" ref="Z6:Z53" si="4">IF($U6="","",IFERROR(IF(INDEX($H$6:$H$53,MATCH($U6,$C$6:$C$53,0))&gt;0,INDEX($H$6:$H$53,MATCH($U6,$C$6:$C$53,0)),""),""))</f>
        <v/>
      </c>
      <c r="AA6" s="1690" t="str">
        <f t="shared" ref="AA6:AA53" si="5">IF($U6="","",IFERROR(IF(INDEX($I$6:$I$53,MATCH($U6,$C$6:$C$53,0))&gt;0,INDEX($I$6:$I$53,MATCH($U6,$C$6:$C$53,0)),""),""))</f>
        <v/>
      </c>
      <c r="AB6" s="1690" t="str">
        <f t="shared" ref="AB6:AB53" si="6">IF($U6="","",IFERROR(IF(INDEX($J$6:$J$53,MATCH($U6,$C$6:$C$53,0))&gt;0,INDEX($J$6:$J$53,MATCH($U6,$C$6:$C$53,0)),""),""))</f>
        <v/>
      </c>
      <c r="AC6" s="1690" t="str">
        <f t="shared" ref="AC6:AC53" si="7">IF($U6="","",IFERROR(IF(INDEX($K$6:$K$53,MATCH($U6,$C$6:$C$53,0))&gt;0,INDEX($K$6:$K$53,MATCH($U6,$C$6:$C$53,0)),""),""))</f>
        <v/>
      </c>
      <c r="AD6" s="1690" t="str">
        <f t="shared" ref="AD6:AD53" si="8">IF($U6="","",IFERROR(IF(INDEX($L$6:$L$53,MATCH($U6,$C$6:$C$53,0))&gt;0,INDEX($L$6:$L$53,MATCH($U6,$C$6:$C$53,0)),""),""))</f>
        <v/>
      </c>
      <c r="AE6" s="1690" t="str">
        <f t="shared" ref="AE6:AE53" si="9">IF($U6="","",IFERROR(IF(INDEX($M$6:$M$53,MATCH($U6,$C$6:$C$53,0))&gt;0,INDEX($M$6:$M$53,MATCH($U6,$C$6:$C$53,0)),""),""))</f>
        <v/>
      </c>
      <c r="AF6" s="1690" t="str">
        <f t="shared" ref="AF6:AF53" si="10">IF($U6="","",IFERROR(IF(INDEX($N$6:$N$53,MATCH($U6,$C$6:$C$53,0))&gt;0,INDEX($N$6:$N$53,MATCH($U6,$C$6:$C$53,0)),""),""))</f>
        <v/>
      </c>
      <c r="AG6" s="1690" t="str">
        <f t="shared" ref="AG6:AG53" si="11">IF($U6="","",IFERROR(IF(INDEX($O$6:$O$53,MATCH($U6,$C$6:$C$53,0))&gt;0,INDEX($O$6:$O$53,MATCH($U6,$C$6:$C$53,0)),""),""))</f>
        <v/>
      </c>
      <c r="AH6" s="1690" t="str">
        <f t="shared" ref="AH6:AH53" si="12">IF($U6="","",IFERROR(IF(INDEX($P$6:$P$53,MATCH($U6,$C$6:$C$53,0))&gt;0,INDEX($P$6:$P$53,MATCH($U6,$C$6:$C$53,0)),""),""))</f>
        <v/>
      </c>
      <c r="AI6" s="1170" t="str">
        <f t="shared" ref="AI6:AI27" si="13">IF($U6="","",SUM($W6:$AH6))</f>
        <v/>
      </c>
      <c r="AJ6" s="1170" t="str">
        <f t="shared" ref="AJ6:AJ27" si="14">IF($U6="","",$AI6/2)</f>
        <v/>
      </c>
      <c r="AK6" s="1170" t="str">
        <f t="shared" ref="AK6:AK27" si="15">IF($U6="","",$AI6*10)</f>
        <v/>
      </c>
      <c r="AL6" s="1170" t="str">
        <f t="shared" ref="AL6:AL27" si="16">IF($U6="","",IF(MAX($W6:$AH6)&gt;50,"REVISIÓN: EXCEDE 50","OK"))</f>
        <v/>
      </c>
      <c r="AM6" s="1361" t="str">
        <f t="shared" ref="AM6:AM27" si="17">IF($U6="","",IF(MOD($AK6,20)=10,"SÍ","NO"))</f>
        <v/>
      </c>
      <c r="AP6" s="499" t="str">
        <f>IFERROR(INDEX($C$6:$C$53,_xlfn.AGGREGATE(15,6,(ROW($Q$6:$Q$53)-ROW($Q$6)+1)/(($Q$6:$Q$53&gt;0)*(MOD($S$6:$S$53,20)=10)),1)),"")</f>
        <v/>
      </c>
      <c r="AQ6" s="500" t="str">
        <f>IF($AP6="","",IFERROR(INDEX($D$6:$D$53,_xlfn.AGGREGATE(15,6,(ROW($Q$6:$Q$53)-ROW($Q$6)+1)/(($Q$6:$Q$53&gt;0)*(MOD($S$6:$S$53,20)=10)),1)),""))</f>
        <v/>
      </c>
      <c r="AR6" s="458" t="str">
        <f>IF($AP6="","",IFERROR(INDEX($S$6:$S$53,_xlfn.AGGREGATE(15,6,(ROW($Q$6:$Q$53)-ROW($Q$6)+1)/(($Q$6:$Q$53&gt;0)*(MOD($S$6:$S$53,20)=10)),1)),""))</f>
        <v/>
      </c>
      <c r="AS6" s="501" t="str">
        <f t="shared" ref="AS6:AS27" si="18">IF($AP6="","","10 KG")</f>
        <v/>
      </c>
    </row>
    <row r="7" spans="1:50" ht="46.5">
      <c r="A7" s="2257"/>
      <c r="C7" s="159">
        <f>+PP!B25</f>
        <v>2</v>
      </c>
      <c r="D7" s="164" t="str">
        <f>+PP!C25</f>
        <v>ANILLAS AMARILLAS SM ST</v>
      </c>
      <c r="E7" s="2138"/>
      <c r="F7" s="2137"/>
      <c r="G7" s="2137"/>
      <c r="H7" s="2137"/>
      <c r="I7" s="2137"/>
      <c r="J7" s="2137"/>
      <c r="K7" s="2137"/>
      <c r="L7" s="2137"/>
      <c r="M7" s="2137"/>
      <c r="N7" s="2137"/>
      <c r="O7" s="2137"/>
      <c r="P7" s="2139"/>
      <c r="Q7" s="508">
        <f>SUM(E7:P7)</f>
        <v>0</v>
      </c>
      <c r="R7" s="525">
        <f t="shared" si="0"/>
        <v>0</v>
      </c>
      <c r="S7" s="552">
        <f t="shared" ref="S7:S53" si="19">+Q7*10</f>
        <v>0</v>
      </c>
      <c r="T7" s="452"/>
      <c r="U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</f>
        <v/>
      </c>
      <c r="V7" s="1784" t="str">
        <f>IF($U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)</f>
        <v/>
      </c>
      <c r="W7" s="1713" t="str">
        <f t="shared" si="1"/>
        <v/>
      </c>
      <c r="X7" s="1713" t="str">
        <f t="shared" si="2"/>
        <v/>
      </c>
      <c r="Y7" s="1781" t="str">
        <f t="shared" si="3"/>
        <v/>
      </c>
      <c r="Z7" s="1691" t="str">
        <f t="shared" si="4"/>
        <v/>
      </c>
      <c r="AA7" s="1691" t="str">
        <f t="shared" si="5"/>
        <v/>
      </c>
      <c r="AB7" s="1691" t="str">
        <f t="shared" si="6"/>
        <v/>
      </c>
      <c r="AC7" s="1691" t="str">
        <f t="shared" si="7"/>
        <v/>
      </c>
      <c r="AD7" s="1691" t="str">
        <f t="shared" si="8"/>
        <v/>
      </c>
      <c r="AE7" s="1691" t="str">
        <f t="shared" si="9"/>
        <v/>
      </c>
      <c r="AF7" s="1691" t="str">
        <f t="shared" si="10"/>
        <v/>
      </c>
      <c r="AG7" s="1691" t="str">
        <f t="shared" si="11"/>
        <v/>
      </c>
      <c r="AH7" s="1691" t="str">
        <f t="shared" si="12"/>
        <v/>
      </c>
      <c r="AI7" s="1171" t="str">
        <f t="shared" si="13"/>
        <v/>
      </c>
      <c r="AJ7" s="1171" t="str">
        <f t="shared" si="14"/>
        <v/>
      </c>
      <c r="AK7" s="1171" t="str">
        <f t="shared" si="15"/>
        <v/>
      </c>
      <c r="AL7" s="1171" t="str">
        <f t="shared" si="16"/>
        <v/>
      </c>
      <c r="AM7" s="1362" t="str">
        <f t="shared" si="17"/>
        <v/>
      </c>
      <c r="AP7" s="499" t="str">
        <f>IFERROR(INDEX($C$6:$C$53,_xlfn.AGGREGATE(15,6,(ROW($Q$6:$Q$53)-ROW($Q$6)+1)/(($Q$6:$Q$53&gt;0)*(MOD($S$6:$S$53,20)=10)),2)),"")</f>
        <v/>
      </c>
      <c r="AQ7" s="500" t="str">
        <f>IF($AP7="","",IFERROR(INDEX($D$6:$D$53,_xlfn.AGGREGATE(15,6,(ROW($Q$6:$Q$53)-ROW($Q$6)+1)/(($Q$6:$Q$53&gt;0)*(MOD($S$6:$S$53,20)=10)),2)),""))</f>
        <v/>
      </c>
      <c r="AR7" s="458" t="str">
        <f>IF($AP7="","",IFERROR(INDEX($S$6:$S$53,_xlfn.AGGREGATE(15,6,(ROW($Q$6:$Q$53)-ROW($Q$6)+1)/(($Q$6:$Q$53&gt;0)*(MOD($S$6:$S$53,20)=10)),2)),""))</f>
        <v/>
      </c>
      <c r="AS7" s="501" t="str">
        <f t="shared" si="18"/>
        <v/>
      </c>
    </row>
    <row r="8" spans="1:50" ht="47.25" thickBot="1">
      <c r="A8" s="2257"/>
      <c r="C8" s="158">
        <f>+PP!B26</f>
        <v>3</v>
      </c>
      <c r="D8" s="163" t="str">
        <f>+PP!C26</f>
        <v>ANILLAS BLANCAS SM ST MEDIANA</v>
      </c>
      <c r="E8" s="2233"/>
      <c r="F8" s="2234"/>
      <c r="G8" s="2234"/>
      <c r="H8" s="2234"/>
      <c r="I8" s="2234"/>
      <c r="J8" s="2234"/>
      <c r="K8" s="2234"/>
      <c r="L8" s="2234"/>
      <c r="M8" s="2234"/>
      <c r="N8" s="2234"/>
      <c r="O8" s="2234"/>
      <c r="P8" s="2235"/>
      <c r="Q8" s="524">
        <f>SUM(F8:P8)</f>
        <v>0</v>
      </c>
      <c r="R8" s="150">
        <f t="shared" si="0"/>
        <v>0</v>
      </c>
      <c r="S8" s="507">
        <f t="shared" si="19"/>
        <v>0</v>
      </c>
      <c r="T8" s="452"/>
      <c r="U8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</f>
        <v/>
      </c>
      <c r="V8" s="1784" t="str">
        <f>IF($U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)</f>
        <v/>
      </c>
      <c r="W8" s="1713" t="str">
        <f t="shared" si="1"/>
        <v/>
      </c>
      <c r="X8" s="1713" t="str">
        <f t="shared" si="2"/>
        <v/>
      </c>
      <c r="Y8" s="1781" t="str">
        <f t="shared" si="3"/>
        <v/>
      </c>
      <c r="Z8" s="1691" t="str">
        <f t="shared" si="4"/>
        <v/>
      </c>
      <c r="AA8" s="1691" t="str">
        <f t="shared" si="5"/>
        <v/>
      </c>
      <c r="AB8" s="1691" t="str">
        <f t="shared" si="6"/>
        <v/>
      </c>
      <c r="AC8" s="1691" t="str">
        <f t="shared" si="7"/>
        <v/>
      </c>
      <c r="AD8" s="1691" t="str">
        <f t="shared" si="8"/>
        <v/>
      </c>
      <c r="AE8" s="1691" t="str">
        <f t="shared" si="9"/>
        <v/>
      </c>
      <c r="AF8" s="1691" t="str">
        <f t="shared" si="10"/>
        <v/>
      </c>
      <c r="AG8" s="1691" t="str">
        <f t="shared" si="11"/>
        <v/>
      </c>
      <c r="AH8" s="1691" t="str">
        <f t="shared" si="12"/>
        <v/>
      </c>
      <c r="AI8" s="1171" t="str">
        <f t="shared" si="13"/>
        <v/>
      </c>
      <c r="AJ8" s="1171" t="str">
        <f t="shared" si="14"/>
        <v/>
      </c>
      <c r="AK8" s="1171" t="str">
        <f t="shared" si="15"/>
        <v/>
      </c>
      <c r="AL8" s="1171" t="str">
        <f t="shared" si="16"/>
        <v/>
      </c>
      <c r="AM8" s="1362" t="str">
        <f t="shared" si="17"/>
        <v/>
      </c>
      <c r="AP8" s="499" t="str">
        <f>IFERROR(INDEX($C$6:$C$53,_xlfn.AGGREGATE(15,6,(ROW($Q$6:$Q$53)-ROW($Q$6)+1)/(($Q$6:$Q$53&gt;0)*(MOD($S$6:$S$53,20)=10)),3)),"")</f>
        <v/>
      </c>
      <c r="AQ8" s="500" t="str">
        <f>IF($AP8="","",IFERROR(INDEX($D$6:$D$53,_xlfn.AGGREGATE(15,6,(ROW($Q$6:$Q$53)-ROW($Q$6)+1)/(($Q$6:$Q$53&gt;0)*(MOD($S$6:$S$53,20)=10)),3)),""))</f>
        <v/>
      </c>
      <c r="AR8" s="458" t="str">
        <f>IF($AP8="","",IFERROR(INDEX($S$6:$S$53,_xlfn.AGGREGATE(15,6,(ROW($Q$6:$Q$53)-ROW($Q$6)+1)/(($Q$6:$Q$53&gt;0)*(MOD($S$6:$S$53,20)=10)),3)),""))</f>
        <v/>
      </c>
      <c r="AS8" s="501" t="str">
        <f t="shared" si="18"/>
        <v/>
      </c>
    </row>
    <row r="9" spans="1:50" ht="46.5">
      <c r="A9" s="2257"/>
      <c r="C9" s="157">
        <f>+PP!B27</f>
        <v>4</v>
      </c>
      <c r="D9" s="162" t="str">
        <f>+PP!C27</f>
        <v>ALETA FRESCA CORTE CRUZ</v>
      </c>
      <c r="E9" s="2230"/>
      <c r="F9" s="2231"/>
      <c r="G9" s="2231"/>
      <c r="H9" s="2231"/>
      <c r="I9" s="2231"/>
      <c r="J9" s="2231"/>
      <c r="K9" s="2231"/>
      <c r="L9" s="2231"/>
      <c r="M9" s="2231"/>
      <c r="N9" s="2231"/>
      <c r="O9" s="2231"/>
      <c r="P9" s="2232"/>
      <c r="Q9" s="514">
        <f t="shared" ref="Q9:Q52" si="20">SUM(E9:P9)</f>
        <v>0</v>
      </c>
      <c r="R9" s="148">
        <f t="shared" si="0"/>
        <v>0</v>
      </c>
      <c r="S9" s="490">
        <f t="shared" si="19"/>
        <v>0</v>
      </c>
      <c r="T9" s="452"/>
      <c r="U9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</f>
        <v/>
      </c>
      <c r="V9" s="1784" t="str">
        <f>IF($U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)</f>
        <v/>
      </c>
      <c r="W9" s="1713" t="str">
        <f t="shared" si="1"/>
        <v/>
      </c>
      <c r="X9" s="1713" t="str">
        <f t="shared" si="2"/>
        <v/>
      </c>
      <c r="Y9" s="1781" t="str">
        <f t="shared" si="3"/>
        <v/>
      </c>
      <c r="Z9" s="1691" t="str">
        <f t="shared" si="4"/>
        <v/>
      </c>
      <c r="AA9" s="1691" t="str">
        <f t="shared" si="5"/>
        <v/>
      </c>
      <c r="AB9" s="1691" t="str">
        <f t="shared" si="6"/>
        <v/>
      </c>
      <c r="AC9" s="1691" t="str">
        <f t="shared" si="7"/>
        <v/>
      </c>
      <c r="AD9" s="1691" t="str">
        <f t="shared" si="8"/>
        <v/>
      </c>
      <c r="AE9" s="1691" t="str">
        <f t="shared" si="9"/>
        <v/>
      </c>
      <c r="AF9" s="1691" t="str">
        <f t="shared" si="10"/>
        <v/>
      </c>
      <c r="AG9" s="1691" t="str">
        <f t="shared" si="11"/>
        <v/>
      </c>
      <c r="AH9" s="1691" t="str">
        <f t="shared" si="12"/>
        <v/>
      </c>
      <c r="AI9" s="1171" t="str">
        <f t="shared" si="13"/>
        <v/>
      </c>
      <c r="AJ9" s="1171" t="str">
        <f t="shared" si="14"/>
        <v/>
      </c>
      <c r="AK9" s="1171" t="str">
        <f t="shared" si="15"/>
        <v/>
      </c>
      <c r="AL9" s="1171" t="str">
        <f t="shared" si="16"/>
        <v/>
      </c>
      <c r="AM9" s="1362" t="str">
        <f t="shared" si="17"/>
        <v/>
      </c>
      <c r="AP9" s="499" t="str">
        <f>IFERROR(INDEX($C$6:$C$53,_xlfn.AGGREGATE(15,6,(ROW($Q$6:$Q$53)-ROW($Q$6)+1)/(($Q$6:$Q$53&gt;0)*(MOD($S$6:$S$53,20)=10)),4)),"")</f>
        <v/>
      </c>
      <c r="AQ9" s="500" t="str">
        <f>IF($AP9="","",IFERROR(INDEX($D$6:$D$53,_xlfn.AGGREGATE(15,6,(ROW($Q$6:$Q$53)-ROW($Q$6)+1)/(($Q$6:$Q$53&gt;0)*(MOD($S$6:$S$53,20)=10)),4)),""))</f>
        <v/>
      </c>
      <c r="AR9" s="458" t="str">
        <f>IF($AP9="","",IFERROR(INDEX($S$6:$S$53,_xlfn.AGGREGATE(15,6,(ROW($Q$6:$Q$53)-ROW($Q$6)+1)/(($Q$6:$Q$53&gt;0)*(MOD($S$6:$S$53,20)=10)),4)),""))</f>
        <v/>
      </c>
      <c r="AS9" s="501" t="str">
        <f t="shared" si="18"/>
        <v/>
      </c>
    </row>
    <row r="10" spans="1:50" ht="46.5">
      <c r="A10" s="2257"/>
      <c r="C10" s="159">
        <f>+PP!B28</f>
        <v>5</v>
      </c>
      <c r="D10" s="164" t="str">
        <f>+PP!C28</f>
        <v>ALETA ENTERA 100-500 g/pza</v>
      </c>
      <c r="E10" s="2138"/>
      <c r="F10" s="2137"/>
      <c r="G10" s="2137"/>
      <c r="H10" s="2137"/>
      <c r="I10" s="2137"/>
      <c r="J10" s="2137"/>
      <c r="K10" s="2137"/>
      <c r="L10" s="2137"/>
      <c r="M10" s="2137"/>
      <c r="N10" s="2137"/>
      <c r="O10" s="2137"/>
      <c r="P10" s="2139"/>
      <c r="Q10" s="508">
        <f t="shared" si="20"/>
        <v>0</v>
      </c>
      <c r="R10" s="149">
        <f t="shared" si="0"/>
        <v>0</v>
      </c>
      <c r="S10" s="552">
        <f t="shared" si="19"/>
        <v>0</v>
      </c>
      <c r="T10" s="452"/>
      <c r="U10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</f>
        <v/>
      </c>
      <c r="V10" s="1784" t="str">
        <f>IF($U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)</f>
        <v/>
      </c>
      <c r="W10" s="1713" t="str">
        <f t="shared" si="1"/>
        <v/>
      </c>
      <c r="X10" s="1713" t="str">
        <f t="shared" si="2"/>
        <v/>
      </c>
      <c r="Y10" s="1781" t="str">
        <f t="shared" si="3"/>
        <v/>
      </c>
      <c r="Z10" s="1691" t="str">
        <f t="shared" si="4"/>
        <v/>
      </c>
      <c r="AA10" s="1691" t="str">
        <f t="shared" si="5"/>
        <v/>
      </c>
      <c r="AB10" s="1691" t="str">
        <f t="shared" si="6"/>
        <v/>
      </c>
      <c r="AC10" s="1691" t="str">
        <f t="shared" si="7"/>
        <v/>
      </c>
      <c r="AD10" s="1691" t="str">
        <f t="shared" si="8"/>
        <v/>
      </c>
      <c r="AE10" s="1691" t="str">
        <f t="shared" si="9"/>
        <v/>
      </c>
      <c r="AF10" s="1691" t="str">
        <f t="shared" si="10"/>
        <v/>
      </c>
      <c r="AG10" s="1691" t="str">
        <f t="shared" si="11"/>
        <v/>
      </c>
      <c r="AH10" s="1691" t="str">
        <f t="shared" si="12"/>
        <v/>
      </c>
      <c r="AI10" s="1171" t="str">
        <f t="shared" si="13"/>
        <v/>
      </c>
      <c r="AJ10" s="1171" t="str">
        <f t="shared" si="14"/>
        <v/>
      </c>
      <c r="AK10" s="1171" t="str">
        <f t="shared" si="15"/>
        <v/>
      </c>
      <c r="AL10" s="1171" t="str">
        <f t="shared" si="16"/>
        <v/>
      </c>
      <c r="AM10" s="1362" t="str">
        <f t="shared" si="17"/>
        <v/>
      </c>
      <c r="AP10" s="499" t="str">
        <f>IFERROR(INDEX($C$6:$C$53,_xlfn.AGGREGATE(15,6,(ROW($Q$6:$Q$53)-ROW($Q$6)+1)/(($Q$6:$Q$53&gt;0)*(MOD($S$6:$S$53,20)=10)),5)),"")</f>
        <v/>
      </c>
      <c r="AQ10" s="500" t="str">
        <f>IF($AP10="","",IFERROR(INDEX($D$6:$D$53,_xlfn.AGGREGATE(15,6,(ROW($Q$6:$Q$53)-ROW($Q$6)+1)/(($Q$6:$Q$53&gt;0)*(MOD($S$6:$S$53,20)=10)),5)),""))</f>
        <v/>
      </c>
      <c r="AR10" s="458" t="str">
        <f>IF($AP10="","",IFERROR(INDEX($S$6:$S$53,_xlfn.AGGREGATE(15,6,(ROW($Q$6:$Q$53)-ROW($Q$6)+1)/(($Q$6:$Q$53&gt;0)*(MOD($S$6:$S$53,20)=10)),5)),""))</f>
        <v/>
      </c>
      <c r="AS10" s="501" t="str">
        <f t="shared" si="18"/>
        <v/>
      </c>
    </row>
    <row r="11" spans="1:50" ht="46.5">
      <c r="A11" s="2257"/>
      <c r="C11" s="159">
        <f>+PP!B29</f>
        <v>6</v>
      </c>
      <c r="D11" s="164" t="str">
        <f>+PP!C29</f>
        <v>ALETA ENTERA 500-1000 g/pza</v>
      </c>
      <c r="E11" s="2138"/>
      <c r="F11" s="2137"/>
      <c r="G11" s="2137"/>
      <c r="H11" s="2137"/>
      <c r="I11" s="2137"/>
      <c r="J11" s="2137"/>
      <c r="K11" s="2137"/>
      <c r="L11" s="2137"/>
      <c r="M11" s="2137"/>
      <c r="N11" s="2137"/>
      <c r="O11" s="2137"/>
      <c r="P11" s="2139"/>
      <c r="Q11" s="508">
        <f t="shared" si="20"/>
        <v>0</v>
      </c>
      <c r="R11" s="149">
        <f t="shared" si="0"/>
        <v>0</v>
      </c>
      <c r="S11" s="552">
        <f t="shared" si="19"/>
        <v>0</v>
      </c>
      <c r="T11" s="452"/>
      <c r="U11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</f>
        <v/>
      </c>
      <c r="V11" s="1784" t="str">
        <f>IF($U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)</f>
        <v/>
      </c>
      <c r="W11" s="1713" t="str">
        <f t="shared" si="1"/>
        <v/>
      </c>
      <c r="X11" s="1713" t="str">
        <f t="shared" si="2"/>
        <v/>
      </c>
      <c r="Y11" s="1781" t="str">
        <f t="shared" si="3"/>
        <v/>
      </c>
      <c r="Z11" s="1691" t="str">
        <f t="shared" si="4"/>
        <v/>
      </c>
      <c r="AA11" s="1691" t="str">
        <f t="shared" si="5"/>
        <v/>
      </c>
      <c r="AB11" s="1691" t="str">
        <f t="shared" si="6"/>
        <v/>
      </c>
      <c r="AC11" s="1691" t="str">
        <f t="shared" si="7"/>
        <v/>
      </c>
      <c r="AD11" s="1691" t="str">
        <f t="shared" si="8"/>
        <v/>
      </c>
      <c r="AE11" s="1691" t="str">
        <f t="shared" si="9"/>
        <v/>
      </c>
      <c r="AF11" s="1691" t="str">
        <f t="shared" si="10"/>
        <v/>
      </c>
      <c r="AG11" s="1691" t="str">
        <f t="shared" si="11"/>
        <v/>
      </c>
      <c r="AH11" s="1691" t="str">
        <f t="shared" si="12"/>
        <v/>
      </c>
      <c r="AI11" s="1171" t="str">
        <f t="shared" si="13"/>
        <v/>
      </c>
      <c r="AJ11" s="1171" t="str">
        <f t="shared" si="14"/>
        <v/>
      </c>
      <c r="AK11" s="1171" t="str">
        <f t="shared" si="15"/>
        <v/>
      </c>
      <c r="AL11" s="1171" t="str">
        <f t="shared" si="16"/>
        <v/>
      </c>
      <c r="AM11" s="1362" t="str">
        <f t="shared" si="17"/>
        <v/>
      </c>
      <c r="AP11" s="499" t="str">
        <f>IFERROR(INDEX($C$6:$C$53,_xlfn.AGGREGATE(15,6,(ROW($Q$6:$Q$53)-ROW($Q$6)+1)/(($Q$6:$Q$53&gt;0)*(MOD($S$6:$S$53,20)=10)),6)),"")</f>
        <v/>
      </c>
      <c r="AQ11" s="500" t="str">
        <f>IF($AP11="","",IFERROR(INDEX($D$6:$D$53,_xlfn.AGGREGATE(15,6,(ROW($Q$6:$Q$53)-ROW($Q$6)+1)/(($Q$6:$Q$53&gt;0)*(MOD($S$6:$S$53,20)=10)),6)),""))</f>
        <v/>
      </c>
      <c r="AR11" s="458" t="str">
        <f>IF($AP11="","",IFERROR(INDEX($S$6:$S$53,_xlfn.AGGREGATE(15,6,(ROW($Q$6:$Q$53)-ROW($Q$6)+1)/(($Q$6:$Q$53&gt;0)*(MOD($S$6:$S$53,20)=10)),6)),""))</f>
        <v/>
      </c>
      <c r="AS11" s="501" t="str">
        <f t="shared" si="18"/>
        <v/>
      </c>
    </row>
    <row r="12" spans="1:50" ht="46.5">
      <c r="A12" s="2257"/>
      <c r="C12" s="159">
        <f>+PP!B30</f>
        <v>7</v>
      </c>
      <c r="D12" s="164" t="str">
        <f>+PP!C30</f>
        <v>ALETA ENTERA 1.0-2.0 kg/pza</v>
      </c>
      <c r="E12" s="2138"/>
      <c r="F12" s="2137"/>
      <c r="G12" s="2137"/>
      <c r="H12" s="2137"/>
      <c r="I12" s="2137"/>
      <c r="J12" s="2137"/>
      <c r="K12" s="2137"/>
      <c r="L12" s="2137"/>
      <c r="M12" s="2137"/>
      <c r="N12" s="2137"/>
      <c r="O12" s="2137"/>
      <c r="P12" s="2139"/>
      <c r="Q12" s="508">
        <f t="shared" si="20"/>
        <v>0</v>
      </c>
      <c r="R12" s="149">
        <f>Q12/2</f>
        <v>0</v>
      </c>
      <c r="S12" s="552">
        <f>+Q12*10</f>
        <v>0</v>
      </c>
      <c r="T12" s="452"/>
      <c r="U12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</f>
        <v/>
      </c>
      <c r="V12" s="1784" t="str">
        <f>IF($U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)</f>
        <v/>
      </c>
      <c r="W12" s="1713" t="str">
        <f t="shared" si="1"/>
        <v/>
      </c>
      <c r="X12" s="1713" t="str">
        <f t="shared" si="2"/>
        <v/>
      </c>
      <c r="Y12" s="1781" t="str">
        <f t="shared" si="3"/>
        <v/>
      </c>
      <c r="Z12" s="1691" t="str">
        <f t="shared" si="4"/>
        <v/>
      </c>
      <c r="AA12" s="1691" t="str">
        <f t="shared" si="5"/>
        <v/>
      </c>
      <c r="AB12" s="1691" t="str">
        <f t="shared" si="6"/>
        <v/>
      </c>
      <c r="AC12" s="1691" t="str">
        <f t="shared" si="7"/>
        <v/>
      </c>
      <c r="AD12" s="1691" t="str">
        <f t="shared" si="8"/>
        <v/>
      </c>
      <c r="AE12" s="1691" t="str">
        <f t="shared" si="9"/>
        <v/>
      </c>
      <c r="AF12" s="1691" t="str">
        <f t="shared" si="10"/>
        <v/>
      </c>
      <c r="AG12" s="1691" t="str">
        <f t="shared" si="11"/>
        <v/>
      </c>
      <c r="AH12" s="1691" t="str">
        <f t="shared" si="12"/>
        <v/>
      </c>
      <c r="AI12" s="1171" t="str">
        <f t="shared" si="13"/>
        <v/>
      </c>
      <c r="AJ12" s="1171" t="str">
        <f t="shared" si="14"/>
        <v/>
      </c>
      <c r="AK12" s="1171" t="str">
        <f t="shared" si="15"/>
        <v/>
      </c>
      <c r="AL12" s="1171" t="str">
        <f t="shared" si="16"/>
        <v/>
      </c>
      <c r="AM12" s="1362" t="str">
        <f t="shared" si="17"/>
        <v/>
      </c>
      <c r="AP12" s="499" t="str">
        <f>IFERROR(INDEX($C$6:$C$53,_xlfn.AGGREGATE(15,6,(ROW($Q$6:$Q$53)-ROW($Q$6)+1)/(($Q$6:$Q$53&gt;0)*(MOD($S$6:$S$53,20)=10)),7)),"")</f>
        <v/>
      </c>
      <c r="AQ12" s="500" t="str">
        <f>IF($AP12="","",IFERROR(INDEX($D$6:$D$53,_xlfn.AGGREGATE(15,6,(ROW($Q$6:$Q$53)-ROW($Q$6)+1)/(($Q$6:$Q$53&gt;0)*(MOD($S$6:$S$53,20)=10)),7)),""))</f>
        <v/>
      </c>
      <c r="AR12" s="458" t="str">
        <f>IF($AP12="","",IFERROR(INDEX($S$6:$S$53,_xlfn.AGGREGATE(15,6,(ROW($Q$6:$Q$53)-ROW($Q$6)+1)/(($Q$6:$Q$53&gt;0)*(MOD($S$6:$S$53,20)=10)),7)),""))</f>
        <v/>
      </c>
      <c r="AS12" s="501" t="str">
        <f t="shared" si="18"/>
        <v/>
      </c>
    </row>
    <row r="13" spans="1:50" ht="46.5">
      <c r="A13" s="2257"/>
      <c r="C13" s="159">
        <f>+PP!B31</f>
        <v>8</v>
      </c>
      <c r="D13" s="164" t="str">
        <f>+PP!C31</f>
        <v>ALETA FRESCA PARTIDA 2.0-4.0 kg/pza</v>
      </c>
      <c r="E13" s="2138"/>
      <c r="F13" s="2137"/>
      <c r="G13" s="2137"/>
      <c r="H13" s="2137"/>
      <c r="I13" s="2137"/>
      <c r="J13" s="2137"/>
      <c r="K13" s="2137"/>
      <c r="L13" s="2137"/>
      <c r="M13" s="2137"/>
      <c r="N13" s="2137"/>
      <c r="O13" s="2137"/>
      <c r="P13" s="2139"/>
      <c r="Q13" s="508">
        <f t="shared" si="20"/>
        <v>0</v>
      </c>
      <c r="R13" s="149">
        <f t="shared" si="0"/>
        <v>0</v>
      </c>
      <c r="S13" s="552">
        <f t="shared" si="19"/>
        <v>0</v>
      </c>
      <c r="T13" s="452"/>
      <c r="U13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</f>
        <v/>
      </c>
      <c r="V13" s="1784" t="str">
        <f>IF($U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)</f>
        <v/>
      </c>
      <c r="W13" s="1713" t="str">
        <f t="shared" si="1"/>
        <v/>
      </c>
      <c r="X13" s="1713" t="str">
        <f t="shared" si="2"/>
        <v/>
      </c>
      <c r="Y13" s="1781" t="str">
        <f t="shared" si="3"/>
        <v/>
      </c>
      <c r="Z13" s="1691" t="str">
        <f t="shared" si="4"/>
        <v/>
      </c>
      <c r="AA13" s="1691" t="str">
        <f t="shared" si="5"/>
        <v/>
      </c>
      <c r="AB13" s="1691" t="str">
        <f t="shared" si="6"/>
        <v/>
      </c>
      <c r="AC13" s="1691" t="str">
        <f t="shared" si="7"/>
        <v/>
      </c>
      <c r="AD13" s="1691" t="str">
        <f t="shared" si="8"/>
        <v/>
      </c>
      <c r="AE13" s="1691" t="str">
        <f t="shared" si="9"/>
        <v/>
      </c>
      <c r="AF13" s="1691" t="str">
        <f t="shared" si="10"/>
        <v/>
      </c>
      <c r="AG13" s="1691" t="str">
        <f t="shared" si="11"/>
        <v/>
      </c>
      <c r="AH13" s="1691" t="str">
        <f t="shared" si="12"/>
        <v/>
      </c>
      <c r="AI13" s="1171" t="str">
        <f t="shared" si="13"/>
        <v/>
      </c>
      <c r="AJ13" s="1171" t="str">
        <f t="shared" si="14"/>
        <v/>
      </c>
      <c r="AK13" s="1171" t="str">
        <f t="shared" si="15"/>
        <v/>
      </c>
      <c r="AL13" s="1171" t="str">
        <f t="shared" si="16"/>
        <v/>
      </c>
      <c r="AM13" s="1362" t="str">
        <f t="shared" si="17"/>
        <v/>
      </c>
      <c r="AP13" s="499" t="str">
        <f>IFERROR(INDEX($C$6:$C$53,_xlfn.AGGREGATE(15,6,(ROW($Q$6:$Q$53)-ROW($Q$6)+1)/(($Q$6:$Q$53&gt;0)*(MOD($S$6:$S$53,20)=10)),8)),"")</f>
        <v/>
      </c>
      <c r="AQ13" s="500" t="str">
        <f>IF($AP13="","",IFERROR(INDEX($D$6:$D$53,_xlfn.AGGREGATE(15,6,(ROW($Q$6:$Q$53)-ROW($Q$6)+1)/(($Q$6:$Q$53&gt;0)*(MOD($S$6:$S$53,20)=10)),8)),""))</f>
        <v/>
      </c>
      <c r="AR13" s="458" t="str">
        <f>IF($AP13="","",IFERROR(INDEX($S$6:$S$53,_xlfn.AGGREGATE(15,6,(ROW($Q$6:$Q$53)-ROW($Q$6)+1)/(($Q$6:$Q$53&gt;0)*(MOD($S$6:$S$53,20)=10)),8)),""))</f>
        <v/>
      </c>
      <c r="AS13" s="501" t="str">
        <f t="shared" si="18"/>
        <v/>
      </c>
    </row>
    <row r="14" spans="1:50" ht="46.5">
      <c r="A14" s="2257"/>
      <c r="C14" s="159">
        <f>+PP!B32</f>
        <v>9</v>
      </c>
      <c r="D14" s="164" t="str">
        <f>+PP!C32</f>
        <v>ALETA PRECOCIDA ENTERA 300-UP g/pza</v>
      </c>
      <c r="E14" s="2138"/>
      <c r="F14" s="2137"/>
      <c r="G14" s="2137"/>
      <c r="H14" s="2137"/>
      <c r="I14" s="2137"/>
      <c r="J14" s="2137"/>
      <c r="K14" s="2137"/>
      <c r="L14" s="2137"/>
      <c r="M14" s="2137"/>
      <c r="N14" s="2137"/>
      <c r="O14" s="2137"/>
      <c r="P14" s="2139"/>
      <c r="Q14" s="508">
        <f t="shared" si="20"/>
        <v>0</v>
      </c>
      <c r="R14" s="149"/>
      <c r="S14" s="552">
        <f t="shared" si="19"/>
        <v>0</v>
      </c>
      <c r="T14" s="452"/>
      <c r="U14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</f>
        <v/>
      </c>
      <c r="V14" s="1784" t="str">
        <f>IF($U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)</f>
        <v/>
      </c>
      <c r="W14" s="1713" t="str">
        <f t="shared" si="1"/>
        <v/>
      </c>
      <c r="X14" s="1713" t="str">
        <f t="shared" si="2"/>
        <v/>
      </c>
      <c r="Y14" s="1781" t="str">
        <f t="shared" si="3"/>
        <v/>
      </c>
      <c r="Z14" s="1691" t="str">
        <f t="shared" si="4"/>
        <v/>
      </c>
      <c r="AA14" s="1691" t="str">
        <f t="shared" si="5"/>
        <v/>
      </c>
      <c r="AB14" s="1691" t="str">
        <f t="shared" si="6"/>
        <v/>
      </c>
      <c r="AC14" s="1691" t="str">
        <f t="shared" si="7"/>
        <v/>
      </c>
      <c r="AD14" s="1691" t="str">
        <f t="shared" si="8"/>
        <v/>
      </c>
      <c r="AE14" s="1691" t="str">
        <f t="shared" si="9"/>
        <v/>
      </c>
      <c r="AF14" s="1691" t="str">
        <f t="shared" si="10"/>
        <v/>
      </c>
      <c r="AG14" s="1691" t="str">
        <f t="shared" si="11"/>
        <v/>
      </c>
      <c r="AH14" s="1691" t="str">
        <f t="shared" si="12"/>
        <v/>
      </c>
      <c r="AI14" s="1171" t="str">
        <f t="shared" si="13"/>
        <v/>
      </c>
      <c r="AJ14" s="1171" t="str">
        <f t="shared" si="14"/>
        <v/>
      </c>
      <c r="AK14" s="1171" t="str">
        <f t="shared" si="15"/>
        <v/>
      </c>
      <c r="AL14" s="1171" t="str">
        <f t="shared" si="16"/>
        <v/>
      </c>
      <c r="AM14" s="1362" t="str">
        <f t="shared" si="17"/>
        <v/>
      </c>
      <c r="AP14" s="499" t="str">
        <f>IFERROR(INDEX($C$6:$C$53,_xlfn.AGGREGATE(15,6,(ROW($Q$6:$Q$53)-ROW($Q$6)+1)/(($Q$6:$Q$53&gt;0)*(MOD($S$6:$S$53,20)=10)),9)),"")</f>
        <v/>
      </c>
      <c r="AQ14" s="500" t="str">
        <f>IF($AP14="","",IFERROR(INDEX($D$6:$D$53,_xlfn.AGGREGATE(15,6,(ROW($Q$6:$Q$53)-ROW($Q$6)+1)/(($Q$6:$Q$53&gt;0)*(MOD($S$6:$S$53,20)=10)),9)),""))</f>
        <v/>
      </c>
      <c r="AR14" s="458" t="str">
        <f>IF($AP14="","",IFERROR(INDEX($S$6:$S$53,_xlfn.AGGREGATE(15,6,(ROW($Q$6:$Q$53)-ROW($Q$6)+1)/(($Q$6:$Q$53&gt;0)*(MOD($S$6:$S$53,20)=10)),9)),""))</f>
        <v/>
      </c>
      <c r="AS14" s="501" t="str">
        <f t="shared" si="18"/>
        <v/>
      </c>
    </row>
    <row r="15" spans="1:50" ht="47.25" thickBot="1">
      <c r="A15" s="2257"/>
      <c r="C15" s="158">
        <f>+PP!B33</f>
        <v>10</v>
      </c>
      <c r="D15" s="163" t="str">
        <f>+PP!C33</f>
        <v>ALETA PRECOCIDA PARTIDA 300-UP g/pza</v>
      </c>
      <c r="E15" s="2233"/>
      <c r="F15" s="2234"/>
      <c r="G15" s="2234"/>
      <c r="H15" s="2234"/>
      <c r="I15" s="2234"/>
      <c r="J15" s="2234"/>
      <c r="K15" s="2234"/>
      <c r="L15" s="2234"/>
      <c r="M15" s="2234"/>
      <c r="N15" s="2234"/>
      <c r="O15" s="2234"/>
      <c r="P15" s="2235"/>
      <c r="Q15" s="524">
        <f t="shared" si="20"/>
        <v>0</v>
      </c>
      <c r="R15" s="150">
        <f t="shared" si="0"/>
        <v>0</v>
      </c>
      <c r="S15" s="556">
        <f t="shared" si="19"/>
        <v>0</v>
      </c>
      <c r="T15" s="452"/>
      <c r="U15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</f>
        <v/>
      </c>
      <c r="V15" s="1784" t="str">
        <f>IF($U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)</f>
        <v/>
      </c>
      <c r="W15" s="1713" t="str">
        <f t="shared" si="1"/>
        <v/>
      </c>
      <c r="X15" s="1713" t="str">
        <f t="shared" si="2"/>
        <v/>
      </c>
      <c r="Y15" s="1781" t="str">
        <f t="shared" si="3"/>
        <v/>
      </c>
      <c r="Z15" s="1691" t="str">
        <f t="shared" si="4"/>
        <v/>
      </c>
      <c r="AA15" s="1691" t="str">
        <f t="shared" si="5"/>
        <v/>
      </c>
      <c r="AB15" s="1691" t="str">
        <f t="shared" si="6"/>
        <v/>
      </c>
      <c r="AC15" s="1691" t="str">
        <f t="shared" si="7"/>
        <v/>
      </c>
      <c r="AD15" s="1691" t="str">
        <f t="shared" si="8"/>
        <v/>
      </c>
      <c r="AE15" s="1691" t="str">
        <f t="shared" si="9"/>
        <v/>
      </c>
      <c r="AF15" s="1691" t="str">
        <f t="shared" si="10"/>
        <v/>
      </c>
      <c r="AG15" s="1691" t="str">
        <f t="shared" si="11"/>
        <v/>
      </c>
      <c r="AH15" s="1691" t="str">
        <f t="shared" si="12"/>
        <v/>
      </c>
      <c r="AI15" s="458" t="str">
        <f t="shared" si="13"/>
        <v/>
      </c>
      <c r="AJ15" s="458" t="str">
        <f t="shared" si="14"/>
        <v/>
      </c>
      <c r="AK15" s="458" t="str">
        <f t="shared" si="15"/>
        <v/>
      </c>
      <c r="AL15" s="458" t="str">
        <f t="shared" si="16"/>
        <v/>
      </c>
      <c r="AM15" s="501" t="str">
        <f t="shared" si="17"/>
        <v/>
      </c>
      <c r="AP15" s="499" t="str">
        <f>IFERROR(INDEX($C$6:$C$53,_xlfn.AGGREGATE(15,6,(ROW($Q$6:$Q$53)-ROW($Q$6)+1)/(($Q$6:$Q$53&gt;0)*(MOD($S$6:$S$53,20)=10)),10)),"")</f>
        <v/>
      </c>
      <c r="AQ15" s="500" t="str">
        <f>IF($AP15="","",IFERROR(INDEX($D$6:$D$53,_xlfn.AGGREGATE(15,6,(ROW($Q$6:$Q$53)-ROW($Q$6)+1)/(($Q$6:$Q$53&gt;0)*(MOD($S$6:$S$53,20)=10)),10)),""))</f>
        <v/>
      </c>
      <c r="AR15" s="458" t="str">
        <f>IF($AP15="","",IFERROR(INDEX($S$6:$S$53,_xlfn.AGGREGATE(15,6,(ROW($Q$6:$Q$53)-ROW($Q$6)+1)/(($Q$6:$Q$53&gt;0)*(MOD($S$6:$S$53,20)=10)),10)),""))</f>
        <v/>
      </c>
      <c r="AS15" s="501" t="str">
        <f t="shared" si="18"/>
        <v/>
      </c>
    </row>
    <row r="16" spans="1:50" ht="46.5">
      <c r="A16" s="2257"/>
      <c r="C16" s="157">
        <f>+PP!B34</f>
        <v>11</v>
      </c>
      <c r="D16" s="162" t="str">
        <f>+PP!C34</f>
        <v>BOTON BLANCO SM ST</v>
      </c>
      <c r="E16" s="2230"/>
      <c r="F16" s="2231"/>
      <c r="G16" s="2231"/>
      <c r="H16" s="2231"/>
      <c r="I16" s="2231"/>
      <c r="J16" s="2231"/>
      <c r="K16" s="2231"/>
      <c r="L16" s="2231"/>
      <c r="M16" s="2231"/>
      <c r="N16" s="2231"/>
      <c r="O16" s="2231"/>
      <c r="P16" s="2232"/>
      <c r="Q16" s="514">
        <f t="shared" si="20"/>
        <v>0</v>
      </c>
      <c r="R16" s="148">
        <f t="shared" si="0"/>
        <v>0</v>
      </c>
      <c r="S16" s="490">
        <f t="shared" si="19"/>
        <v>0</v>
      </c>
      <c r="T16" s="452"/>
      <c r="U1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</f>
        <v/>
      </c>
      <c r="V16" s="1784" t="str">
        <f>IF($U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)</f>
        <v/>
      </c>
      <c r="W16" s="1713" t="str">
        <f t="shared" si="1"/>
        <v/>
      </c>
      <c r="X16" s="1713" t="str">
        <f t="shared" si="2"/>
        <v/>
      </c>
      <c r="Y16" s="1781" t="str">
        <f t="shared" si="3"/>
        <v/>
      </c>
      <c r="Z16" s="1691" t="str">
        <f t="shared" si="4"/>
        <v/>
      </c>
      <c r="AA16" s="1691" t="str">
        <f t="shared" si="5"/>
        <v/>
      </c>
      <c r="AB16" s="1691" t="str">
        <f t="shared" si="6"/>
        <v/>
      </c>
      <c r="AC16" s="1691" t="str">
        <f t="shared" si="7"/>
        <v/>
      </c>
      <c r="AD16" s="1691" t="str">
        <f t="shared" si="8"/>
        <v/>
      </c>
      <c r="AE16" s="1691" t="str">
        <f t="shared" si="9"/>
        <v/>
      </c>
      <c r="AF16" s="1691" t="str">
        <f t="shared" si="10"/>
        <v/>
      </c>
      <c r="AG16" s="1691" t="str">
        <f t="shared" si="11"/>
        <v/>
      </c>
      <c r="AH16" s="1171" t="str">
        <f t="shared" si="12"/>
        <v/>
      </c>
      <c r="AI16" s="458" t="str">
        <f t="shared" si="13"/>
        <v/>
      </c>
      <c r="AJ16" s="458" t="str">
        <f t="shared" si="14"/>
        <v/>
      </c>
      <c r="AK16" s="458" t="str">
        <f t="shared" si="15"/>
        <v/>
      </c>
      <c r="AL16" s="458" t="str">
        <f t="shared" si="16"/>
        <v/>
      </c>
      <c r="AM16" s="501" t="str">
        <f t="shared" si="17"/>
        <v/>
      </c>
      <c r="AP16" s="499" t="str">
        <f>IFERROR(INDEX($C$6:$C$53,_xlfn.AGGREGATE(15,6,(ROW($Q$6:$Q$53)-ROW($Q$6)+1)/(($Q$6:$Q$53&gt;0)*(MOD($S$6:$S$53,20)=10)),11)),"")</f>
        <v/>
      </c>
      <c r="AQ16" s="500" t="str">
        <f>IF($AP16="","",IFERROR(INDEX($D$6:$D$53,_xlfn.AGGREGATE(15,6,(ROW($Q$6:$Q$53)-ROW($Q$6)+1)/(($Q$6:$Q$53&gt;0)*(MOD($S$6:$S$53,20)=10)),11)),""))</f>
        <v/>
      </c>
      <c r="AR16" s="458" t="str">
        <f>IF($AP16="","",IFERROR(INDEX($S$6:$S$53,_xlfn.AGGREGATE(15,6,(ROW($Q$6:$Q$53)-ROW($Q$6)+1)/(($Q$6:$Q$53&gt;0)*(MOD($S$6:$S$53,20)=10)),11)),""))</f>
        <v/>
      </c>
      <c r="AS16" s="501" t="str">
        <f t="shared" si="18"/>
        <v/>
      </c>
    </row>
    <row r="17" spans="1:45" ht="47.25" thickBot="1">
      <c r="A17" s="2257"/>
      <c r="C17" s="158">
        <f>+PP!B35</f>
        <v>12</v>
      </c>
      <c r="D17" s="163" t="str">
        <f>+PP!C35</f>
        <v>BOTON AMARILLO SM ST</v>
      </c>
      <c r="E17" s="2233"/>
      <c r="F17" s="2234"/>
      <c r="G17" s="2234"/>
      <c r="H17" s="2234"/>
      <c r="I17" s="2234"/>
      <c r="J17" s="2234"/>
      <c r="K17" s="2234"/>
      <c r="L17" s="2234"/>
      <c r="M17" s="2234"/>
      <c r="N17" s="2234"/>
      <c r="O17" s="2234"/>
      <c r="P17" s="2235"/>
      <c r="Q17" s="524">
        <f t="shared" si="20"/>
        <v>0</v>
      </c>
      <c r="R17" s="150">
        <f t="shared" si="0"/>
        <v>0</v>
      </c>
      <c r="S17" s="507">
        <f t="shared" si="19"/>
        <v>0</v>
      </c>
      <c r="T17" s="452"/>
      <c r="U1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</f>
        <v/>
      </c>
      <c r="V17" s="1784" t="str">
        <f>IF($U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)</f>
        <v/>
      </c>
      <c r="W17" s="1713" t="str">
        <f t="shared" si="1"/>
        <v/>
      </c>
      <c r="X17" s="1713" t="str">
        <f t="shared" si="2"/>
        <v/>
      </c>
      <c r="Y17" s="1781" t="str">
        <f t="shared" si="3"/>
        <v/>
      </c>
      <c r="Z17" s="1691" t="str">
        <f t="shared" si="4"/>
        <v/>
      </c>
      <c r="AA17" s="1691" t="str">
        <f t="shared" si="5"/>
        <v/>
      </c>
      <c r="AB17" s="1691" t="str">
        <f t="shared" si="6"/>
        <v/>
      </c>
      <c r="AC17" s="1691" t="str">
        <f t="shared" si="7"/>
        <v/>
      </c>
      <c r="AD17" s="1691" t="str">
        <f t="shared" si="8"/>
        <v/>
      </c>
      <c r="AE17" s="1691" t="str">
        <f t="shared" si="9"/>
        <v/>
      </c>
      <c r="AF17" s="1691" t="str">
        <f t="shared" si="10"/>
        <v/>
      </c>
      <c r="AG17" s="1691" t="str">
        <f t="shared" si="11"/>
        <v/>
      </c>
      <c r="AH17" s="1171" t="str">
        <f t="shared" si="12"/>
        <v/>
      </c>
      <c r="AI17" s="458" t="str">
        <f t="shared" si="13"/>
        <v/>
      </c>
      <c r="AJ17" s="458" t="str">
        <f t="shared" si="14"/>
        <v/>
      </c>
      <c r="AK17" s="458" t="str">
        <f t="shared" si="15"/>
        <v/>
      </c>
      <c r="AL17" s="458" t="str">
        <f t="shared" si="16"/>
        <v/>
      </c>
      <c r="AM17" s="501" t="str">
        <f t="shared" si="17"/>
        <v/>
      </c>
      <c r="AP17" s="499" t="str">
        <f>IFERROR(INDEX($C$6:$C$53,_xlfn.AGGREGATE(15,6,(ROW($Q$6:$Q$53)-ROW($Q$6)+1)/(($Q$6:$Q$53&gt;0)*(MOD($S$6:$S$53,20)=10)),12)),"")</f>
        <v/>
      </c>
      <c r="AQ17" s="500" t="str">
        <f>IF($AP17="","",IFERROR(INDEX($D$6:$D$53,_xlfn.AGGREGATE(15,6,(ROW($Q$6:$Q$53)-ROW($Q$6)+1)/(($Q$6:$Q$53&gt;0)*(MOD($S$6:$S$53,20)=10)),12)),""))</f>
        <v/>
      </c>
      <c r="AR17" s="458" t="str">
        <f>IF($AP17="","",IFERROR(INDEX($S$6:$S$53,_xlfn.AGGREGATE(15,6,(ROW($Q$6:$Q$53)-ROW($Q$6)+1)/(($Q$6:$Q$53&gt;0)*(MOD($S$6:$S$53,20)=10)),12)),""))</f>
        <v/>
      </c>
      <c r="AS17" s="501" t="str">
        <f t="shared" si="18"/>
        <v/>
      </c>
    </row>
    <row r="18" spans="1:45" ht="47.25" thickBot="1">
      <c r="A18" s="2257"/>
      <c r="C18" s="526">
        <f>+PP!B36</f>
        <v>13</v>
      </c>
      <c r="D18" s="2056" t="str">
        <f>+PP!C36</f>
        <v>CONOS DE POTA</v>
      </c>
      <c r="E18" s="2907"/>
      <c r="F18" s="2908"/>
      <c r="G18" s="2908"/>
      <c r="H18" s="2908"/>
      <c r="I18" s="2908"/>
      <c r="J18" s="2908"/>
      <c r="K18" s="2908"/>
      <c r="L18" s="2908"/>
      <c r="M18" s="2908"/>
      <c r="N18" s="2908"/>
      <c r="O18" s="2908"/>
      <c r="P18" s="2909"/>
      <c r="Q18" s="2910">
        <f t="shared" si="20"/>
        <v>0</v>
      </c>
      <c r="R18" s="957">
        <f t="shared" si="0"/>
        <v>0</v>
      </c>
      <c r="S18" s="2912">
        <f t="shared" si="19"/>
        <v>0</v>
      </c>
      <c r="T18" s="452"/>
      <c r="U18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</f>
        <v/>
      </c>
      <c r="V18" s="1784" t="str">
        <f>IF($U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)</f>
        <v/>
      </c>
      <c r="W18" s="1713" t="str">
        <f t="shared" si="1"/>
        <v/>
      </c>
      <c r="X18" s="1713" t="str">
        <f t="shared" si="2"/>
        <v/>
      </c>
      <c r="Y18" s="1781" t="str">
        <f t="shared" si="3"/>
        <v/>
      </c>
      <c r="Z18" s="1691" t="str">
        <f t="shared" si="4"/>
        <v/>
      </c>
      <c r="AA18" s="1691" t="str">
        <f t="shared" si="5"/>
        <v/>
      </c>
      <c r="AB18" s="1691" t="str">
        <f t="shared" si="6"/>
        <v/>
      </c>
      <c r="AC18" s="1691" t="str">
        <f t="shared" si="7"/>
        <v/>
      </c>
      <c r="AD18" s="1691" t="str">
        <f t="shared" si="8"/>
        <v/>
      </c>
      <c r="AE18" s="1691" t="str">
        <f t="shared" si="9"/>
        <v/>
      </c>
      <c r="AF18" s="1691" t="str">
        <f t="shared" si="10"/>
        <v/>
      </c>
      <c r="AG18" s="1691" t="str">
        <f t="shared" si="11"/>
        <v/>
      </c>
      <c r="AH18" s="1171" t="str">
        <f t="shared" si="12"/>
        <v/>
      </c>
      <c r="AI18" s="458" t="str">
        <f t="shared" si="13"/>
        <v/>
      </c>
      <c r="AJ18" s="458" t="str">
        <f t="shared" si="14"/>
        <v/>
      </c>
      <c r="AK18" s="458" t="str">
        <f t="shared" si="15"/>
        <v/>
      </c>
      <c r="AL18" s="458" t="str">
        <f t="shared" si="16"/>
        <v/>
      </c>
      <c r="AM18" s="501" t="str">
        <f t="shared" si="17"/>
        <v/>
      </c>
      <c r="AP18" s="499" t="str">
        <f>IFERROR(INDEX($C$6:$C$53,_xlfn.AGGREGATE(15,6,(ROW($Q$6:$Q$53)-ROW($Q$6)+1)/(($Q$6:$Q$53&gt;0)*(MOD($S$6:$S$53,20)=10)),13)),"")</f>
        <v/>
      </c>
      <c r="AQ18" s="500" t="str">
        <f>IF($AP18="","",IFERROR(INDEX($D$6:$D$53,_xlfn.AGGREGATE(15,6,(ROW($Q$6:$Q$53)-ROW($Q$6)+1)/(($Q$6:$Q$53&gt;0)*(MOD($S$6:$S$53,20)=10)),13)),""))</f>
        <v/>
      </c>
      <c r="AR18" s="458" t="str">
        <f>IF($AP18="","",IFERROR(INDEX($S$6:$S$53,_xlfn.AGGREGATE(15,6,(ROW($Q$6:$Q$53)-ROW($Q$6)+1)/(($Q$6:$Q$53&gt;0)*(MOD($S$6:$S$53,20)=10)),13)),""))</f>
        <v/>
      </c>
      <c r="AS18" s="501" t="str">
        <f t="shared" si="18"/>
        <v/>
      </c>
    </row>
    <row r="19" spans="1:45" ht="46.5">
      <c r="A19" s="2257"/>
      <c r="C19" s="157">
        <f>+PP!B37</f>
        <v>14</v>
      </c>
      <c r="D19" s="162" t="str">
        <f>+PP!C37</f>
        <v>FILETE C/TT DARUMA</v>
      </c>
      <c r="E19" s="2230"/>
      <c r="F19" s="2231"/>
      <c r="G19" s="2231"/>
      <c r="H19" s="2231"/>
      <c r="I19" s="2231"/>
      <c r="J19" s="2231"/>
      <c r="K19" s="2231"/>
      <c r="L19" s="2231"/>
      <c r="M19" s="2231"/>
      <c r="N19" s="2231"/>
      <c r="O19" s="2231"/>
      <c r="P19" s="2232"/>
      <c r="Q19" s="514">
        <f t="shared" si="20"/>
        <v>0</v>
      </c>
      <c r="R19" s="148">
        <f t="shared" si="0"/>
        <v>0</v>
      </c>
      <c r="S19" s="145">
        <f t="shared" si="19"/>
        <v>0</v>
      </c>
      <c r="T19" s="452"/>
      <c r="U19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</f>
        <v/>
      </c>
      <c r="V19" s="1784" t="str">
        <f>IF($U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)</f>
        <v/>
      </c>
      <c r="W19" s="1713" t="str">
        <f t="shared" si="1"/>
        <v/>
      </c>
      <c r="X19" s="1713" t="str">
        <f t="shared" si="2"/>
        <v/>
      </c>
      <c r="Y19" s="1781" t="str">
        <f t="shared" si="3"/>
        <v/>
      </c>
      <c r="Z19" s="1691" t="str">
        <f t="shared" si="4"/>
        <v/>
      </c>
      <c r="AA19" s="1691" t="str">
        <f t="shared" si="5"/>
        <v/>
      </c>
      <c r="AB19" s="1691" t="str">
        <f t="shared" si="6"/>
        <v/>
      </c>
      <c r="AC19" s="1691" t="str">
        <f t="shared" si="7"/>
        <v/>
      </c>
      <c r="AD19" s="1691" t="str">
        <f t="shared" si="8"/>
        <v/>
      </c>
      <c r="AE19" s="1691" t="str">
        <f t="shared" si="9"/>
        <v/>
      </c>
      <c r="AF19" s="1691" t="str">
        <f t="shared" si="10"/>
        <v/>
      </c>
      <c r="AG19" s="1691" t="str">
        <f t="shared" si="11"/>
        <v/>
      </c>
      <c r="AH19" s="1171" t="str">
        <f t="shared" si="12"/>
        <v/>
      </c>
      <c r="AI19" s="458" t="str">
        <f t="shared" si="13"/>
        <v/>
      </c>
      <c r="AJ19" s="458" t="str">
        <f t="shared" si="14"/>
        <v/>
      </c>
      <c r="AK19" s="458" t="str">
        <f t="shared" si="15"/>
        <v/>
      </c>
      <c r="AL19" s="458" t="str">
        <f t="shared" si="16"/>
        <v/>
      </c>
      <c r="AM19" s="501" t="str">
        <f t="shared" si="17"/>
        <v/>
      </c>
      <c r="AP19" s="499" t="str">
        <f>IFERROR(INDEX($C$6:$C$53,_xlfn.AGGREGATE(15,6,(ROW($Q$6:$Q$53)-ROW($Q$6)+1)/(($Q$6:$Q$53&gt;0)*(MOD($S$6:$S$53,20)=10)),14)),"")</f>
        <v/>
      </c>
      <c r="AQ19" s="500" t="str">
        <f>IF($AP19="","",IFERROR(INDEX($D$6:$D$53,_xlfn.AGGREGATE(15,6,(ROW($Q$6:$Q$53)-ROW($Q$6)+1)/(($Q$6:$Q$53&gt;0)*(MOD($S$6:$S$53,20)=10)),14)),""))</f>
        <v/>
      </c>
      <c r="AR19" s="458" t="str">
        <f>IF($AP19="","",IFERROR(INDEX($S$6:$S$53,_xlfn.AGGREGATE(15,6,(ROW($Q$6:$Q$53)-ROW($Q$6)+1)/(($Q$6:$Q$53&gt;0)*(MOD($S$6:$S$53,20)=10)),14)),""))</f>
        <v/>
      </c>
      <c r="AS19" s="501" t="str">
        <f t="shared" si="18"/>
        <v/>
      </c>
    </row>
    <row r="20" spans="1:45" ht="46.5">
      <c r="A20" s="2257"/>
      <c r="C20" s="159">
        <f>+PP!B38</f>
        <v>15</v>
      </c>
      <c r="D20" s="164" t="str">
        <f>+PP!C38</f>
        <v>FILETE C/M C/T TRES PIELES 1.0-2.0 kg/pza</v>
      </c>
      <c r="E20" s="2138"/>
      <c r="F20" s="2137"/>
      <c r="G20" s="2137"/>
      <c r="H20" s="2137"/>
      <c r="I20" s="2137"/>
      <c r="J20" s="2137"/>
      <c r="K20" s="2137"/>
      <c r="L20" s="2137"/>
      <c r="M20" s="2137"/>
      <c r="N20" s="2137"/>
      <c r="O20" s="2137"/>
      <c r="P20" s="2139"/>
      <c r="Q20" s="508">
        <f t="shared" si="20"/>
        <v>0</v>
      </c>
      <c r="R20" s="149">
        <f t="shared" si="0"/>
        <v>0</v>
      </c>
      <c r="S20" s="146">
        <f t="shared" si="19"/>
        <v>0</v>
      </c>
      <c r="T20" s="452"/>
      <c r="U20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</f>
        <v/>
      </c>
      <c r="V20" s="1784" t="str">
        <f>IF($U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)</f>
        <v/>
      </c>
      <c r="W20" s="1713" t="str">
        <f t="shared" si="1"/>
        <v/>
      </c>
      <c r="X20" s="1713" t="str">
        <f t="shared" si="2"/>
        <v/>
      </c>
      <c r="Y20" s="1781" t="str">
        <f t="shared" si="3"/>
        <v/>
      </c>
      <c r="Z20" s="1691" t="str">
        <f t="shared" si="4"/>
        <v/>
      </c>
      <c r="AA20" s="1691" t="str">
        <f t="shared" si="5"/>
        <v/>
      </c>
      <c r="AB20" s="1691" t="str">
        <f t="shared" si="6"/>
        <v/>
      </c>
      <c r="AC20" s="1691" t="str">
        <f t="shared" si="7"/>
        <v/>
      </c>
      <c r="AD20" s="1691" t="str">
        <f t="shared" si="8"/>
        <v/>
      </c>
      <c r="AE20" s="1691" t="str">
        <f t="shared" si="9"/>
        <v/>
      </c>
      <c r="AF20" s="1691" t="str">
        <f t="shared" si="10"/>
        <v/>
      </c>
      <c r="AG20" s="1691" t="str">
        <f t="shared" si="11"/>
        <v/>
      </c>
      <c r="AH20" s="1171" t="str">
        <f t="shared" si="12"/>
        <v/>
      </c>
      <c r="AI20" s="458" t="str">
        <f t="shared" si="13"/>
        <v/>
      </c>
      <c r="AJ20" s="458" t="str">
        <f t="shared" si="14"/>
        <v/>
      </c>
      <c r="AK20" s="458" t="str">
        <f t="shared" si="15"/>
        <v/>
      </c>
      <c r="AL20" s="458" t="str">
        <f t="shared" si="16"/>
        <v/>
      </c>
      <c r="AM20" s="501" t="str">
        <f t="shared" si="17"/>
        <v/>
      </c>
      <c r="AP20" s="499" t="str">
        <f>IFERROR(INDEX($C$6:$C$53,_xlfn.AGGREGATE(15,6,(ROW($Q$6:$Q$53)-ROW($Q$6)+1)/(($Q$6:$Q$53&gt;0)*(MOD($S$6:$S$53,20)=10)),15)),"")</f>
        <v/>
      </c>
      <c r="AQ20" s="500" t="str">
        <f>IF($AP20="","",IFERROR(INDEX($D$6:$D$53,_xlfn.AGGREGATE(15,6,(ROW($Q$6:$Q$53)-ROW($Q$6)+1)/(($Q$6:$Q$53&gt;0)*(MOD($S$6:$S$53,20)=10)),15)),""))</f>
        <v/>
      </c>
      <c r="AR20" s="458" t="str">
        <f>IF($AP20="","",IFERROR(INDEX($S$6:$S$53,_xlfn.AGGREGATE(15,6,(ROW($Q$6:$Q$53)-ROW($Q$6)+1)/(($Q$6:$Q$53&gt;0)*(MOD($S$6:$S$53,20)=10)),15)),""))</f>
        <v/>
      </c>
      <c r="AS20" s="501" t="str">
        <f t="shared" si="18"/>
        <v/>
      </c>
    </row>
    <row r="21" spans="1:45" ht="46.5">
      <c r="A21" s="2257"/>
      <c r="C21" s="159">
        <f>+PP!B39</f>
        <v>16</v>
      </c>
      <c r="D21" s="164" t="str">
        <f>+PP!C39</f>
        <v>FILETE C/M C/T TRES PIELES 2.0-4.0 kg/pza</v>
      </c>
      <c r="E21" s="2138"/>
      <c r="F21" s="2137"/>
      <c r="G21" s="2137"/>
      <c r="H21" s="2137"/>
      <c r="I21" s="2137"/>
      <c r="J21" s="2137"/>
      <c r="K21" s="2137"/>
      <c r="L21" s="2137"/>
      <c r="M21" s="2137"/>
      <c r="N21" s="2137"/>
      <c r="O21" s="2137"/>
      <c r="P21" s="2139"/>
      <c r="Q21" s="508">
        <f t="shared" si="20"/>
        <v>0</v>
      </c>
      <c r="R21" s="149">
        <f t="shared" si="0"/>
        <v>0</v>
      </c>
      <c r="S21" s="146">
        <f t="shared" si="19"/>
        <v>0</v>
      </c>
      <c r="T21" s="452"/>
      <c r="U21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</f>
        <v/>
      </c>
      <c r="V21" s="1784" t="str">
        <f>IF($U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)</f>
        <v/>
      </c>
      <c r="W21" s="1713" t="str">
        <f t="shared" si="1"/>
        <v/>
      </c>
      <c r="X21" s="1713" t="str">
        <f t="shared" si="2"/>
        <v/>
      </c>
      <c r="Y21" s="1781" t="str">
        <f t="shared" si="3"/>
        <v/>
      </c>
      <c r="Z21" s="1691" t="str">
        <f t="shared" si="4"/>
        <v/>
      </c>
      <c r="AA21" s="1691" t="str">
        <f t="shared" si="5"/>
        <v/>
      </c>
      <c r="AB21" s="1691" t="str">
        <f t="shared" si="6"/>
        <v/>
      </c>
      <c r="AC21" s="1691" t="str">
        <f t="shared" si="7"/>
        <v/>
      </c>
      <c r="AD21" s="1691" t="str">
        <f t="shared" si="8"/>
        <v/>
      </c>
      <c r="AE21" s="1691" t="str">
        <f t="shared" si="9"/>
        <v/>
      </c>
      <c r="AF21" s="1691" t="str">
        <f t="shared" si="10"/>
        <v/>
      </c>
      <c r="AG21" s="1691" t="str">
        <f t="shared" si="11"/>
        <v/>
      </c>
      <c r="AH21" s="1171" t="str">
        <f t="shared" si="12"/>
        <v/>
      </c>
      <c r="AI21" s="458" t="str">
        <f t="shared" si="13"/>
        <v/>
      </c>
      <c r="AJ21" s="458" t="str">
        <f t="shared" si="14"/>
        <v/>
      </c>
      <c r="AK21" s="458" t="str">
        <f t="shared" si="15"/>
        <v/>
      </c>
      <c r="AL21" s="458" t="str">
        <f t="shared" si="16"/>
        <v/>
      </c>
      <c r="AM21" s="501" t="str">
        <f t="shared" si="17"/>
        <v/>
      </c>
      <c r="AP21" s="499" t="str">
        <f>IFERROR(INDEX($C$6:$C$53,_xlfn.AGGREGATE(15,6,(ROW($Q$6:$Q$53)-ROW($Q$6)+1)/(($Q$6:$Q$53&gt;0)*(MOD($S$6:$S$53,20)=10)),16)),"")</f>
        <v/>
      </c>
      <c r="AQ21" s="500" t="str">
        <f>IF($AP21="","",IFERROR(INDEX($D$6:$D$53,_xlfn.AGGREGATE(15,6,(ROW($Q$6:$Q$53)-ROW($Q$6)+1)/(($Q$6:$Q$53&gt;0)*(MOD($S$6:$S$53,20)=10)),16)),""))</f>
        <v/>
      </c>
      <c r="AR21" s="458" t="str">
        <f>IF($AP21="","",IFERROR(INDEX($S$6:$S$53,_xlfn.AGGREGATE(15,6,(ROW($Q$6:$Q$53)-ROW($Q$6)+1)/(($Q$6:$Q$53&gt;0)*(MOD($S$6:$S$53,20)=10)),16)),""))</f>
        <v/>
      </c>
      <c r="AS21" s="501" t="str">
        <f t="shared" si="18"/>
        <v/>
      </c>
    </row>
    <row r="22" spans="1:45" ht="45.75" customHeight="1">
      <c r="A22" s="2257"/>
      <c r="C22" s="159">
        <f>+PP!B40</f>
        <v>17</v>
      </c>
      <c r="D22" s="164" t="str">
        <f>+PP!C40</f>
        <v>FILETE C/M C/T ENTERO BLANCO 1.0-2.0 kg/pza</v>
      </c>
      <c r="E22" s="2138"/>
      <c r="F22" s="2137"/>
      <c r="G22" s="2137"/>
      <c r="H22" s="2137"/>
      <c r="I22" s="2137"/>
      <c r="J22" s="2137"/>
      <c r="K22" s="2137"/>
      <c r="L22" s="2137"/>
      <c r="M22" s="2137"/>
      <c r="N22" s="2137"/>
      <c r="O22" s="2137"/>
      <c r="P22" s="2139"/>
      <c r="Q22" s="508">
        <f t="shared" si="20"/>
        <v>0</v>
      </c>
      <c r="R22" s="149">
        <f t="shared" si="0"/>
        <v>0</v>
      </c>
      <c r="S22" s="146">
        <f t="shared" si="19"/>
        <v>0</v>
      </c>
      <c r="T22" s="452"/>
      <c r="U22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</f>
        <v/>
      </c>
      <c r="V22" s="1784" t="str">
        <f>IF($U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)</f>
        <v/>
      </c>
      <c r="W22" s="1713" t="str">
        <f t="shared" si="1"/>
        <v/>
      </c>
      <c r="X22" s="1713" t="str">
        <f t="shared" si="2"/>
        <v/>
      </c>
      <c r="Y22" s="1781" t="str">
        <f t="shared" si="3"/>
        <v/>
      </c>
      <c r="Z22" s="1171" t="str">
        <f t="shared" si="4"/>
        <v/>
      </c>
      <c r="AA22" s="1171" t="str">
        <f t="shared" si="5"/>
        <v/>
      </c>
      <c r="AB22" s="1691" t="str">
        <f t="shared" si="6"/>
        <v/>
      </c>
      <c r="AC22" s="1171" t="str">
        <f t="shared" si="7"/>
        <v/>
      </c>
      <c r="AD22" s="1171" t="str">
        <f t="shared" si="8"/>
        <v/>
      </c>
      <c r="AE22" s="1171" t="str">
        <f t="shared" si="9"/>
        <v/>
      </c>
      <c r="AF22" s="1171" t="str">
        <f t="shared" si="10"/>
        <v/>
      </c>
      <c r="AG22" s="1171" t="str">
        <f t="shared" si="11"/>
        <v/>
      </c>
      <c r="AH22" s="1171" t="str">
        <f t="shared" si="12"/>
        <v/>
      </c>
      <c r="AI22" s="458" t="str">
        <f t="shared" si="13"/>
        <v/>
      </c>
      <c r="AJ22" s="458" t="str">
        <f t="shared" si="14"/>
        <v/>
      </c>
      <c r="AK22" s="458" t="str">
        <f t="shared" si="15"/>
        <v/>
      </c>
      <c r="AL22" s="458" t="str">
        <f t="shared" si="16"/>
        <v/>
      </c>
      <c r="AM22" s="501" t="str">
        <f t="shared" si="17"/>
        <v/>
      </c>
      <c r="AP22" s="499" t="str">
        <f>IFERROR(INDEX($C$6:$C$53,_xlfn.AGGREGATE(15,6,(ROW($Q$6:$Q$53)-ROW($Q$6)+1)/(($Q$6:$Q$53&gt;0)*(MOD($S$6:$S$53,20)=10)),17)),"")</f>
        <v/>
      </c>
      <c r="AQ22" s="500" t="str">
        <f>IF($AP22="","",IFERROR(INDEX($D$6:$D$53,_xlfn.AGGREGATE(15,6,(ROW($Q$6:$Q$53)-ROW($Q$6)+1)/(($Q$6:$Q$53&gt;0)*(MOD($S$6:$S$53,20)=10)),17)),""))</f>
        <v/>
      </c>
      <c r="AR22" s="458" t="str">
        <f>IF($AP22="","",IFERROR(INDEX($S$6:$S$53,_xlfn.AGGREGATE(15,6,(ROW($Q$6:$Q$53)-ROW($Q$6)+1)/(($Q$6:$Q$53&gt;0)*(MOD($S$6:$S$53,20)=10)),17)),""))</f>
        <v/>
      </c>
      <c r="AS22" s="501" t="str">
        <f t="shared" si="18"/>
        <v/>
      </c>
    </row>
    <row r="23" spans="1:45" ht="45.75" customHeight="1">
      <c r="A23" s="2257"/>
      <c r="C23" s="159">
        <f>+PP!B41</f>
        <v>18</v>
      </c>
      <c r="D23" s="164" t="str">
        <f>+PP!C41</f>
        <v>FILETE C/M C/T ENTERO BLANCO 2.0-4.0 kg/pza</v>
      </c>
      <c r="E23" s="2138"/>
      <c r="F23" s="2137"/>
      <c r="G23" s="2137"/>
      <c r="H23" s="2137"/>
      <c r="I23" s="2137"/>
      <c r="J23" s="2137"/>
      <c r="K23" s="2137"/>
      <c r="L23" s="2137"/>
      <c r="M23" s="2137"/>
      <c r="N23" s="2137"/>
      <c r="O23" s="2137"/>
      <c r="P23" s="2139"/>
      <c r="Q23" s="508">
        <f t="shared" si="20"/>
        <v>0</v>
      </c>
      <c r="R23" s="149">
        <f t="shared" si="0"/>
        <v>0</v>
      </c>
      <c r="S23" s="146">
        <f t="shared" si="19"/>
        <v>0</v>
      </c>
      <c r="T23" s="452"/>
      <c r="U23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</f>
        <v/>
      </c>
      <c r="V23" s="1784" t="str">
        <f>IF($U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)</f>
        <v/>
      </c>
      <c r="W23" s="1713" t="str">
        <f t="shared" si="1"/>
        <v/>
      </c>
      <c r="X23" s="1713" t="str">
        <f t="shared" si="2"/>
        <v/>
      </c>
      <c r="Y23" s="1781" t="str">
        <f t="shared" si="3"/>
        <v/>
      </c>
      <c r="Z23" s="1171" t="str">
        <f t="shared" si="4"/>
        <v/>
      </c>
      <c r="AA23" s="1171" t="str">
        <f t="shared" si="5"/>
        <v/>
      </c>
      <c r="AB23" s="1691" t="str">
        <f t="shared" si="6"/>
        <v/>
      </c>
      <c r="AC23" s="1171" t="str">
        <f t="shared" si="7"/>
        <v/>
      </c>
      <c r="AD23" s="1171" t="str">
        <f t="shared" si="8"/>
        <v/>
      </c>
      <c r="AE23" s="1171" t="str">
        <f t="shared" si="9"/>
        <v/>
      </c>
      <c r="AF23" s="1171" t="str">
        <f t="shared" si="10"/>
        <v/>
      </c>
      <c r="AG23" s="1171" t="str">
        <f t="shared" si="11"/>
        <v/>
      </c>
      <c r="AH23" s="1171" t="str">
        <f t="shared" si="12"/>
        <v/>
      </c>
      <c r="AI23" s="1171" t="str">
        <f t="shared" si="13"/>
        <v/>
      </c>
      <c r="AJ23" s="1171" t="str">
        <f t="shared" si="14"/>
        <v/>
      </c>
      <c r="AK23" s="1171" t="str">
        <f t="shared" si="15"/>
        <v/>
      </c>
      <c r="AL23" s="1171" t="str">
        <f t="shared" si="16"/>
        <v/>
      </c>
      <c r="AM23" s="1362" t="str">
        <f t="shared" si="17"/>
        <v/>
      </c>
      <c r="AP23" s="499" t="str">
        <f>IFERROR(INDEX($C$6:$C$53,_xlfn.AGGREGATE(15,6,(ROW($Q$6:$Q$53)-ROW($Q$6)+1)/(($Q$6:$Q$53&gt;0)*(MOD($S$6:$S$53,20)=10)),18)),"")</f>
        <v/>
      </c>
      <c r="AQ23" s="500" t="str">
        <f>IF($AP23="","",IFERROR(INDEX($D$6:$D$53,_xlfn.AGGREGATE(15,6,(ROW($Q$6:$Q$53)-ROW($Q$6)+1)/(($Q$6:$Q$53&gt;0)*(MOD($S$6:$S$53,20)=10)),18)),""))</f>
        <v/>
      </c>
      <c r="AR23" s="458" t="str">
        <f>IF($AP23="","",IFERROR(INDEX($S$6:$S$53,_xlfn.AGGREGATE(15,6,(ROW($Q$6:$Q$53)-ROW($Q$6)+1)/(($Q$6:$Q$53&gt;0)*(MOD($S$6:$S$53,20)=10)),18)),""))</f>
        <v/>
      </c>
      <c r="AS23" s="501" t="str">
        <f t="shared" si="18"/>
        <v/>
      </c>
    </row>
    <row r="24" spans="1:45" ht="47.25" thickBot="1">
      <c r="A24" s="2257"/>
      <c r="C24" s="158">
        <f>+PP!B42</f>
        <v>19</v>
      </c>
      <c r="D24" s="163" t="str">
        <f>+PP!C42</f>
        <v>FILETE LP C/M C/T ENTERO 2.0-4.0 kg/pza</v>
      </c>
      <c r="E24" s="2233"/>
      <c r="F24" s="2234"/>
      <c r="G24" s="2234"/>
      <c r="H24" s="2234"/>
      <c r="I24" s="2234"/>
      <c r="J24" s="2234"/>
      <c r="K24" s="2234"/>
      <c r="L24" s="2234"/>
      <c r="M24" s="2234"/>
      <c r="N24" s="2234"/>
      <c r="O24" s="2234"/>
      <c r="P24" s="2235"/>
      <c r="Q24" s="524">
        <f t="shared" si="20"/>
        <v>0</v>
      </c>
      <c r="R24" s="150">
        <f t="shared" si="0"/>
        <v>0</v>
      </c>
      <c r="S24" s="147">
        <f t="shared" si="19"/>
        <v>0</v>
      </c>
      <c r="T24" s="452"/>
      <c r="U24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</f>
        <v/>
      </c>
      <c r="V24" s="1784" t="str">
        <f>IF($U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)</f>
        <v/>
      </c>
      <c r="W24" s="1713" t="str">
        <f t="shared" si="1"/>
        <v/>
      </c>
      <c r="X24" s="1713" t="str">
        <f t="shared" si="2"/>
        <v/>
      </c>
      <c r="Y24" s="1781" t="str">
        <f t="shared" si="3"/>
        <v/>
      </c>
      <c r="Z24" s="1171" t="str">
        <f t="shared" si="4"/>
        <v/>
      </c>
      <c r="AA24" s="1171" t="str">
        <f t="shared" si="5"/>
        <v/>
      </c>
      <c r="AB24" s="1691" t="str">
        <f t="shared" si="6"/>
        <v/>
      </c>
      <c r="AC24" s="1171" t="str">
        <f t="shared" si="7"/>
        <v/>
      </c>
      <c r="AD24" s="1171" t="str">
        <f t="shared" si="8"/>
        <v/>
      </c>
      <c r="AE24" s="1171" t="str">
        <f t="shared" si="9"/>
        <v/>
      </c>
      <c r="AF24" s="1171" t="str">
        <f t="shared" si="10"/>
        <v/>
      </c>
      <c r="AG24" s="1171" t="str">
        <f t="shared" si="11"/>
        <v/>
      </c>
      <c r="AH24" s="1171" t="str">
        <f t="shared" si="12"/>
        <v/>
      </c>
      <c r="AI24" s="1171" t="str">
        <f t="shared" si="13"/>
        <v/>
      </c>
      <c r="AJ24" s="1171" t="str">
        <f t="shared" si="14"/>
        <v/>
      </c>
      <c r="AK24" s="1171" t="str">
        <f t="shared" si="15"/>
        <v/>
      </c>
      <c r="AL24" s="1171" t="str">
        <f t="shared" si="16"/>
        <v/>
      </c>
      <c r="AM24" s="1362" t="str">
        <f t="shared" si="17"/>
        <v/>
      </c>
      <c r="AP24" s="499" t="str">
        <f>IFERROR(INDEX($C$6:$C$53,_xlfn.AGGREGATE(15,6,(ROW($Q$6:$Q$53)-ROW($Q$6)+1)/(($Q$6:$Q$53&gt;0)*(MOD($S$6:$S$53,20)=10)),19)),"")</f>
        <v/>
      </c>
      <c r="AQ24" s="500" t="str">
        <f>IF($AP24="","",IFERROR(INDEX($D$6:$D$53,_xlfn.AGGREGATE(15,6,(ROW($Q$6:$Q$53)-ROW($Q$6)+1)/(($Q$6:$Q$53&gt;0)*(MOD($S$6:$S$53,20)=10)),19)),""))</f>
        <v/>
      </c>
      <c r="AR24" s="458" t="str">
        <f>IF($AP24="","",IFERROR(INDEX($S$6:$S$53,_xlfn.AGGREGATE(15,6,(ROW($Q$6:$Q$53)-ROW($Q$6)+1)/(($Q$6:$Q$53&gt;0)*(MOD($S$6:$S$53,20)=10)),19)),""))</f>
        <v/>
      </c>
      <c r="AS24" s="501" t="str">
        <f t="shared" si="18"/>
        <v/>
      </c>
    </row>
    <row r="25" spans="1:45" ht="46.5">
      <c r="A25" s="2257"/>
      <c r="C25" s="160">
        <f>+PP!B43</f>
        <v>20</v>
      </c>
      <c r="D25" s="162" t="str">
        <f>+PP!C43</f>
        <v>MANTO BLANCO C/M C/T 500-1000 g/pza</v>
      </c>
      <c r="E25" s="2230"/>
      <c r="F25" s="2231"/>
      <c r="G25" s="2231"/>
      <c r="H25" s="2231"/>
      <c r="I25" s="2231"/>
      <c r="J25" s="2231"/>
      <c r="K25" s="2231"/>
      <c r="L25" s="2231"/>
      <c r="M25" s="2231"/>
      <c r="N25" s="2231"/>
      <c r="O25" s="2231"/>
      <c r="P25" s="2232"/>
      <c r="Q25" s="514">
        <f t="shared" si="20"/>
        <v>0</v>
      </c>
      <c r="R25" s="148">
        <f t="shared" si="0"/>
        <v>0</v>
      </c>
      <c r="S25" s="145">
        <f t="shared" si="19"/>
        <v>0</v>
      </c>
      <c r="T25" s="452"/>
      <c r="U25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</f>
        <v/>
      </c>
      <c r="V25" s="1784" t="str">
        <f>IF($U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)</f>
        <v/>
      </c>
      <c r="W25" s="1713" t="str">
        <f t="shared" si="1"/>
        <v/>
      </c>
      <c r="X25" s="1713" t="str">
        <f t="shared" si="2"/>
        <v/>
      </c>
      <c r="Y25" s="1781" t="str">
        <f t="shared" si="3"/>
        <v/>
      </c>
      <c r="Z25" s="1171" t="str">
        <f t="shared" si="4"/>
        <v/>
      </c>
      <c r="AA25" s="1171" t="str">
        <f t="shared" si="5"/>
        <v/>
      </c>
      <c r="AB25" s="1691" t="str">
        <f t="shared" si="6"/>
        <v/>
      </c>
      <c r="AC25" s="1171" t="str">
        <f t="shared" si="7"/>
        <v/>
      </c>
      <c r="AD25" s="1171" t="str">
        <f t="shared" si="8"/>
        <v/>
      </c>
      <c r="AE25" s="1171" t="str">
        <f t="shared" si="9"/>
        <v/>
      </c>
      <c r="AF25" s="1171" t="str">
        <f t="shared" si="10"/>
        <v/>
      </c>
      <c r="AG25" s="1171" t="str">
        <f t="shared" si="11"/>
        <v/>
      </c>
      <c r="AH25" s="1171" t="str">
        <f t="shared" si="12"/>
        <v/>
      </c>
      <c r="AI25" s="1171" t="str">
        <f t="shared" si="13"/>
        <v/>
      </c>
      <c r="AJ25" s="1171" t="str">
        <f t="shared" si="14"/>
        <v/>
      </c>
      <c r="AK25" s="1171" t="str">
        <f t="shared" si="15"/>
        <v/>
      </c>
      <c r="AL25" s="1171" t="str">
        <f t="shared" si="16"/>
        <v/>
      </c>
      <c r="AM25" s="1362" t="str">
        <f t="shared" si="17"/>
        <v/>
      </c>
      <c r="AP25" s="499" t="str">
        <f>IFERROR(INDEX($C$6:$C$53,_xlfn.AGGREGATE(15,6,(ROW($Q$6:$Q$53)-ROW($Q$6)+1)/(($Q$6:$Q$53&gt;0)*(MOD($S$6:$S$53,20)=10)),20)),"")</f>
        <v/>
      </c>
      <c r="AQ25" s="500" t="str">
        <f>IF($AP25="","",IFERROR(INDEX($D$6:$D$53,_xlfn.AGGREGATE(15,6,(ROW($Q$6:$Q$53)-ROW($Q$6)+1)/(($Q$6:$Q$53&gt;0)*(MOD($S$6:$S$53,20)=10)),20)),""))</f>
        <v/>
      </c>
      <c r="AR25" s="458" t="str">
        <f>IF($AP25="","",IFERROR(INDEX($S$6:$S$53,_xlfn.AGGREGATE(15,6,(ROW($Q$6:$Q$53)-ROW($Q$6)+1)/(($Q$6:$Q$53&gt;0)*(MOD($S$6:$S$53,20)=10)),20)),""))</f>
        <v/>
      </c>
      <c r="AS25" s="501" t="str">
        <f t="shared" si="18"/>
        <v/>
      </c>
    </row>
    <row r="26" spans="1:45" ht="46.5">
      <c r="A26" s="2257"/>
      <c r="C26" s="159">
        <f>+PP!B44</f>
        <v>21</v>
      </c>
      <c r="D26" s="164" t="str">
        <f>+PP!C44</f>
        <v>MANTO BLANCO C/M C/T 1.0-2.0 kg/pza</v>
      </c>
      <c r="E26" s="2138"/>
      <c r="F26" s="2137"/>
      <c r="G26" s="2137"/>
      <c r="H26" s="2137"/>
      <c r="I26" s="2137"/>
      <c r="J26" s="2137"/>
      <c r="K26" s="2137"/>
      <c r="L26" s="2137"/>
      <c r="M26" s="2137"/>
      <c r="N26" s="2137"/>
      <c r="O26" s="2137"/>
      <c r="P26" s="2139"/>
      <c r="Q26" s="508">
        <f t="shared" si="20"/>
        <v>0</v>
      </c>
      <c r="R26" s="149">
        <f t="shared" si="0"/>
        <v>0</v>
      </c>
      <c r="S26" s="146">
        <f t="shared" si="19"/>
        <v>0</v>
      </c>
      <c r="T26" s="452"/>
      <c r="U2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</f>
        <v/>
      </c>
      <c r="V26" s="1784" t="str">
        <f>IF($U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)</f>
        <v/>
      </c>
      <c r="W26" s="1713" t="str">
        <f t="shared" si="1"/>
        <v/>
      </c>
      <c r="X26" s="1713" t="str">
        <f t="shared" si="2"/>
        <v/>
      </c>
      <c r="Y26" s="1781" t="str">
        <f t="shared" si="3"/>
        <v/>
      </c>
      <c r="Z26" s="1171" t="str">
        <f t="shared" si="4"/>
        <v/>
      </c>
      <c r="AA26" s="1171" t="str">
        <f t="shared" si="5"/>
        <v/>
      </c>
      <c r="AB26" s="1691" t="str">
        <f t="shared" si="6"/>
        <v/>
      </c>
      <c r="AC26" s="1171" t="str">
        <f t="shared" si="7"/>
        <v/>
      </c>
      <c r="AD26" s="1171" t="str">
        <f t="shared" si="8"/>
        <v/>
      </c>
      <c r="AE26" s="1171" t="str">
        <f t="shared" si="9"/>
        <v/>
      </c>
      <c r="AF26" s="1171" t="str">
        <f t="shared" si="10"/>
        <v/>
      </c>
      <c r="AG26" s="1171" t="str">
        <f t="shared" si="11"/>
        <v/>
      </c>
      <c r="AH26" s="1171" t="str">
        <f t="shared" si="12"/>
        <v/>
      </c>
      <c r="AI26" s="1171" t="str">
        <f t="shared" si="13"/>
        <v/>
      </c>
      <c r="AJ26" s="1171" t="str">
        <f t="shared" si="14"/>
        <v/>
      </c>
      <c r="AK26" s="1171" t="str">
        <f t="shared" si="15"/>
        <v/>
      </c>
      <c r="AL26" s="1171" t="str">
        <f t="shared" si="16"/>
        <v/>
      </c>
      <c r="AM26" s="1362" t="str">
        <f t="shared" si="17"/>
        <v/>
      </c>
      <c r="AP26" s="499" t="str">
        <f>IFERROR(INDEX($C$6:$C$53,_xlfn.AGGREGATE(15,6,(ROW($Q$6:$Q$53)-ROW($Q$6)+1)/(($Q$6:$Q$53&gt;0)*(MOD($S$6:$S$53,20)=10)),21)),"")</f>
        <v/>
      </c>
      <c r="AQ26" s="500" t="str">
        <f>IF($AP26="","",IFERROR(INDEX($D$6:$D$53,_xlfn.AGGREGATE(15,6,(ROW($Q$6:$Q$53)-ROW($Q$6)+1)/(($Q$6:$Q$53&gt;0)*(MOD($S$6:$S$53,20)=10)),21)),""))</f>
        <v/>
      </c>
      <c r="AR26" s="458" t="str">
        <f>IF($AP26="","",IFERROR(INDEX($S$6:$S$53,_xlfn.AGGREGATE(15,6,(ROW($Q$6:$Q$53)-ROW($Q$6)+1)/(($Q$6:$Q$53&gt;0)*(MOD($S$6:$S$53,20)=10)),21)),""))</f>
        <v/>
      </c>
      <c r="AS26" s="501" t="str">
        <f t="shared" si="18"/>
        <v/>
      </c>
    </row>
    <row r="27" spans="1:45" ht="47.25" thickBot="1">
      <c r="A27" s="2257"/>
      <c r="C27" s="159">
        <f>+PP!B45</f>
        <v>22</v>
      </c>
      <c r="D27" s="164" t="str">
        <f>+PP!C45</f>
        <v>MANTO BLANCO C/M C/T 2.0-4.0 kg/pza</v>
      </c>
      <c r="E27" s="2138"/>
      <c r="F27" s="2137"/>
      <c r="G27" s="2137"/>
      <c r="H27" s="2137"/>
      <c r="I27" s="2137"/>
      <c r="J27" s="2137"/>
      <c r="K27" s="2137"/>
      <c r="L27" s="2137"/>
      <c r="M27" s="2137"/>
      <c r="N27" s="2137"/>
      <c r="O27" s="2137"/>
      <c r="P27" s="2139"/>
      <c r="Q27" s="508">
        <f t="shared" si="20"/>
        <v>0</v>
      </c>
      <c r="R27" s="149">
        <f t="shared" si="0"/>
        <v>0</v>
      </c>
      <c r="S27" s="146">
        <f t="shared" si="19"/>
        <v>0</v>
      </c>
      <c r="T27" s="452"/>
      <c r="U2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</f>
        <v/>
      </c>
      <c r="V27" s="1784" t="str">
        <f>IF($U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)</f>
        <v/>
      </c>
      <c r="W27" s="1713" t="str">
        <f t="shared" si="1"/>
        <v/>
      </c>
      <c r="X27" s="1713" t="str">
        <f t="shared" si="2"/>
        <v/>
      </c>
      <c r="Y27" s="1782" t="str">
        <f t="shared" si="3"/>
        <v/>
      </c>
      <c r="Z27" s="1692" t="str">
        <f t="shared" si="4"/>
        <v/>
      </c>
      <c r="AA27" s="1692" t="str">
        <f t="shared" si="5"/>
        <v/>
      </c>
      <c r="AB27" s="1701" t="str">
        <f t="shared" si="6"/>
        <v/>
      </c>
      <c r="AC27" s="1692" t="str">
        <f t="shared" si="7"/>
        <v/>
      </c>
      <c r="AD27" s="1692" t="str">
        <f t="shared" si="8"/>
        <v/>
      </c>
      <c r="AE27" s="1692" t="str">
        <f t="shared" si="9"/>
        <v/>
      </c>
      <c r="AF27" s="1692" t="str">
        <f t="shared" si="10"/>
        <v/>
      </c>
      <c r="AG27" s="1692" t="str">
        <f t="shared" si="11"/>
        <v/>
      </c>
      <c r="AH27" s="1692" t="str">
        <f t="shared" si="12"/>
        <v/>
      </c>
      <c r="AI27" s="1692" t="str">
        <f t="shared" si="13"/>
        <v/>
      </c>
      <c r="AJ27" s="1692" t="str">
        <f t="shared" si="14"/>
        <v/>
      </c>
      <c r="AK27" s="1692" t="str">
        <f t="shared" si="15"/>
        <v/>
      </c>
      <c r="AL27" s="1692" t="str">
        <f t="shared" si="16"/>
        <v/>
      </c>
      <c r="AM27" s="1693" t="str">
        <f t="shared" si="17"/>
        <v/>
      </c>
      <c r="AP27" s="515" t="str">
        <f>IFERROR(INDEX($C$6:$C$53,_xlfn.AGGREGATE(15,6,(ROW($Q$6:$Q$53)-ROW($Q$6)+1)/(($Q$6:$Q$53&gt;0)*(MOD($S$6:$S$53,20)=10)),22)),"")</f>
        <v/>
      </c>
      <c r="AQ27" s="516" t="str">
        <f>IF($AP27="","",IFERROR(INDEX($D$6:$D$53,_xlfn.AGGREGATE(15,6,(ROW($Q$6:$Q$53)-ROW($Q$6)+1)/(($Q$6:$Q$53&gt;0)*(MOD($S$6:$S$53,20)=10)),22)),""))</f>
        <v/>
      </c>
      <c r="AR27" s="517" t="str">
        <f>IF($AP27="","",IFERROR(INDEX($S$6:$S$53,_xlfn.AGGREGATE(15,6,(ROW($Q$6:$Q$53)-ROW($Q$6)+1)/(($Q$6:$Q$53&gt;0)*(MOD($S$6:$S$53,20)=10)),22)),""))</f>
        <v/>
      </c>
      <c r="AS27" s="518" t="str">
        <f t="shared" si="18"/>
        <v/>
      </c>
    </row>
    <row r="28" spans="1:45" ht="47.25" thickBot="1">
      <c r="A28" s="2257"/>
      <c r="C28" s="159">
        <f>+PP!B46</f>
        <v>23</v>
      </c>
      <c r="D28" s="164" t="str">
        <f>+PP!C46</f>
        <v>MANTO LP C/M C/T 500-1000 g/pza</v>
      </c>
      <c r="E28" s="2138"/>
      <c r="F28" s="2137"/>
      <c r="G28" s="2137"/>
      <c r="H28" s="2137"/>
      <c r="I28" s="2137"/>
      <c r="J28" s="2137"/>
      <c r="K28" s="2137"/>
      <c r="L28" s="2137"/>
      <c r="M28" s="2137"/>
      <c r="N28" s="2137"/>
      <c r="O28" s="2137"/>
      <c r="P28" s="2139"/>
      <c r="Q28" s="508">
        <f t="shared" si="20"/>
        <v>0</v>
      </c>
      <c r="R28" s="149">
        <f t="shared" si="0"/>
        <v>0</v>
      </c>
      <c r="S28" s="146">
        <f t="shared" si="19"/>
        <v>0</v>
      </c>
      <c r="T28" s="452"/>
      <c r="U28" s="1727" t="s">
        <v>3</v>
      </c>
      <c r="V28" s="1785"/>
      <c r="W28" s="1786" t="str">
        <f t="shared" si="1"/>
        <v/>
      </c>
      <c r="X28" s="1786" t="str">
        <f t="shared" si="2"/>
        <v/>
      </c>
      <c r="Y28" s="1783" t="str">
        <f t="shared" si="3"/>
        <v/>
      </c>
      <c r="Z28" s="523" t="str">
        <f t="shared" si="4"/>
        <v/>
      </c>
      <c r="AA28" s="523" t="str">
        <f t="shared" si="5"/>
        <v/>
      </c>
      <c r="AB28" s="1702" t="str">
        <f t="shared" si="6"/>
        <v/>
      </c>
      <c r="AC28" s="523" t="str">
        <f t="shared" si="7"/>
        <v/>
      </c>
      <c r="AD28" s="523" t="str">
        <f t="shared" si="8"/>
        <v/>
      </c>
      <c r="AE28" s="523" t="str">
        <f t="shared" si="9"/>
        <v/>
      </c>
      <c r="AF28" s="523" t="str">
        <f t="shared" si="10"/>
        <v/>
      </c>
      <c r="AG28" s="523" t="str">
        <f t="shared" si="11"/>
        <v/>
      </c>
      <c r="AH28" s="523" t="str">
        <f t="shared" si="12"/>
        <v/>
      </c>
      <c r="AI28" s="523">
        <f t="shared" ref="AI28:AK28" si="21">SUM(AI6:AI27)</f>
        <v>0</v>
      </c>
      <c r="AJ28" s="523">
        <f t="shared" si="21"/>
        <v>0</v>
      </c>
      <c r="AK28" s="523">
        <f t="shared" si="21"/>
        <v>0</v>
      </c>
      <c r="AL28" s="523" t="str">
        <f>IF(COUNTIF(AL6:AL27,"REVISIÓN*")&gt;0,"REVISAR","OK")</f>
        <v>OK</v>
      </c>
      <c r="AM28" s="482" t="str">
        <f>IF(COUNTIF(AM6:AM27,"SÍ")&gt;0,"HAY","NO")</f>
        <v>NO</v>
      </c>
      <c r="AP28" s="2517" t="s">
        <v>514</v>
      </c>
      <c r="AQ28" s="2518"/>
      <c r="AR28" s="2519">
        <f>COUNT($AP$6:$AP$27)</f>
        <v>0</v>
      </c>
      <c r="AS28" s="2520"/>
    </row>
    <row r="29" spans="1:45" ht="46.5">
      <c r="A29" s="2257"/>
      <c r="C29" s="159">
        <f>+PP!B47</f>
        <v>24</v>
      </c>
      <c r="D29" s="164" t="str">
        <f>+PP!C47</f>
        <v>MANTO LP C/M C/T 1.0-2.0 Kg/pza</v>
      </c>
      <c r="E29" s="2138"/>
      <c r="F29" s="2137"/>
      <c r="G29" s="2137"/>
      <c r="H29" s="2137"/>
      <c r="I29" s="2137"/>
      <c r="J29" s="2137"/>
      <c r="K29" s="2137"/>
      <c r="L29" s="2137"/>
      <c r="M29" s="2137"/>
      <c r="N29" s="2137"/>
      <c r="O29" s="2137"/>
      <c r="P29" s="2139"/>
      <c r="Q29" s="508">
        <f t="shared" si="20"/>
        <v>0</v>
      </c>
      <c r="R29" s="149">
        <f t="shared" si="0"/>
        <v>0</v>
      </c>
      <c r="S29" s="146">
        <f t="shared" si="19"/>
        <v>0</v>
      </c>
      <c r="T29" s="452"/>
      <c r="U29" s="1724"/>
      <c r="V29" s="1724"/>
      <c r="W29" s="1724" t="str">
        <f t="shared" si="1"/>
        <v/>
      </c>
      <c r="X29" s="1724" t="str">
        <f t="shared" si="2"/>
        <v/>
      </c>
      <c r="Y29" t="str">
        <f t="shared" si="3"/>
        <v/>
      </c>
      <c r="Z29" t="str">
        <f t="shared" si="4"/>
        <v/>
      </c>
      <c r="AA29" t="str">
        <f t="shared" si="5"/>
        <v/>
      </c>
      <c r="AB29" t="str">
        <f t="shared" si="6"/>
        <v/>
      </c>
      <c r="AC29" t="str">
        <f t="shared" si="7"/>
        <v/>
      </c>
      <c r="AD29" t="str">
        <f t="shared" si="8"/>
        <v/>
      </c>
      <c r="AE29" t="str">
        <f t="shared" si="9"/>
        <v/>
      </c>
      <c r="AF29" t="str">
        <f t="shared" si="10"/>
        <v/>
      </c>
      <c r="AG29" t="str">
        <f t="shared" si="11"/>
        <v/>
      </c>
      <c r="AH29" t="str">
        <f t="shared" si="12"/>
        <v/>
      </c>
      <c r="AI29"/>
      <c r="AJ29"/>
      <c r="AK29"/>
      <c r="AL29"/>
      <c r="AM29"/>
    </row>
    <row r="30" spans="1:45" ht="47.25" thickBot="1">
      <c r="A30" s="2257"/>
      <c r="C30" s="161">
        <f>+PP!B48</f>
        <v>25</v>
      </c>
      <c r="D30" s="163" t="str">
        <f>+PP!C48</f>
        <v>MANTO LP C/M C/T 2.0-4.0 Kg/pza</v>
      </c>
      <c r="E30" s="2233"/>
      <c r="F30" s="2234"/>
      <c r="G30" s="2234"/>
      <c r="H30" s="2234"/>
      <c r="I30" s="2234"/>
      <c r="J30" s="2234"/>
      <c r="K30" s="2234"/>
      <c r="L30" s="2234"/>
      <c r="M30" s="2234"/>
      <c r="N30" s="2234"/>
      <c r="O30" s="2234"/>
      <c r="P30" s="2235"/>
      <c r="Q30" s="524">
        <f t="shared" si="20"/>
        <v>0</v>
      </c>
      <c r="R30" s="150">
        <f t="shared" si="0"/>
        <v>0</v>
      </c>
      <c r="S30" s="147">
        <f t="shared" si="19"/>
        <v>0</v>
      </c>
      <c r="T30" s="452"/>
      <c r="U30" s="1724"/>
      <c r="V30" s="1724"/>
      <c r="W30" s="1724" t="str">
        <f t="shared" si="1"/>
        <v/>
      </c>
      <c r="X30" s="1724" t="str">
        <f t="shared" si="2"/>
        <v/>
      </c>
      <c r="Y30" t="str">
        <f t="shared" si="3"/>
        <v/>
      </c>
      <c r="Z30" t="str">
        <f t="shared" si="4"/>
        <v/>
      </c>
      <c r="AA30" t="str">
        <f t="shared" si="5"/>
        <v/>
      </c>
      <c r="AB30" t="str">
        <f t="shared" si="6"/>
        <v/>
      </c>
      <c r="AC30" t="str">
        <f t="shared" si="7"/>
        <v/>
      </c>
      <c r="AD30" t="str">
        <f t="shared" si="8"/>
        <v/>
      </c>
      <c r="AE30" t="str">
        <f t="shared" si="9"/>
        <v/>
      </c>
      <c r="AF30" t="str">
        <f t="shared" si="10"/>
        <v/>
      </c>
      <c r="AG30" t="str">
        <f t="shared" si="11"/>
        <v/>
      </c>
      <c r="AH30" t="str">
        <f t="shared" si="12"/>
        <v/>
      </c>
      <c r="AI30"/>
      <c r="AJ30"/>
      <c r="AK30"/>
      <c r="AL30"/>
      <c r="AM30"/>
    </row>
    <row r="31" spans="1:45" ht="46.5">
      <c r="A31" s="2257"/>
      <c r="C31" s="157">
        <f>+PP!B49</f>
        <v>26</v>
      </c>
      <c r="D31" s="166" t="str">
        <f>+PP!C49</f>
        <v>NUCA C/C CERRADO 0-100 g/pza</v>
      </c>
      <c r="E31" s="2161"/>
      <c r="F31" s="2162"/>
      <c r="G31" s="2162"/>
      <c r="H31" s="2162"/>
      <c r="I31" s="2162"/>
      <c r="J31" s="2162"/>
      <c r="K31" s="2162"/>
      <c r="L31" s="2162"/>
      <c r="M31" s="2162"/>
      <c r="N31" s="2162"/>
      <c r="O31" s="2162"/>
      <c r="P31" s="2163"/>
      <c r="Q31" s="514">
        <f t="shared" si="20"/>
        <v>0</v>
      </c>
      <c r="R31" s="148">
        <f t="shared" si="0"/>
        <v>0</v>
      </c>
      <c r="S31" s="145">
        <f t="shared" si="19"/>
        <v>0</v>
      </c>
      <c r="T31" s="452"/>
      <c r="U31" s="1724"/>
      <c r="V31" s="1724"/>
      <c r="W31" s="1724" t="str">
        <f t="shared" si="1"/>
        <v/>
      </c>
      <c r="X31" s="1724" t="str">
        <f t="shared" si="2"/>
        <v/>
      </c>
      <c r="Y31" t="str">
        <f t="shared" si="3"/>
        <v/>
      </c>
      <c r="Z31" t="str">
        <f t="shared" si="4"/>
        <v/>
      </c>
      <c r="AA31" t="str">
        <f t="shared" si="5"/>
        <v/>
      </c>
      <c r="AB31" t="str">
        <f t="shared" si="6"/>
        <v/>
      </c>
      <c r="AC31" t="str">
        <f t="shared" si="7"/>
        <v/>
      </c>
      <c r="AD31" t="str">
        <f t="shared" si="8"/>
        <v/>
      </c>
      <c r="AE31" t="str">
        <f t="shared" si="9"/>
        <v/>
      </c>
      <c r="AF31" t="str">
        <f t="shared" si="10"/>
        <v/>
      </c>
      <c r="AG31" t="str">
        <f t="shared" si="11"/>
        <v/>
      </c>
      <c r="AH31" t="str">
        <f t="shared" si="12"/>
        <v/>
      </c>
      <c r="AI31"/>
      <c r="AJ31"/>
      <c r="AK31"/>
      <c r="AL31"/>
      <c r="AM31"/>
    </row>
    <row r="32" spans="1:45" ht="46.5">
      <c r="A32" s="2257"/>
      <c r="C32" s="159">
        <f>+PP!B50</f>
        <v>27</v>
      </c>
      <c r="D32" s="164" t="str">
        <f>+PP!C50</f>
        <v>NUCA C/C ABIERTO 100-300 g/pza</v>
      </c>
      <c r="E32" s="2138"/>
      <c r="F32" s="2137"/>
      <c r="G32" s="2137"/>
      <c r="H32" s="2137"/>
      <c r="I32" s="2137"/>
      <c r="J32" s="2137"/>
      <c r="K32" s="2137"/>
      <c r="L32" s="2137"/>
      <c r="M32" s="2137"/>
      <c r="N32" s="2137"/>
      <c r="O32" s="2137"/>
      <c r="P32" s="2139"/>
      <c r="Q32" s="508">
        <f t="shared" si="20"/>
        <v>0</v>
      </c>
      <c r="R32" s="149">
        <f t="shared" si="0"/>
        <v>0</v>
      </c>
      <c r="S32" s="146">
        <f t="shared" si="19"/>
        <v>0</v>
      </c>
      <c r="T32" s="452"/>
      <c r="U32" s="1724"/>
      <c r="V32" s="1724"/>
      <c r="W32" s="1724" t="str">
        <f t="shared" si="1"/>
        <v/>
      </c>
      <c r="X32" s="1724" t="str">
        <f t="shared" si="2"/>
        <v/>
      </c>
      <c r="Y32" s="1724" t="str">
        <f t="shared" si="3"/>
        <v/>
      </c>
      <c r="Z32" s="1724" t="str">
        <f t="shared" si="4"/>
        <v/>
      </c>
      <c r="AA32" s="1724" t="str">
        <f t="shared" si="5"/>
        <v/>
      </c>
      <c r="AB32" s="1724" t="str">
        <f t="shared" si="6"/>
        <v/>
      </c>
      <c r="AC32" t="str">
        <f t="shared" si="7"/>
        <v/>
      </c>
      <c r="AD32" t="str">
        <f t="shared" si="8"/>
        <v/>
      </c>
      <c r="AE32" t="str">
        <f t="shared" si="9"/>
        <v/>
      </c>
      <c r="AF32" t="str">
        <f t="shared" si="10"/>
        <v/>
      </c>
      <c r="AG32" t="str">
        <f t="shared" si="11"/>
        <v/>
      </c>
      <c r="AH32" t="str">
        <f t="shared" si="12"/>
        <v/>
      </c>
      <c r="AI32"/>
      <c r="AJ32"/>
      <c r="AK32"/>
      <c r="AL32"/>
      <c r="AM32"/>
    </row>
    <row r="33" spans="1:39" ht="46.5">
      <c r="A33" s="2257"/>
      <c r="C33" s="159">
        <f>+PP!B51</f>
        <v>28</v>
      </c>
      <c r="D33" s="167" t="str">
        <f>+PP!C51</f>
        <v>NUCA C/C ABIERTO 300-500 g/pza</v>
      </c>
      <c r="E33" s="2138"/>
      <c r="F33" s="2137"/>
      <c r="G33" s="2137"/>
      <c r="H33" s="2137"/>
      <c r="I33" s="2137"/>
      <c r="J33" s="2137"/>
      <c r="K33" s="2137"/>
      <c r="L33" s="2137"/>
      <c r="M33" s="2137"/>
      <c r="N33" s="2137"/>
      <c r="O33" s="2137"/>
      <c r="P33" s="2139"/>
      <c r="Q33" s="509">
        <f t="shared" si="20"/>
        <v>0</v>
      </c>
      <c r="R33" s="149">
        <f t="shared" si="0"/>
        <v>0</v>
      </c>
      <c r="S33" s="146">
        <f t="shared" si="19"/>
        <v>0</v>
      </c>
      <c r="T33" s="452"/>
      <c r="U33" s="1724"/>
      <c r="V33" s="1724"/>
      <c r="W33" s="1724" t="str">
        <f t="shared" si="1"/>
        <v/>
      </c>
      <c r="X33" s="1724" t="str">
        <f t="shared" si="2"/>
        <v/>
      </c>
      <c r="Y33" s="1724" t="str">
        <f t="shared" si="3"/>
        <v/>
      </c>
      <c r="Z33" s="1724" t="str">
        <f t="shared" si="4"/>
        <v/>
      </c>
      <c r="AA33" s="1724" t="str">
        <f t="shared" si="5"/>
        <v/>
      </c>
      <c r="AB33" s="1724" t="str">
        <f t="shared" si="6"/>
        <v/>
      </c>
      <c r="AC33" t="str">
        <f t="shared" si="7"/>
        <v/>
      </c>
      <c r="AD33" t="str">
        <f t="shared" si="8"/>
        <v/>
      </c>
      <c r="AE33" t="str">
        <f t="shared" si="9"/>
        <v/>
      </c>
      <c r="AF33" t="str">
        <f t="shared" si="10"/>
        <v/>
      </c>
      <c r="AG33" t="str">
        <f t="shared" si="11"/>
        <v/>
      </c>
      <c r="AH33" t="str">
        <f t="shared" si="12"/>
        <v/>
      </c>
      <c r="AI33"/>
      <c r="AJ33"/>
      <c r="AK33"/>
      <c r="AL33"/>
      <c r="AM33"/>
    </row>
    <row r="34" spans="1:39" ht="46.5">
      <c r="A34" s="2257"/>
      <c r="C34" s="159">
        <f>+PP!B52</f>
        <v>29</v>
      </c>
      <c r="D34" s="164" t="str">
        <f>+PP!C52</f>
        <v>NUCA C/C ABIERTO 500-1000 g/pza</v>
      </c>
      <c r="E34" s="2138"/>
      <c r="F34" s="2137"/>
      <c r="G34" s="2137"/>
      <c r="H34" s="2137"/>
      <c r="I34" s="2137"/>
      <c r="J34" s="2137"/>
      <c r="K34" s="2137"/>
      <c r="L34" s="2137"/>
      <c r="M34" s="2137"/>
      <c r="N34" s="2137"/>
      <c r="O34" s="2137"/>
      <c r="P34" s="2139"/>
      <c r="Q34" s="508">
        <f t="shared" si="20"/>
        <v>0</v>
      </c>
      <c r="R34" s="149">
        <f t="shared" si="0"/>
        <v>0</v>
      </c>
      <c r="S34" s="146">
        <f t="shared" si="19"/>
        <v>0</v>
      </c>
      <c r="T34" s="452"/>
      <c r="U34" s="1724"/>
      <c r="V34" s="1724"/>
      <c r="W34" s="1724" t="str">
        <f t="shared" si="1"/>
        <v/>
      </c>
      <c r="X34" s="1724" t="str">
        <f t="shared" si="2"/>
        <v/>
      </c>
      <c r="Y34" s="1724" t="str">
        <f t="shared" si="3"/>
        <v/>
      </c>
      <c r="Z34" s="1724" t="str">
        <f t="shared" si="4"/>
        <v/>
      </c>
      <c r="AA34" s="1724" t="str">
        <f t="shared" si="5"/>
        <v/>
      </c>
      <c r="AB34" s="1724" t="str">
        <f t="shared" si="6"/>
        <v/>
      </c>
      <c r="AC34" t="str">
        <f t="shared" si="7"/>
        <v/>
      </c>
      <c r="AD34" t="str">
        <f t="shared" si="8"/>
        <v/>
      </c>
      <c r="AE34" t="str">
        <f t="shared" si="9"/>
        <v/>
      </c>
      <c r="AF34" t="str">
        <f t="shared" si="10"/>
        <v/>
      </c>
      <c r="AG34" t="str">
        <f t="shared" si="11"/>
        <v/>
      </c>
      <c r="AH34" t="str">
        <f t="shared" si="12"/>
        <v/>
      </c>
      <c r="AI34"/>
      <c r="AJ34"/>
      <c r="AK34"/>
      <c r="AL34"/>
      <c r="AM34"/>
    </row>
    <row r="35" spans="1:39" ht="47.25" thickBot="1">
      <c r="A35" s="2257"/>
      <c r="C35" s="161">
        <f>+PP!B53</f>
        <v>30</v>
      </c>
      <c r="D35" s="167" t="str">
        <f>+PP!C53</f>
        <v>NUCA C/C ABIERTO 1.0 - UP kg/pza</v>
      </c>
      <c r="E35" s="2898"/>
      <c r="F35" s="2899"/>
      <c r="G35" s="2899"/>
      <c r="H35" s="2899"/>
      <c r="I35" s="2899"/>
      <c r="J35" s="2899"/>
      <c r="K35" s="2899"/>
      <c r="L35" s="2899"/>
      <c r="M35" s="2899"/>
      <c r="N35" s="2899"/>
      <c r="O35" s="2899"/>
      <c r="P35" s="2900"/>
      <c r="Q35" s="524">
        <f t="shared" si="20"/>
        <v>0</v>
      </c>
      <c r="R35" s="150">
        <f t="shared" si="0"/>
        <v>0</v>
      </c>
      <c r="S35" s="147">
        <f t="shared" si="19"/>
        <v>0</v>
      </c>
      <c r="T35" s="452"/>
      <c r="U35" s="1724"/>
      <c r="V35" s="1724"/>
      <c r="W35" s="1724" t="str">
        <f t="shared" si="1"/>
        <v/>
      </c>
      <c r="X35" s="1724" t="str">
        <f t="shared" si="2"/>
        <v/>
      </c>
      <c r="Y35" s="1724" t="str">
        <f t="shared" si="3"/>
        <v/>
      </c>
      <c r="Z35" s="1724" t="str">
        <f t="shared" si="4"/>
        <v/>
      </c>
      <c r="AA35" s="1724" t="str">
        <f t="shared" si="5"/>
        <v/>
      </c>
      <c r="AB35" s="1724" t="str">
        <f t="shared" si="6"/>
        <v/>
      </c>
      <c r="AC35" t="str">
        <f t="shared" si="7"/>
        <v/>
      </c>
      <c r="AD35" t="str">
        <f t="shared" si="8"/>
        <v/>
      </c>
      <c r="AE35" t="str">
        <f t="shared" si="9"/>
        <v/>
      </c>
      <c r="AF35" t="str">
        <f t="shared" si="10"/>
        <v/>
      </c>
      <c r="AG35" t="str">
        <f t="shared" si="11"/>
        <v/>
      </c>
      <c r="AH35" t="str">
        <f t="shared" si="12"/>
        <v/>
      </c>
      <c r="AI35"/>
      <c r="AJ35"/>
      <c r="AK35"/>
      <c r="AL35"/>
      <c r="AM35"/>
    </row>
    <row r="36" spans="1:39" ht="46.5">
      <c r="A36" s="2257"/>
      <c r="C36" s="157">
        <f>+PP!B54</f>
        <v>31</v>
      </c>
      <c r="D36" s="162" t="str">
        <f>+PP!C54</f>
        <v>RECORTE BLANCO SM ST</v>
      </c>
      <c r="E36" s="2230"/>
      <c r="F36" s="2231"/>
      <c r="G36" s="2231"/>
      <c r="H36" s="2231"/>
      <c r="I36" s="2231"/>
      <c r="J36" s="2231"/>
      <c r="K36" s="2231"/>
      <c r="L36" s="2231"/>
      <c r="M36" s="2231"/>
      <c r="N36" s="2231"/>
      <c r="O36" s="2231"/>
      <c r="P36" s="2232"/>
      <c r="Q36" s="513">
        <f t="shared" si="20"/>
        <v>0</v>
      </c>
      <c r="R36" s="151">
        <f t="shared" si="0"/>
        <v>0</v>
      </c>
      <c r="S36" s="664">
        <f t="shared" si="19"/>
        <v>0</v>
      </c>
      <c r="T36" s="452"/>
      <c r="U36" s="1724"/>
      <c r="V36" s="1724"/>
      <c r="W36" s="1724" t="str">
        <f t="shared" si="1"/>
        <v/>
      </c>
      <c r="X36" s="1724" t="str">
        <f t="shared" si="2"/>
        <v/>
      </c>
      <c r="Y36" s="1724" t="str">
        <f t="shared" si="3"/>
        <v/>
      </c>
      <c r="Z36" s="1724" t="str">
        <f t="shared" si="4"/>
        <v/>
      </c>
      <c r="AA36" s="1724" t="str">
        <f t="shared" si="5"/>
        <v/>
      </c>
      <c r="AB36" s="1724" t="str">
        <f t="shared" si="6"/>
        <v/>
      </c>
      <c r="AC36" t="str">
        <f t="shared" si="7"/>
        <v/>
      </c>
      <c r="AD36" t="str">
        <f t="shared" si="8"/>
        <v/>
      </c>
      <c r="AE36" t="str">
        <f t="shared" si="9"/>
        <v/>
      </c>
      <c r="AF36" t="str">
        <f t="shared" si="10"/>
        <v/>
      </c>
      <c r="AG36" t="str">
        <f t="shared" si="11"/>
        <v/>
      </c>
      <c r="AH36" t="str">
        <f t="shared" si="12"/>
        <v/>
      </c>
      <c r="AI36"/>
      <c r="AJ36"/>
      <c r="AK36"/>
      <c r="AL36"/>
      <c r="AM36"/>
    </row>
    <row r="37" spans="1:39" ht="46.5">
      <c r="A37" s="2257"/>
      <c r="C37" s="159">
        <f>+PP!B55</f>
        <v>32</v>
      </c>
      <c r="D37" s="164" t="str">
        <f>+PP!C55</f>
        <v>RECORTE AMARILLO SM ST</v>
      </c>
      <c r="E37" s="2138"/>
      <c r="F37" s="2137"/>
      <c r="G37" s="2137"/>
      <c r="H37" s="2137"/>
      <c r="I37" s="2137"/>
      <c r="J37" s="2137"/>
      <c r="K37" s="2137"/>
      <c r="L37" s="2137"/>
      <c r="M37" s="2137"/>
      <c r="N37" s="2137"/>
      <c r="O37" s="2137"/>
      <c r="P37" s="2139"/>
      <c r="Q37" s="508">
        <f t="shared" si="20"/>
        <v>0</v>
      </c>
      <c r="R37" s="149">
        <f t="shared" si="0"/>
        <v>0</v>
      </c>
      <c r="S37" s="664">
        <f t="shared" si="19"/>
        <v>0</v>
      </c>
      <c r="T37" s="452"/>
      <c r="U37" s="1724"/>
      <c r="V37" s="1724"/>
      <c r="W37" s="1724" t="str">
        <f t="shared" si="1"/>
        <v/>
      </c>
      <c r="X37" s="1724" t="str">
        <f t="shared" si="2"/>
        <v/>
      </c>
      <c r="Y37" s="1724" t="str">
        <f t="shared" si="3"/>
        <v/>
      </c>
      <c r="Z37" s="1724" t="str">
        <f t="shared" si="4"/>
        <v/>
      </c>
      <c r="AA37" s="1724" t="str">
        <f t="shared" si="5"/>
        <v/>
      </c>
      <c r="AB37" s="1724" t="str">
        <f t="shared" si="6"/>
        <v/>
      </c>
      <c r="AC37" t="str">
        <f t="shared" si="7"/>
        <v/>
      </c>
      <c r="AD37" t="str">
        <f t="shared" si="8"/>
        <v/>
      </c>
      <c r="AE37" t="str">
        <f t="shared" si="9"/>
        <v/>
      </c>
      <c r="AF37" t="str">
        <f t="shared" si="10"/>
        <v/>
      </c>
      <c r="AG37" t="str">
        <f t="shared" si="11"/>
        <v/>
      </c>
      <c r="AH37" t="str">
        <f t="shared" si="12"/>
        <v/>
      </c>
      <c r="AI37"/>
      <c r="AJ37"/>
      <c r="AK37"/>
      <c r="AL37"/>
      <c r="AM37"/>
    </row>
    <row r="38" spans="1:39" ht="47.25" thickBot="1">
      <c r="A38" s="2257"/>
      <c r="C38" s="158">
        <f>+PP!B56</f>
        <v>33</v>
      </c>
      <c r="D38" s="163" t="str">
        <f>+PP!C56</f>
        <v>RECORTE PRECOCIDO</v>
      </c>
      <c r="E38" s="2233"/>
      <c r="F38" s="2234"/>
      <c r="G38" s="2234"/>
      <c r="H38" s="2234"/>
      <c r="I38" s="2234"/>
      <c r="J38" s="2234"/>
      <c r="K38" s="2234"/>
      <c r="L38" s="2234"/>
      <c r="M38" s="2234"/>
      <c r="N38" s="2234"/>
      <c r="O38" s="2234"/>
      <c r="P38" s="2235"/>
      <c r="Q38" s="524">
        <f t="shared" si="20"/>
        <v>0</v>
      </c>
      <c r="R38" s="150">
        <f t="shared" si="0"/>
        <v>0</v>
      </c>
      <c r="S38" s="958">
        <f t="shared" si="19"/>
        <v>0</v>
      </c>
      <c r="T38" s="452"/>
      <c r="U38" s="1724"/>
      <c r="V38" s="1724"/>
      <c r="W38" s="1724" t="str">
        <f t="shared" si="1"/>
        <v/>
      </c>
      <c r="X38" s="1724" t="str">
        <f t="shared" si="2"/>
        <v/>
      </c>
      <c r="Y38" s="1724" t="str">
        <f t="shared" si="3"/>
        <v/>
      </c>
      <c r="Z38" s="1724" t="str">
        <f t="shared" si="4"/>
        <v/>
      </c>
      <c r="AA38" s="1724" t="str">
        <f t="shared" si="5"/>
        <v/>
      </c>
      <c r="AB38" s="1724" t="str">
        <f t="shared" si="6"/>
        <v/>
      </c>
      <c r="AC38" t="str">
        <f t="shared" si="7"/>
        <v/>
      </c>
      <c r="AD38" t="str">
        <f t="shared" si="8"/>
        <v/>
      </c>
      <c r="AE38" t="str">
        <f t="shared" si="9"/>
        <v/>
      </c>
      <c r="AF38" t="str">
        <f t="shared" si="10"/>
        <v/>
      </c>
      <c r="AG38" t="str">
        <f t="shared" si="11"/>
        <v/>
      </c>
      <c r="AH38" t="str">
        <f t="shared" si="12"/>
        <v/>
      </c>
      <c r="AI38"/>
      <c r="AJ38"/>
      <c r="AK38"/>
      <c r="AL38"/>
      <c r="AM38"/>
    </row>
    <row r="39" spans="1:39" ht="46.5">
      <c r="A39" s="2257"/>
      <c r="C39" s="41">
        <f>+PP!B57</f>
        <v>34</v>
      </c>
      <c r="D39" s="162" t="str">
        <f>+PP!C57</f>
        <v>REPRODUCTORES SV, PEQUEÑO</v>
      </c>
      <c r="E39" s="2230"/>
      <c r="F39" s="2231"/>
      <c r="G39" s="2231"/>
      <c r="H39" s="2231"/>
      <c r="I39" s="2231"/>
      <c r="J39" s="2231"/>
      <c r="K39" s="2231"/>
      <c r="L39" s="2231"/>
      <c r="M39" s="2231"/>
      <c r="N39" s="2231"/>
      <c r="O39" s="2231"/>
      <c r="P39" s="2232"/>
      <c r="Q39" s="514">
        <f t="shared" si="20"/>
        <v>0</v>
      </c>
      <c r="R39" s="151">
        <f t="shared" si="0"/>
        <v>0</v>
      </c>
      <c r="S39" s="145">
        <f t="shared" si="19"/>
        <v>0</v>
      </c>
      <c r="T39" s="452"/>
      <c r="U39" s="1724"/>
      <c r="V39" s="1724"/>
      <c r="W39" s="1724" t="str">
        <f t="shared" si="1"/>
        <v/>
      </c>
      <c r="X39" s="1724" t="str">
        <f t="shared" si="2"/>
        <v/>
      </c>
      <c r="Y39" t="str">
        <f t="shared" si="3"/>
        <v/>
      </c>
      <c r="Z39" t="str">
        <f t="shared" si="4"/>
        <v/>
      </c>
      <c r="AA39" t="str">
        <f t="shared" si="5"/>
        <v/>
      </c>
      <c r="AB39" t="str">
        <f t="shared" si="6"/>
        <v/>
      </c>
      <c r="AC39" t="str">
        <f t="shared" si="7"/>
        <v/>
      </c>
      <c r="AD39" t="str">
        <f t="shared" si="8"/>
        <v/>
      </c>
      <c r="AE39" t="str">
        <f t="shared" si="9"/>
        <v/>
      </c>
      <c r="AF39" t="str">
        <f t="shared" si="10"/>
        <v/>
      </c>
      <c r="AG39" t="str">
        <f t="shared" si="11"/>
        <v/>
      </c>
      <c r="AH39" t="str">
        <f t="shared" si="12"/>
        <v/>
      </c>
      <c r="AI39"/>
      <c r="AJ39"/>
      <c r="AK39"/>
      <c r="AL39"/>
    </row>
    <row r="40" spans="1:39" ht="47.25" thickBot="1">
      <c r="A40" s="2257"/>
      <c r="C40" s="40">
        <f>+PP!B58</f>
        <v>35</v>
      </c>
      <c r="D40" s="163" t="str">
        <f>+PP!C58</f>
        <v>REPRODUCTOR SV GRANDE</v>
      </c>
      <c r="E40" s="2233"/>
      <c r="F40" s="2234"/>
      <c r="G40" s="2234"/>
      <c r="H40" s="2234"/>
      <c r="I40" s="2234"/>
      <c r="J40" s="2234"/>
      <c r="K40" s="2234"/>
      <c r="L40" s="2234"/>
      <c r="M40" s="2234"/>
      <c r="N40" s="2234"/>
      <c r="O40" s="2234"/>
      <c r="P40" s="2235"/>
      <c r="Q40" s="524">
        <f t="shared" si="20"/>
        <v>0</v>
      </c>
      <c r="R40" s="150">
        <f>Q40/2</f>
        <v>0</v>
      </c>
      <c r="S40" s="147">
        <f>+Q40*10</f>
        <v>0</v>
      </c>
      <c r="T40" s="452"/>
      <c r="U40" s="1724"/>
      <c r="V40" s="1724"/>
      <c r="W40" s="1724" t="str">
        <f t="shared" si="1"/>
        <v/>
      </c>
      <c r="X40" s="1724" t="str">
        <f t="shared" si="2"/>
        <v/>
      </c>
      <c r="Y40" t="str">
        <f t="shared" si="3"/>
        <v/>
      </c>
      <c r="Z40" t="str">
        <f t="shared" si="4"/>
        <v/>
      </c>
      <c r="AA40" t="str">
        <f t="shared" si="5"/>
        <v/>
      </c>
      <c r="AB40" t="str">
        <f t="shared" si="6"/>
        <v/>
      </c>
      <c r="AC40" t="str">
        <f t="shared" si="7"/>
        <v/>
      </c>
      <c r="AD40" t="str">
        <f t="shared" si="8"/>
        <v/>
      </c>
      <c r="AE40" t="str">
        <f t="shared" si="9"/>
        <v/>
      </c>
      <c r="AF40" t="str">
        <f t="shared" si="10"/>
        <v/>
      </c>
      <c r="AG40" t="str">
        <f t="shared" si="11"/>
        <v/>
      </c>
      <c r="AH40" t="str">
        <f t="shared" si="12"/>
        <v/>
      </c>
      <c r="AI40"/>
      <c r="AJ40"/>
      <c r="AK40"/>
      <c r="AL40"/>
    </row>
    <row r="41" spans="1:39" ht="43.5" customHeight="1" thickBot="1">
      <c r="A41" s="2257"/>
      <c r="C41" s="526">
        <f>+PP!B59</f>
        <v>36</v>
      </c>
      <c r="D41" s="538" t="str">
        <f>+PP!C59</f>
        <v>TUBO ALETA 1.0-2.0 Kg/pza</v>
      </c>
      <c r="E41" s="2236"/>
      <c r="F41" s="2237"/>
      <c r="G41" s="2237"/>
      <c r="H41" s="2237"/>
      <c r="I41" s="2237"/>
      <c r="J41" s="2237"/>
      <c r="K41" s="2237"/>
      <c r="L41" s="2237"/>
      <c r="M41" s="2237"/>
      <c r="N41" s="2237"/>
      <c r="O41" s="2237"/>
      <c r="P41" s="2238"/>
      <c r="Q41" s="527">
        <f t="shared" si="20"/>
        <v>0</v>
      </c>
      <c r="R41" s="153">
        <f t="shared" si="0"/>
        <v>0</v>
      </c>
      <c r="S41" s="154">
        <f t="shared" si="19"/>
        <v>0</v>
      </c>
      <c r="T41" s="452"/>
      <c r="U41" s="1724"/>
      <c r="V41" s="1724"/>
      <c r="W41" s="1724" t="str">
        <f t="shared" si="1"/>
        <v/>
      </c>
      <c r="X41" s="1724" t="str">
        <f t="shared" si="2"/>
        <v/>
      </c>
      <c r="Y41" t="str">
        <f t="shared" si="3"/>
        <v/>
      </c>
      <c r="Z41" t="str">
        <f t="shared" si="4"/>
        <v/>
      </c>
      <c r="AA41" t="str">
        <f t="shared" si="5"/>
        <v/>
      </c>
      <c r="AB41" t="str">
        <f t="shared" si="6"/>
        <v/>
      </c>
      <c r="AC41" t="str">
        <f t="shared" si="7"/>
        <v/>
      </c>
      <c r="AD41" t="str">
        <f t="shared" si="8"/>
        <v/>
      </c>
      <c r="AE41" t="str">
        <f t="shared" si="9"/>
        <v/>
      </c>
      <c r="AF41" t="str">
        <f t="shared" si="10"/>
        <v/>
      </c>
      <c r="AG41" t="str">
        <f t="shared" si="11"/>
        <v/>
      </c>
      <c r="AH41" t="str">
        <f t="shared" si="12"/>
        <v/>
      </c>
      <c r="AI41"/>
      <c r="AJ41"/>
      <c r="AK41"/>
      <c r="AL41"/>
    </row>
    <row r="42" spans="1:39" ht="45.75" customHeight="1">
      <c r="A42" s="2257"/>
      <c r="C42" s="955">
        <f>+PP!B60</f>
        <v>37</v>
      </c>
      <c r="D42" s="1020" t="str">
        <f>+PP!C60</f>
        <v>TENTACULO C/B C/V SR 100-300 g/pza (SUCIO)</v>
      </c>
      <c r="E42" s="2161"/>
      <c r="F42" s="2162"/>
      <c r="G42" s="2162"/>
      <c r="H42" s="2162"/>
      <c r="I42" s="2162"/>
      <c r="J42" s="2162"/>
      <c r="K42" s="2162"/>
      <c r="L42" s="2162"/>
      <c r="M42" s="2162"/>
      <c r="N42" s="2162"/>
      <c r="O42" s="2162"/>
      <c r="P42" s="2163"/>
      <c r="Q42" s="513">
        <f t="shared" si="20"/>
        <v>0</v>
      </c>
      <c r="R42" s="148">
        <f t="shared" si="0"/>
        <v>0</v>
      </c>
      <c r="S42" s="490">
        <f t="shared" si="19"/>
        <v>0</v>
      </c>
      <c r="T42" s="452"/>
      <c r="U42" s="1724"/>
      <c r="V42" s="1724"/>
      <c r="W42" s="1724" t="str">
        <f t="shared" si="1"/>
        <v/>
      </c>
      <c r="X42" s="1724" t="str">
        <f t="shared" si="2"/>
        <v/>
      </c>
      <c r="Y42" t="str">
        <f t="shared" si="3"/>
        <v/>
      </c>
      <c r="Z42" t="str">
        <f t="shared" si="4"/>
        <v/>
      </c>
      <c r="AA42" t="str">
        <f t="shared" si="5"/>
        <v/>
      </c>
      <c r="AB42" t="str">
        <f t="shared" si="6"/>
        <v/>
      </c>
      <c r="AC42" t="str">
        <f t="shared" si="7"/>
        <v/>
      </c>
      <c r="AD42" t="str">
        <f t="shared" si="8"/>
        <v/>
      </c>
      <c r="AE42" t="str">
        <f t="shared" si="9"/>
        <v/>
      </c>
      <c r="AF42" t="str">
        <f t="shared" si="10"/>
        <v/>
      </c>
      <c r="AG42" t="str">
        <f t="shared" si="11"/>
        <v/>
      </c>
      <c r="AH42" t="str">
        <f t="shared" si="12"/>
        <v/>
      </c>
      <c r="AI42"/>
      <c r="AJ42"/>
      <c r="AK42"/>
      <c r="AL42"/>
    </row>
    <row r="43" spans="1:39" ht="45.75" customHeight="1">
      <c r="A43" s="2257"/>
      <c r="C43" s="42">
        <f>+PP!B61</f>
        <v>38</v>
      </c>
      <c r="D43" s="229" t="str">
        <f>+PP!C61</f>
        <v>TENTACULO C/B C/V SR 300-500 g/pza (SUCIO)</v>
      </c>
      <c r="E43" s="2138"/>
      <c r="F43" s="2137"/>
      <c r="G43" s="2137"/>
      <c r="H43" s="2137"/>
      <c r="I43" s="2137"/>
      <c r="J43" s="2137"/>
      <c r="K43" s="2137"/>
      <c r="L43" s="2137"/>
      <c r="M43" s="2137"/>
      <c r="N43" s="2137"/>
      <c r="O43" s="2137"/>
      <c r="P43" s="2139"/>
      <c r="Q43" s="508">
        <f t="shared" si="20"/>
        <v>0</v>
      </c>
      <c r="R43" s="149">
        <f t="shared" si="0"/>
        <v>0</v>
      </c>
      <c r="S43" s="552">
        <f t="shared" si="19"/>
        <v>0</v>
      </c>
      <c r="T43" s="452"/>
      <c r="U43" s="1724"/>
      <c r="V43" s="1724"/>
      <c r="W43" s="1724" t="str">
        <f t="shared" si="1"/>
        <v/>
      </c>
      <c r="X43" s="1724" t="str">
        <f t="shared" si="2"/>
        <v/>
      </c>
      <c r="Y43" t="str">
        <f t="shared" si="3"/>
        <v/>
      </c>
      <c r="Z43" t="str">
        <f t="shared" si="4"/>
        <v/>
      </c>
      <c r="AA43" t="str">
        <f t="shared" si="5"/>
        <v/>
      </c>
      <c r="AB43" t="str">
        <f t="shared" si="6"/>
        <v/>
      </c>
      <c r="AC43" t="str">
        <f t="shared" si="7"/>
        <v/>
      </c>
      <c r="AD43" t="str">
        <f t="shared" si="8"/>
        <v/>
      </c>
      <c r="AE43" t="str">
        <f t="shared" si="9"/>
        <v/>
      </c>
      <c r="AF43" t="str">
        <f t="shared" si="10"/>
        <v/>
      </c>
      <c r="AG43" t="str">
        <f t="shared" si="11"/>
        <v/>
      </c>
      <c r="AH43" t="str">
        <f t="shared" si="12"/>
        <v/>
      </c>
      <c r="AI43"/>
      <c r="AJ43"/>
      <c r="AK43"/>
      <c r="AL43"/>
    </row>
    <row r="44" spans="1:39" ht="46.5">
      <c r="A44" s="2257"/>
      <c r="C44" s="42">
        <f>+PP!B62</f>
        <v>39</v>
      </c>
      <c r="D44" s="229" t="str">
        <f>+PP!C62</f>
        <v>TENTACULO C/B S/V SR 100-300 g/pza</v>
      </c>
      <c r="E44" s="2138"/>
      <c r="F44" s="2137"/>
      <c r="G44" s="2137"/>
      <c r="H44" s="2137"/>
      <c r="I44" s="2137"/>
      <c r="J44" s="2137"/>
      <c r="K44" s="2137"/>
      <c r="L44" s="2137"/>
      <c r="M44" s="2137"/>
      <c r="N44" s="2137"/>
      <c r="O44" s="2137"/>
      <c r="P44" s="2139"/>
      <c r="Q44" s="508">
        <f t="shared" si="20"/>
        <v>0</v>
      </c>
      <c r="R44" s="149">
        <f t="shared" si="0"/>
        <v>0</v>
      </c>
      <c r="S44" s="552">
        <f t="shared" si="19"/>
        <v>0</v>
      </c>
      <c r="T44" s="452"/>
      <c r="U44" s="1724"/>
      <c r="V44" s="1724"/>
      <c r="W44" s="1724" t="str">
        <f t="shared" si="1"/>
        <v/>
      </c>
      <c r="X44" s="1724" t="str">
        <f t="shared" si="2"/>
        <v/>
      </c>
      <c r="Y44" t="str">
        <f t="shared" si="3"/>
        <v/>
      </c>
      <c r="Z44" t="str">
        <f t="shared" si="4"/>
        <v/>
      </c>
      <c r="AA44" t="str">
        <f t="shared" si="5"/>
        <v/>
      </c>
      <c r="AB44" t="str">
        <f t="shared" si="6"/>
        <v/>
      </c>
      <c r="AC44" t="str">
        <f t="shared" si="7"/>
        <v/>
      </c>
      <c r="AD44" t="str">
        <f t="shared" si="8"/>
        <v/>
      </c>
      <c r="AE44" t="str">
        <f t="shared" si="9"/>
        <v/>
      </c>
      <c r="AF44" t="str">
        <f t="shared" si="10"/>
        <v/>
      </c>
      <c r="AG44" t="str">
        <f t="shared" si="11"/>
        <v/>
      </c>
      <c r="AH44" t="str">
        <f t="shared" si="12"/>
        <v/>
      </c>
      <c r="AI44"/>
      <c r="AJ44"/>
      <c r="AK44"/>
      <c r="AL44"/>
    </row>
    <row r="45" spans="1:39" ht="45.75" customHeight="1">
      <c r="A45" s="2257"/>
      <c r="C45" s="42">
        <f>+PP!B63</f>
        <v>40</v>
      </c>
      <c r="D45" s="229" t="str">
        <f>+PP!C63</f>
        <v>TENTACULO C/B C/V SR 100-500 g/pza (SUCIO)</v>
      </c>
      <c r="E45" s="2138"/>
      <c r="F45" s="2137"/>
      <c r="G45" s="2137"/>
      <c r="H45" s="2137"/>
      <c r="I45" s="2137"/>
      <c r="J45" s="2137"/>
      <c r="K45" s="2137"/>
      <c r="L45" s="2137"/>
      <c r="M45" s="2137"/>
      <c r="N45" s="2137"/>
      <c r="O45" s="2137"/>
      <c r="P45" s="2139"/>
      <c r="Q45" s="508">
        <f t="shared" si="20"/>
        <v>0</v>
      </c>
      <c r="R45" s="149">
        <f t="shared" si="0"/>
        <v>0</v>
      </c>
      <c r="S45" s="552">
        <f t="shared" si="19"/>
        <v>0</v>
      </c>
      <c r="T45" s="452"/>
      <c r="U45" s="1724"/>
      <c r="V45" s="1724"/>
      <c r="W45" s="1724" t="str">
        <f t="shared" si="1"/>
        <v/>
      </c>
      <c r="X45" s="1724" t="str">
        <f t="shared" si="2"/>
        <v/>
      </c>
      <c r="Y45" t="str">
        <f t="shared" si="3"/>
        <v/>
      </c>
      <c r="Z45" t="str">
        <f t="shared" si="4"/>
        <v/>
      </c>
      <c r="AA45" t="str">
        <f t="shared" si="5"/>
        <v/>
      </c>
      <c r="AB45" t="str">
        <f t="shared" si="6"/>
        <v/>
      </c>
      <c r="AC45" t="str">
        <f t="shared" si="7"/>
        <v/>
      </c>
      <c r="AD45" t="str">
        <f t="shared" si="8"/>
        <v/>
      </c>
      <c r="AE45" t="str">
        <f t="shared" si="9"/>
        <v/>
      </c>
      <c r="AF45" t="str">
        <f t="shared" si="10"/>
        <v/>
      </c>
      <c r="AG45" t="str">
        <f t="shared" si="11"/>
        <v/>
      </c>
      <c r="AH45" t="str">
        <f t="shared" si="12"/>
        <v/>
      </c>
      <c r="AI45"/>
      <c r="AJ45"/>
      <c r="AK45"/>
      <c r="AL45"/>
    </row>
    <row r="46" spans="1:39" ht="46.5">
      <c r="A46" s="2257"/>
      <c r="C46" s="42">
        <f>+PP!B64</f>
        <v>41</v>
      </c>
      <c r="D46" s="229" t="str">
        <f>+PP!C64</f>
        <v>TENTACULO C/B S/V SR 100-500 g/pza</v>
      </c>
      <c r="E46" s="2138"/>
      <c r="F46" s="2137"/>
      <c r="G46" s="2137"/>
      <c r="H46" s="2137"/>
      <c r="I46" s="2137"/>
      <c r="J46" s="2137"/>
      <c r="K46" s="2137"/>
      <c r="L46" s="2137"/>
      <c r="M46" s="2137"/>
      <c r="N46" s="2137"/>
      <c r="O46" s="2137"/>
      <c r="P46" s="2139"/>
      <c r="Q46" s="508">
        <f t="shared" si="20"/>
        <v>0</v>
      </c>
      <c r="R46" s="149">
        <f t="shared" si="0"/>
        <v>0</v>
      </c>
      <c r="S46" s="552">
        <f t="shared" si="19"/>
        <v>0</v>
      </c>
      <c r="T46" s="452"/>
      <c r="U46" s="1724"/>
      <c r="V46" s="1724"/>
      <c r="W46" s="1724" t="str">
        <f t="shared" si="1"/>
        <v/>
      </c>
      <c r="X46" s="1724" t="str">
        <f t="shared" si="2"/>
        <v/>
      </c>
      <c r="Y46" t="str">
        <f t="shared" si="3"/>
        <v/>
      </c>
      <c r="Z46" t="str">
        <f t="shared" si="4"/>
        <v/>
      </c>
      <c r="AA46" t="str">
        <f t="shared" si="5"/>
        <v/>
      </c>
      <c r="AB46" t="str">
        <f t="shared" si="6"/>
        <v/>
      </c>
      <c r="AC46" t="str">
        <f t="shared" si="7"/>
        <v/>
      </c>
      <c r="AD46" t="str">
        <f t="shared" si="8"/>
        <v/>
      </c>
      <c r="AE46" t="str">
        <f t="shared" si="9"/>
        <v/>
      </c>
      <c r="AF46" t="str">
        <f t="shared" si="10"/>
        <v/>
      </c>
      <c r="AG46" t="str">
        <f t="shared" si="11"/>
        <v/>
      </c>
      <c r="AH46" t="str">
        <f t="shared" si="12"/>
        <v/>
      </c>
      <c r="AI46"/>
      <c r="AJ46"/>
      <c r="AK46"/>
      <c r="AL46"/>
    </row>
    <row r="47" spans="1:39" ht="46.5">
      <c r="A47" s="2257"/>
      <c r="C47" s="42">
        <f>+PP!B65</f>
        <v>42</v>
      </c>
      <c r="D47" s="229" t="str">
        <f>+PP!C65</f>
        <v>TENTACULO C/B S/V SR 300-500 g/pza</v>
      </c>
      <c r="E47" s="2138"/>
      <c r="F47" s="2137"/>
      <c r="G47" s="2137"/>
      <c r="H47" s="2137"/>
      <c r="I47" s="2137"/>
      <c r="J47" s="2137"/>
      <c r="K47" s="2137"/>
      <c r="L47" s="2137"/>
      <c r="M47" s="2137"/>
      <c r="N47" s="2137"/>
      <c r="O47" s="2137"/>
      <c r="P47" s="2139"/>
      <c r="Q47" s="508">
        <f t="shared" si="20"/>
        <v>0</v>
      </c>
      <c r="R47" s="149">
        <f t="shared" si="0"/>
        <v>0</v>
      </c>
      <c r="S47" s="552">
        <f t="shared" si="19"/>
        <v>0</v>
      </c>
      <c r="T47" s="452"/>
      <c r="U47" s="1724"/>
      <c r="V47" s="1724"/>
      <c r="W47" s="1724" t="str">
        <f t="shared" si="1"/>
        <v/>
      </c>
      <c r="X47" s="1724" t="str">
        <f t="shared" si="2"/>
        <v/>
      </c>
      <c r="Y47" t="str">
        <f t="shared" si="3"/>
        <v/>
      </c>
      <c r="Z47" t="str">
        <f t="shared" si="4"/>
        <v/>
      </c>
      <c r="AA47" t="str">
        <f t="shared" si="5"/>
        <v/>
      </c>
      <c r="AB47" t="str">
        <f t="shared" si="6"/>
        <v/>
      </c>
      <c r="AC47" t="str">
        <f t="shared" si="7"/>
        <v/>
      </c>
      <c r="AD47" t="str">
        <f t="shared" si="8"/>
        <v/>
      </c>
      <c r="AE47" t="str">
        <f t="shared" si="9"/>
        <v/>
      </c>
      <c r="AF47" t="str">
        <f t="shared" si="10"/>
        <v/>
      </c>
      <c r="AG47" t="str">
        <f t="shared" si="11"/>
        <v/>
      </c>
      <c r="AH47" t="str">
        <f t="shared" si="12"/>
        <v/>
      </c>
      <c r="AI47"/>
      <c r="AJ47"/>
      <c r="AK47"/>
      <c r="AL47"/>
    </row>
    <row r="48" spans="1:39" ht="45.75" customHeight="1">
      <c r="A48" s="2257"/>
      <c r="C48" s="42">
        <f>+PP!B66</f>
        <v>43</v>
      </c>
      <c r="D48" s="229" t="str">
        <f>+PP!C66</f>
        <v>TENTACULO C/B C/V SR 500-1000 g/pza (SUCIO)</v>
      </c>
      <c r="E48" s="2138"/>
      <c r="F48" s="2137"/>
      <c r="G48" s="2137"/>
      <c r="H48" s="2137"/>
      <c r="I48" s="2137"/>
      <c r="J48" s="2137"/>
      <c r="K48" s="2137"/>
      <c r="L48" s="2137"/>
      <c r="M48" s="2137"/>
      <c r="N48" s="2137"/>
      <c r="O48" s="2137"/>
      <c r="P48" s="2139"/>
      <c r="Q48" s="508">
        <f t="shared" si="20"/>
        <v>0</v>
      </c>
      <c r="R48" s="149">
        <f t="shared" si="0"/>
        <v>0</v>
      </c>
      <c r="S48" s="552">
        <f t="shared" si="19"/>
        <v>0</v>
      </c>
      <c r="T48" s="452"/>
      <c r="U48" s="1724"/>
      <c r="V48" s="1724"/>
      <c r="W48" s="1724" t="str">
        <f t="shared" si="1"/>
        <v/>
      </c>
      <c r="X48" s="1724" t="str">
        <f t="shared" si="2"/>
        <v/>
      </c>
      <c r="Y48" t="str">
        <f t="shared" si="3"/>
        <v/>
      </c>
      <c r="Z48" t="str">
        <f t="shared" si="4"/>
        <v/>
      </c>
      <c r="AA48" t="str">
        <f t="shared" si="5"/>
        <v/>
      </c>
      <c r="AB48" t="str">
        <f t="shared" si="6"/>
        <v/>
      </c>
      <c r="AC48" t="str">
        <f t="shared" si="7"/>
        <v/>
      </c>
      <c r="AD48" t="str">
        <f t="shared" si="8"/>
        <v/>
      </c>
      <c r="AE48" t="str">
        <f t="shared" si="9"/>
        <v/>
      </c>
      <c r="AF48" t="str">
        <f t="shared" si="10"/>
        <v/>
      </c>
      <c r="AG48" t="str">
        <f t="shared" si="11"/>
        <v/>
      </c>
      <c r="AH48" t="str">
        <f t="shared" si="12"/>
        <v/>
      </c>
      <c r="AI48"/>
      <c r="AJ48"/>
      <c r="AK48"/>
      <c r="AL48"/>
    </row>
    <row r="49" spans="1:80" ht="54" customHeight="1">
      <c r="A49" s="2257"/>
      <c r="C49" s="42">
        <f>+PP!B67</f>
        <v>44</v>
      </c>
      <c r="D49" s="229" t="str">
        <f>+PP!C67</f>
        <v>TENTACULO C/B S/V SR 500-1000 g/pza</v>
      </c>
      <c r="E49" s="2138"/>
      <c r="F49" s="2137"/>
      <c r="G49" s="2137"/>
      <c r="H49" s="2137"/>
      <c r="I49" s="2137"/>
      <c r="J49" s="2137"/>
      <c r="K49" s="2137"/>
      <c r="L49" s="2137"/>
      <c r="M49" s="2137"/>
      <c r="N49" s="2137"/>
      <c r="O49" s="2137"/>
      <c r="P49" s="2139"/>
      <c r="Q49" s="508">
        <f t="shared" si="20"/>
        <v>0</v>
      </c>
      <c r="R49" s="149">
        <f t="shared" si="0"/>
        <v>0</v>
      </c>
      <c r="S49" s="552">
        <f t="shared" si="19"/>
        <v>0</v>
      </c>
      <c r="T49" s="452"/>
      <c r="U49" s="1724"/>
      <c r="V49" s="1724"/>
      <c r="W49" s="1724" t="str">
        <f t="shared" si="1"/>
        <v/>
      </c>
      <c r="X49" s="1724" t="str">
        <f t="shared" si="2"/>
        <v/>
      </c>
      <c r="Y49" t="str">
        <f t="shared" si="3"/>
        <v/>
      </c>
      <c r="Z49" t="str">
        <f t="shared" si="4"/>
        <v/>
      </c>
      <c r="AA49" t="str">
        <f t="shared" si="5"/>
        <v/>
      </c>
      <c r="AB49" t="str">
        <f t="shared" si="6"/>
        <v/>
      </c>
      <c r="AC49" t="str">
        <f t="shared" si="7"/>
        <v/>
      </c>
      <c r="AD49" t="str">
        <f t="shared" si="8"/>
        <v/>
      </c>
      <c r="AE49" t="str">
        <f t="shared" si="9"/>
        <v/>
      </c>
      <c r="AF49" t="str">
        <f t="shared" si="10"/>
        <v/>
      </c>
      <c r="AG49" t="str">
        <f t="shared" si="11"/>
        <v/>
      </c>
      <c r="AH49" t="str">
        <f t="shared" si="12"/>
        <v/>
      </c>
      <c r="AI49"/>
      <c r="AJ49"/>
      <c r="AK49"/>
      <c r="AL49"/>
    </row>
    <row r="50" spans="1:80" ht="45.75" customHeight="1">
      <c r="A50" s="2257"/>
      <c r="C50" s="42">
        <f>+PP!B68</f>
        <v>45</v>
      </c>
      <c r="D50" s="229" t="str">
        <f>+PP!C68</f>
        <v>TENTACULO C/B C/V SR 1.0-2.0 Kg/pza (SUCIO)</v>
      </c>
      <c r="E50" s="2138"/>
      <c r="F50" s="2137"/>
      <c r="G50" s="2137"/>
      <c r="H50" s="2137"/>
      <c r="I50" s="2137"/>
      <c r="J50" s="2137"/>
      <c r="K50" s="2137"/>
      <c r="L50" s="2137"/>
      <c r="M50" s="2137"/>
      <c r="N50" s="2137"/>
      <c r="O50" s="2137"/>
      <c r="P50" s="2139"/>
      <c r="Q50" s="508">
        <f t="shared" si="20"/>
        <v>0</v>
      </c>
      <c r="R50" s="149">
        <f t="shared" si="0"/>
        <v>0</v>
      </c>
      <c r="S50" s="552">
        <f t="shared" si="19"/>
        <v>0</v>
      </c>
      <c r="T50" s="452"/>
      <c r="U50" s="1724"/>
      <c r="V50" s="1724"/>
      <c r="W50" s="1724" t="str">
        <f t="shared" si="1"/>
        <v/>
      </c>
      <c r="X50" s="1724" t="str">
        <f t="shared" si="2"/>
        <v/>
      </c>
      <c r="Y50" t="str">
        <f t="shared" si="3"/>
        <v/>
      </c>
      <c r="Z50" t="str">
        <f t="shared" si="4"/>
        <v/>
      </c>
      <c r="AA50" t="str">
        <f t="shared" si="5"/>
        <v/>
      </c>
      <c r="AB50" t="str">
        <f t="shared" si="6"/>
        <v/>
      </c>
      <c r="AC50" t="str">
        <f t="shared" si="7"/>
        <v/>
      </c>
      <c r="AD50" t="str">
        <f t="shared" si="8"/>
        <v/>
      </c>
      <c r="AE50" t="str">
        <f t="shared" si="9"/>
        <v/>
      </c>
      <c r="AF50" t="str">
        <f t="shared" si="10"/>
        <v/>
      </c>
      <c r="AG50" t="str">
        <f t="shared" si="11"/>
        <v/>
      </c>
      <c r="AH50" t="str">
        <f t="shared" si="12"/>
        <v/>
      </c>
      <c r="AI50"/>
      <c r="AJ50"/>
      <c r="AK50"/>
      <c r="AL50"/>
    </row>
    <row r="51" spans="1:80" ht="46.5">
      <c r="A51" s="2257"/>
      <c r="C51" s="42">
        <f>+PP!B69</f>
        <v>46</v>
      </c>
      <c r="D51" s="229" t="str">
        <f>+PP!C69</f>
        <v>TENTACULO C/B S/V SR 1.0-2.0 Kg/pza</v>
      </c>
      <c r="E51" s="2138"/>
      <c r="F51" s="2137"/>
      <c r="G51" s="2137"/>
      <c r="H51" s="2137"/>
      <c r="I51" s="2137"/>
      <c r="J51" s="2137"/>
      <c r="K51" s="2137"/>
      <c r="L51" s="2137"/>
      <c r="M51" s="2137"/>
      <c r="N51" s="2137"/>
      <c r="O51" s="2137"/>
      <c r="P51" s="2139"/>
      <c r="Q51" s="508">
        <f t="shared" si="20"/>
        <v>0</v>
      </c>
      <c r="R51" s="149">
        <f t="shared" si="0"/>
        <v>0</v>
      </c>
      <c r="S51" s="552">
        <f t="shared" si="19"/>
        <v>0</v>
      </c>
      <c r="T51" s="452"/>
      <c r="U51" s="1724"/>
      <c r="V51" s="1724"/>
      <c r="W51" s="1724" t="str">
        <f t="shared" si="1"/>
        <v/>
      </c>
      <c r="X51" s="1724" t="str">
        <f t="shared" si="2"/>
        <v/>
      </c>
      <c r="Y51" t="str">
        <f t="shared" si="3"/>
        <v/>
      </c>
      <c r="Z51" t="str">
        <f t="shared" si="4"/>
        <v/>
      </c>
      <c r="AA51" t="str">
        <f t="shared" si="5"/>
        <v/>
      </c>
      <c r="AB51" t="str">
        <f t="shared" si="6"/>
        <v/>
      </c>
      <c r="AC51" t="str">
        <f t="shared" si="7"/>
        <v/>
      </c>
      <c r="AD51" t="str">
        <f t="shared" si="8"/>
        <v/>
      </c>
      <c r="AE51" t="str">
        <f t="shared" si="9"/>
        <v/>
      </c>
      <c r="AF51" t="str">
        <f t="shared" si="10"/>
        <v/>
      </c>
      <c r="AG51" t="str">
        <f t="shared" si="11"/>
        <v/>
      </c>
      <c r="AH51" t="str">
        <f t="shared" si="12"/>
        <v/>
      </c>
      <c r="AI51"/>
      <c r="AJ51"/>
      <c r="AK51"/>
      <c r="AL51"/>
    </row>
    <row r="52" spans="1:80" ht="47.25" thickBot="1">
      <c r="A52" s="2257"/>
      <c r="C52" s="42">
        <f>+PP!B70</f>
        <v>47</v>
      </c>
      <c r="D52" s="230" t="str">
        <f>+PP!C70</f>
        <v>TENTACULO C/B S/V SR 2 UP Kg/pza</v>
      </c>
      <c r="E52" s="2898"/>
      <c r="F52" s="2899"/>
      <c r="G52" s="2899"/>
      <c r="H52" s="2899"/>
      <c r="I52" s="2899"/>
      <c r="J52" s="2899"/>
      <c r="K52" s="2899"/>
      <c r="L52" s="2899"/>
      <c r="M52" s="2899"/>
      <c r="N52" s="2899"/>
      <c r="O52" s="2899"/>
      <c r="P52" s="2900"/>
      <c r="Q52" s="509">
        <f t="shared" si="20"/>
        <v>0</v>
      </c>
      <c r="R52" s="150">
        <f t="shared" si="0"/>
        <v>0</v>
      </c>
      <c r="S52" s="507">
        <f t="shared" si="19"/>
        <v>0</v>
      </c>
      <c r="T52" s="452"/>
      <c r="U52" s="1724"/>
      <c r="V52" s="1724"/>
      <c r="W52" s="1724" t="str">
        <f t="shared" si="1"/>
        <v/>
      </c>
      <c r="X52" s="1724" t="str">
        <f t="shared" si="2"/>
        <v/>
      </c>
      <c r="Y52" t="str">
        <f t="shared" si="3"/>
        <v/>
      </c>
      <c r="Z52" t="str">
        <f t="shared" si="4"/>
        <v/>
      </c>
      <c r="AA52" t="str">
        <f t="shared" si="5"/>
        <v/>
      </c>
      <c r="AB52" t="str">
        <f t="shared" si="6"/>
        <v/>
      </c>
      <c r="AC52" t="str">
        <f t="shared" si="7"/>
        <v/>
      </c>
      <c r="AD52" t="str">
        <f t="shared" si="8"/>
        <v/>
      </c>
      <c r="AE52" t="str">
        <f t="shared" si="9"/>
        <v/>
      </c>
      <c r="AF52" t="str">
        <f t="shared" si="10"/>
        <v/>
      </c>
      <c r="AG52" t="str">
        <f t="shared" si="11"/>
        <v/>
      </c>
      <c r="AH52" t="str">
        <f t="shared" si="12"/>
        <v/>
      </c>
      <c r="AI52"/>
      <c r="AJ52"/>
      <c r="AK52"/>
      <c r="AL52"/>
    </row>
    <row r="53" spans="1:80" ht="47.25" thickBot="1">
      <c r="A53" s="2257"/>
      <c r="C53" s="40">
        <f>+PP!B71</f>
        <v>48</v>
      </c>
      <c r="D53" s="538" t="str">
        <f>+PP!C71</f>
        <v>TUBO ALETA 500-1000 g/pza</v>
      </c>
      <c r="E53" s="2236"/>
      <c r="F53" s="2237"/>
      <c r="G53" s="2237"/>
      <c r="H53" s="2237"/>
      <c r="I53" s="2237"/>
      <c r="J53" s="2237"/>
      <c r="K53" s="2237"/>
      <c r="L53" s="2237"/>
      <c r="M53" s="2237"/>
      <c r="N53" s="2237"/>
      <c r="O53" s="2237"/>
      <c r="P53" s="2238"/>
      <c r="Q53" s="969">
        <f>SUM(E53:P53)</f>
        <v>0</v>
      </c>
      <c r="R53" s="957">
        <f t="shared" si="0"/>
        <v>0</v>
      </c>
      <c r="S53" s="958">
        <f t="shared" si="19"/>
        <v>0</v>
      </c>
      <c r="T53" s="452"/>
      <c r="U53" s="1724"/>
      <c r="V53" s="1724"/>
      <c r="W53" s="1724" t="str">
        <f t="shared" si="1"/>
        <v/>
      </c>
      <c r="X53" s="1724" t="str">
        <f t="shared" si="2"/>
        <v/>
      </c>
      <c r="Y53" t="str">
        <f t="shared" si="3"/>
        <v/>
      </c>
      <c r="Z53" t="str">
        <f t="shared" si="4"/>
        <v/>
      </c>
      <c r="AA53" t="str">
        <f t="shared" si="5"/>
        <v/>
      </c>
      <c r="AB53" t="str">
        <f t="shared" si="6"/>
        <v/>
      </c>
      <c r="AC53" t="str">
        <f t="shared" si="7"/>
        <v/>
      </c>
      <c r="AD53" t="str">
        <f t="shared" si="8"/>
        <v/>
      </c>
      <c r="AE53" t="str">
        <f t="shared" si="9"/>
        <v/>
      </c>
      <c r="AF53" t="str">
        <f t="shared" si="10"/>
        <v/>
      </c>
      <c r="AG53" t="str">
        <f t="shared" si="11"/>
        <v/>
      </c>
      <c r="AH53" t="str">
        <f t="shared" si="12"/>
        <v/>
      </c>
      <c r="AI53"/>
      <c r="AJ53"/>
      <c r="AK53"/>
      <c r="AL53"/>
    </row>
    <row r="54" spans="1:80" ht="70.150000000000006" customHeight="1" thickBot="1">
      <c r="A54" s="2257"/>
      <c r="D54" s="953" t="s">
        <v>38</v>
      </c>
      <c r="E54" s="2135">
        <f t="shared" ref="E54:S54" si="22">SUM(E6:E53)</f>
        <v>0</v>
      </c>
      <c r="F54" s="2136">
        <f t="shared" si="22"/>
        <v>0</v>
      </c>
      <c r="G54" s="2136">
        <f t="shared" si="22"/>
        <v>0</v>
      </c>
      <c r="H54" s="2136">
        <f t="shared" si="22"/>
        <v>0</v>
      </c>
      <c r="I54" s="2136">
        <f t="shared" si="22"/>
        <v>0</v>
      </c>
      <c r="J54" s="2136">
        <f t="shared" si="22"/>
        <v>0</v>
      </c>
      <c r="K54" s="2136">
        <f t="shared" si="22"/>
        <v>0</v>
      </c>
      <c r="L54" s="2136">
        <f t="shared" si="22"/>
        <v>0</v>
      </c>
      <c r="M54" s="2136">
        <f t="shared" si="22"/>
        <v>0</v>
      </c>
      <c r="N54" s="2136">
        <f t="shared" si="22"/>
        <v>0</v>
      </c>
      <c r="O54" s="2136">
        <f t="shared" si="22"/>
        <v>0</v>
      </c>
      <c r="P54" s="2136">
        <f t="shared" si="22"/>
        <v>0</v>
      </c>
      <c r="Q54" s="2901">
        <f t="shared" si="22"/>
        <v>0</v>
      </c>
      <c r="R54" s="2906">
        <f t="shared" si="22"/>
        <v>0</v>
      </c>
      <c r="S54" s="2902">
        <f t="shared" si="22"/>
        <v>0</v>
      </c>
      <c r="T54" s="452"/>
      <c r="U54" s="1724"/>
      <c r="V54" s="1724"/>
      <c r="W54" s="1724"/>
      <c r="X54" s="172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80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R55" s="452"/>
      <c r="S55" s="452"/>
      <c r="T55" s="452"/>
      <c r="U55" s="452"/>
      <c r="V55" s="452"/>
      <c r="W55" s="452"/>
      <c r="X55" s="452"/>
    </row>
    <row r="56" spans="1:80" ht="46.5" thickBot="1">
      <c r="D56" s="46" t="s">
        <v>117</v>
      </c>
      <c r="E56" s="2258" t="s">
        <v>114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535"/>
      <c r="R56" s="452"/>
      <c r="S56" s="452"/>
      <c r="T56" s="452"/>
      <c r="U56" s="452"/>
      <c r="V56" s="452"/>
      <c r="W56" s="452"/>
      <c r="X56" s="452"/>
      <c r="CA56" s="33" t="s">
        <v>77</v>
      </c>
      <c r="CB56" s="31" t="str">
        <f>IFERROR(IF(PP!K20="","",S54/PP!K20*100),"")</f>
        <v/>
      </c>
    </row>
    <row r="57" spans="1:80" ht="30.75" thickBot="1">
      <c r="H57" s="30"/>
      <c r="I57" s="30"/>
      <c r="J57" s="30"/>
      <c r="K57" s="30"/>
      <c r="L57" s="30"/>
      <c r="M57" s="30" t="s">
        <v>367</v>
      </c>
      <c r="N57" s="30"/>
      <c r="O57" s="30"/>
      <c r="R57" s="452"/>
      <c r="S57" s="452"/>
      <c r="T57" s="452"/>
      <c r="U57" s="452"/>
      <c r="V57" s="452"/>
      <c r="W57" s="452"/>
      <c r="X57" s="452"/>
    </row>
    <row r="58" spans="1:80" ht="46.5" thickBot="1">
      <c r="D58" s="46" t="s">
        <v>374</v>
      </c>
      <c r="E58" s="2536">
        <v>0.51736111111111116</v>
      </c>
      <c r="F58" s="2259"/>
      <c r="G58" s="2259"/>
      <c r="H58" s="2259"/>
      <c r="I58" s="2259"/>
      <c r="J58" s="2259"/>
      <c r="K58" s="2259"/>
      <c r="L58" s="2259"/>
      <c r="M58" s="2259"/>
      <c r="N58" s="2259"/>
      <c r="O58" s="2259"/>
      <c r="P58" s="2535"/>
      <c r="R58" s="452"/>
      <c r="S58" s="452"/>
      <c r="T58" s="452"/>
      <c r="U58" s="452"/>
      <c r="V58" s="452"/>
      <c r="W58" s="452"/>
      <c r="X58" s="452"/>
      <c r="CA58" s="33"/>
      <c r="CB58" s="31"/>
    </row>
    <row r="59" spans="1:80" ht="30.75" thickBot="1">
      <c r="H59" s="30"/>
      <c r="I59" s="30"/>
      <c r="J59" s="30"/>
      <c r="K59" s="30"/>
      <c r="L59" s="30"/>
      <c r="M59" s="30"/>
      <c r="N59" s="30"/>
      <c r="O59" s="30"/>
      <c r="P59" s="30"/>
      <c r="R59" s="452"/>
      <c r="S59" s="452"/>
      <c r="T59" s="452"/>
      <c r="U59" s="452"/>
      <c r="V59" s="452"/>
      <c r="W59" s="452"/>
      <c r="X59" s="452"/>
    </row>
    <row r="60" spans="1:80" ht="33.950000000000003" customHeight="1" thickTop="1" thickBot="1">
      <c r="D60" s="2529" t="s">
        <v>657</v>
      </c>
      <c r="E60" s="2530"/>
      <c r="F60" s="2530"/>
      <c r="G60" s="2530"/>
      <c r="H60" s="2530"/>
      <c r="I60" s="2530"/>
      <c r="J60" s="2530"/>
      <c r="K60" s="2531"/>
      <c r="L60"/>
      <c r="M60" s="2529" t="s">
        <v>604</v>
      </c>
      <c r="N60" s="2530"/>
      <c r="O60" s="2531"/>
      <c r="P60" s="30"/>
      <c r="R60" s="452"/>
      <c r="S60" s="452"/>
      <c r="T60" s="452"/>
      <c r="U60" s="452"/>
      <c r="V60" s="452"/>
      <c r="W60" s="452"/>
      <c r="X60" s="452"/>
    </row>
    <row r="61" spans="1:80" ht="30.95" customHeight="1" thickTop="1">
      <c r="D61" s="2546" t="s">
        <v>15</v>
      </c>
      <c r="E61" s="2546"/>
      <c r="F61" s="2546"/>
      <c r="G61" s="2546"/>
      <c r="H61" s="1447" t="s">
        <v>186</v>
      </c>
      <c r="I61" s="1447" t="s">
        <v>666</v>
      </c>
      <c r="J61" s="1447" t="s">
        <v>667</v>
      </c>
      <c r="K61" s="1462" t="s">
        <v>502</v>
      </c>
      <c r="L61"/>
      <c r="M61" s="2534" t="s">
        <v>658</v>
      </c>
      <c r="N61" s="2534"/>
      <c r="O61" s="1448">
        <v>6000</v>
      </c>
      <c r="P61" s="30"/>
      <c r="Q61" s="30"/>
      <c r="R61" s="452"/>
      <c r="S61" s="452"/>
      <c r="T61" s="452"/>
      <c r="U61" s="452"/>
      <c r="V61" s="452"/>
      <c r="W61" s="452"/>
      <c r="X61" s="452"/>
    </row>
    <row r="62" spans="1:80" ht="30.95" customHeight="1">
      <c r="D62" s="2522">
        <v>1</v>
      </c>
      <c r="E62" s="2522"/>
      <c r="F62" s="2522"/>
      <c r="G62" s="2522"/>
      <c r="H62" s="1449" t="str">
        <f>+'T1'!E62</f>
        <v xml:space="preserve">ANDRES </v>
      </c>
      <c r="I62" s="1443"/>
      <c r="J62" s="1443"/>
      <c r="K62" s="1484">
        <f>SUM(I62:J62)</f>
        <v>0</v>
      </c>
      <c r="L62"/>
      <c r="M62" s="2525" t="s">
        <v>8</v>
      </c>
      <c r="N62" s="2525"/>
      <c r="O62" s="1445">
        <f>K73</f>
        <v>0</v>
      </c>
      <c r="R62" s="452"/>
      <c r="S62" s="452"/>
      <c r="T62" s="452"/>
      <c r="U62" s="452"/>
      <c r="V62" s="452"/>
      <c r="W62" s="452"/>
      <c r="X62" s="452"/>
    </row>
    <row r="63" spans="1:80" ht="30.95" customHeight="1">
      <c r="D63" s="2522">
        <v>2</v>
      </c>
      <c r="E63" s="2522"/>
      <c r="F63" s="2522"/>
      <c r="G63" s="2522"/>
      <c r="H63" s="1449" t="str">
        <f>+'T1'!E63</f>
        <v xml:space="preserve">FLOR </v>
      </c>
      <c r="I63" s="1444"/>
      <c r="J63" s="1444"/>
      <c r="K63" s="1484">
        <f>SUM(I63:J63)</f>
        <v>0</v>
      </c>
      <c r="L63"/>
      <c r="M63" s="2525" t="s">
        <v>659</v>
      </c>
      <c r="N63" s="2525"/>
      <c r="O63" s="1445">
        <f>O61-O62</f>
        <v>6000</v>
      </c>
    </row>
    <row r="64" spans="1:80" ht="30.95" customHeight="1">
      <c r="D64" s="2522">
        <v>3</v>
      </c>
      <c r="E64" s="2522"/>
      <c r="F64" s="2522"/>
      <c r="G64" s="2522"/>
      <c r="H64" s="1449" t="str">
        <f>+'T1'!E64</f>
        <v>HANNOY</v>
      </c>
      <c r="I64" s="1443"/>
      <c r="J64" s="1443"/>
      <c r="K64" s="1484">
        <f t="shared" ref="K64:K72" si="23">SUM(I64:J64)</f>
        <v>0</v>
      </c>
      <c r="L64"/>
      <c r="M64" s="2525" t="s">
        <v>449</v>
      </c>
      <c r="N64" s="2525"/>
      <c r="O64" s="1446" t="str">
        <f>IF(O63&lt;0,"SOBRA",IF(O63&gt;0,"FALTA","OK"))</f>
        <v>FALTA</v>
      </c>
    </row>
    <row r="65" spans="4:15" ht="30.95" customHeight="1">
      <c r="D65" s="2522">
        <v>4</v>
      </c>
      <c r="E65" s="2522"/>
      <c r="F65" s="2522"/>
      <c r="G65" s="2522"/>
      <c r="H65" s="1449" t="str">
        <f>+'T1'!E65</f>
        <v>CHERLITA</v>
      </c>
      <c r="I65" s="1443"/>
      <c r="J65" s="1443"/>
      <c r="K65" s="1484">
        <f t="shared" si="23"/>
        <v>0</v>
      </c>
      <c r="L65"/>
      <c r="M65" s="28"/>
      <c r="N65" s="28"/>
      <c r="O65" s="28"/>
    </row>
    <row r="66" spans="4:15" ht="33.950000000000003" customHeight="1">
      <c r="D66" s="2522">
        <v>5</v>
      </c>
      <c r="E66" s="2522"/>
      <c r="F66" s="2522"/>
      <c r="G66" s="2522"/>
      <c r="H66" s="1449" t="str">
        <f>+'T1'!E66</f>
        <v>CHARLY</v>
      </c>
      <c r="I66" s="1443"/>
      <c r="J66" s="1443"/>
      <c r="K66" s="1484">
        <f t="shared" si="23"/>
        <v>0</v>
      </c>
      <c r="L66"/>
      <c r="M66" s="2249" t="s">
        <v>660</v>
      </c>
      <c r="N66" s="2250"/>
      <c r="O66" s="2250"/>
    </row>
    <row r="67" spans="4:15" ht="33.950000000000003" customHeight="1">
      <c r="D67" s="2522">
        <v>6</v>
      </c>
      <c r="E67" s="2522"/>
      <c r="F67" s="2522"/>
      <c r="G67" s="2522"/>
      <c r="H67" s="1449" t="str">
        <f>+'T1'!E67</f>
        <v>POLANCO</v>
      </c>
      <c r="I67" s="1443"/>
      <c r="J67" s="1443"/>
      <c r="K67" s="1484">
        <f t="shared" si="23"/>
        <v>0</v>
      </c>
      <c r="L67"/>
      <c r="M67" s="2250" t="s">
        <v>665</v>
      </c>
      <c r="N67" s="2250"/>
      <c r="O67" s="2250"/>
    </row>
    <row r="68" spans="4:15" ht="33.950000000000003" customHeight="1">
      <c r="D68" s="2522">
        <v>7</v>
      </c>
      <c r="E68" s="2522"/>
      <c r="F68" s="2522"/>
      <c r="G68" s="2522"/>
      <c r="H68" s="1449" t="str">
        <f>+'T1'!E68</f>
        <v>ELIANA</v>
      </c>
      <c r="I68" s="1443"/>
      <c r="J68" s="1443"/>
      <c r="K68" s="1484">
        <f t="shared" si="23"/>
        <v>0</v>
      </c>
      <c r="L68"/>
      <c r="M68" s="1461"/>
      <c r="N68" s="1461"/>
      <c r="O68" s="1461"/>
    </row>
    <row r="69" spans="4:15" ht="33.950000000000003" customHeight="1">
      <c r="D69" s="2522">
        <v>8</v>
      </c>
      <c r="E69" s="2522"/>
      <c r="F69" s="2522"/>
      <c r="G69" s="2522"/>
      <c r="H69" s="1449" t="str">
        <f>+'T1'!E69</f>
        <v>ALENET</v>
      </c>
      <c r="I69" s="1443"/>
      <c r="J69" s="1443"/>
      <c r="K69" s="1484">
        <f t="shared" si="23"/>
        <v>0</v>
      </c>
      <c r="L69"/>
      <c r="M69" s="1461"/>
      <c r="N69" s="1461"/>
      <c r="O69" s="1461"/>
    </row>
    <row r="70" spans="4:15" ht="30.95" customHeight="1">
      <c r="D70" s="2522">
        <v>9</v>
      </c>
      <c r="E70" s="2522"/>
      <c r="F70" s="2522"/>
      <c r="G70" s="2522"/>
      <c r="H70" s="1449" t="str">
        <f>+'T1'!E70</f>
        <v>ERIKA</v>
      </c>
      <c r="I70" s="1443"/>
      <c r="J70" s="1443"/>
      <c r="K70" s="1484">
        <f t="shared" si="23"/>
        <v>0</v>
      </c>
      <c r="L70" s="28"/>
      <c r="M70" s="28"/>
      <c r="N70" s="28"/>
      <c r="O70" s="28"/>
    </row>
    <row r="71" spans="4:15" ht="30.95" customHeight="1">
      <c r="D71" s="2522">
        <v>10</v>
      </c>
      <c r="E71" s="2522"/>
      <c r="F71" s="2522"/>
      <c r="G71" s="2522"/>
      <c r="H71" s="1449" t="str">
        <f>+'T1'!E71</f>
        <v>MARILU</v>
      </c>
      <c r="I71" s="1443"/>
      <c r="J71" s="1443"/>
      <c r="K71" s="1484">
        <f t="shared" si="23"/>
        <v>0</v>
      </c>
      <c r="L71" s="28"/>
      <c r="M71" s="28"/>
      <c r="N71" s="28"/>
      <c r="O71" s="28"/>
    </row>
    <row r="72" spans="4:15" ht="30.95" customHeight="1">
      <c r="D72" s="2049"/>
      <c r="E72" s="2049"/>
      <c r="F72" s="2049"/>
      <c r="G72" s="2049"/>
      <c r="H72" s="1449" t="str">
        <f>+'T1'!E72</f>
        <v>WALLDO</v>
      </c>
      <c r="I72" s="1443"/>
      <c r="J72" s="1443"/>
      <c r="K72" s="1484">
        <f t="shared" si="23"/>
        <v>0</v>
      </c>
      <c r="L72" s="28"/>
      <c r="M72" s="28"/>
      <c r="N72" s="28"/>
      <c r="O72" s="28"/>
    </row>
    <row r="73" spans="4:15" ht="30.95" customHeight="1">
      <c r="D73" s="2545" t="s">
        <v>3</v>
      </c>
      <c r="E73" s="2545"/>
      <c r="F73" s="2545"/>
      <c r="G73" s="2545"/>
      <c r="H73" s="2545"/>
      <c r="I73" s="1445">
        <f>SUM(I62:I72)</f>
        <v>0</v>
      </c>
      <c r="J73" s="1445">
        <f>SUM(J62:J72)</f>
        <v>0</v>
      </c>
      <c r="K73" s="1445">
        <f>SUM(K62:K72)</f>
        <v>0</v>
      </c>
      <c r="L73" s="28"/>
      <c r="M73" s="28"/>
      <c r="N73" s="28"/>
      <c r="O73" s="28"/>
    </row>
    <row r="74" spans="4:15"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</row>
    <row r="75" spans="4:15"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</row>
    <row r="76" spans="4:15"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</row>
    <row r="77" spans="4:15"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</row>
  </sheetData>
  <sheetProtection autoFilter="0"/>
  <autoFilter ref="D5:D54" xr:uid="{007A3EE8-6A7E-471D-9AFB-4C05B4280418}"/>
  <mergeCells count="30">
    <mergeCell ref="AP28:AQ28"/>
    <mergeCell ref="AR28:AS28"/>
    <mergeCell ref="U4:AM4"/>
    <mergeCell ref="E4:P4"/>
    <mergeCell ref="AP4:AS4"/>
    <mergeCell ref="C2:D2"/>
    <mergeCell ref="E2:P2"/>
    <mergeCell ref="A5:A54"/>
    <mergeCell ref="E56:P56"/>
    <mergeCell ref="E58:P58"/>
    <mergeCell ref="M60:O60"/>
    <mergeCell ref="D60:K60"/>
    <mergeCell ref="D68:G68"/>
    <mergeCell ref="D69:G69"/>
    <mergeCell ref="D65:G65"/>
    <mergeCell ref="D66:G66"/>
    <mergeCell ref="D67:G67"/>
    <mergeCell ref="D61:G61"/>
    <mergeCell ref="D62:G62"/>
    <mergeCell ref="D63:G63"/>
    <mergeCell ref="D64:G64"/>
    <mergeCell ref="D73:H73"/>
    <mergeCell ref="M61:N61"/>
    <mergeCell ref="M62:N62"/>
    <mergeCell ref="M63:N63"/>
    <mergeCell ref="M64:N64"/>
    <mergeCell ref="M66:O66"/>
    <mergeCell ref="M67:O67"/>
    <mergeCell ref="D70:G70"/>
    <mergeCell ref="D71:G71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6" fitToWidth="0" orientation="landscape" r:id="rId1"/>
  <ignoredErrors>
    <ignoredError sqref="Q8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7DE8E-91E4-48E6-A71A-DD3C5D55405E}">
  <sheetPr codeName="Hoja14">
    <tabColor rgb="FFFF0000"/>
    <pageSetUpPr fitToPage="1"/>
  </sheetPr>
  <dimension ref="A1:CB77"/>
  <sheetViews>
    <sheetView topLeftCell="B1" zoomScale="55" zoomScaleNormal="55" workbookViewId="0">
      <pane ySplit="5" topLeftCell="A10" activePane="bottomLeft" state="frozen"/>
      <selection activeCell="C32" sqref="C32"/>
      <selection pane="bottomLeft" activeCell="R30" sqref="R30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100.85546875" style="26" customWidth="1"/>
    <col min="5" max="7" width="13.42578125" style="26" customWidth="1"/>
    <col min="8" max="8" width="15" style="26" customWidth="1"/>
    <col min="9" max="9" width="15.5703125" style="26" customWidth="1"/>
    <col min="10" max="11" width="13.28515625" style="26" customWidth="1"/>
    <col min="12" max="12" width="12.7109375" style="26" customWidth="1"/>
    <col min="13" max="14" width="15.5703125" style="26" customWidth="1"/>
    <col min="15" max="15" width="13.7109375" style="26" customWidth="1"/>
    <col min="16" max="16" width="9.7109375" style="26" bestFit="1" customWidth="1"/>
    <col min="17" max="17" width="30.85546875" style="26" customWidth="1"/>
    <col min="18" max="18" width="42.7109375" style="26" customWidth="1"/>
    <col min="19" max="19" width="30.85546875" style="26" customWidth="1"/>
    <col min="20" max="20" width="18.140625" style="26" customWidth="1"/>
    <col min="21" max="21" width="14.7109375" style="26" bestFit="1" customWidth="1"/>
    <col min="22" max="22" width="94.140625" style="26" bestFit="1" customWidth="1"/>
    <col min="23" max="24" width="8.7109375" style="1544" customWidth="1"/>
    <col min="25" max="34" width="8.7109375" style="26" customWidth="1"/>
    <col min="35" max="35" width="21.5703125" style="26" customWidth="1"/>
    <col min="36" max="36" width="20.140625" style="26" customWidth="1"/>
    <col min="37" max="37" width="16.5703125" style="26" customWidth="1"/>
    <col min="38" max="38" width="31.28515625" style="26" customWidth="1"/>
    <col min="39" max="39" width="17" style="26" customWidth="1"/>
    <col min="40" max="41" width="13.85546875" style="26" customWidth="1"/>
    <col min="42" max="42" width="6.42578125" style="26" customWidth="1"/>
    <col min="43" max="43" width="69.42578125" style="26" customWidth="1"/>
    <col min="44" max="44" width="23" style="26" customWidth="1"/>
    <col min="45" max="45" width="18.28515625" style="26" customWidth="1"/>
    <col min="46" max="76" width="13.85546875" style="26" customWidth="1"/>
    <col min="77" max="77" width="12.140625" style="26" bestFit="1" customWidth="1"/>
    <col min="78" max="80" width="28.28515625" style="26" customWidth="1"/>
    <col min="81" max="16384" width="11.42578125" style="26"/>
  </cols>
  <sheetData>
    <row r="1" spans="1:50" ht="45.75" hidden="1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7"/>
      <c r="R1" s="37"/>
      <c r="S1" s="37"/>
      <c r="T1" s="37"/>
      <c r="U1" s="37"/>
      <c r="V1" s="37"/>
      <c r="W1" s="1694"/>
      <c r="X1" s="1694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</row>
    <row r="2" spans="1:50" ht="46.5" hidden="1" thickBot="1">
      <c r="B2" s="38"/>
      <c r="C2" s="2266" t="s">
        <v>41</v>
      </c>
      <c r="D2" s="2267"/>
      <c r="E2" s="2502" t="s">
        <v>683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70"/>
      <c r="Q2" s="1138">
        <f>464+26+100</f>
        <v>590</v>
      </c>
      <c r="R2" s="1726"/>
      <c r="S2" s="1726"/>
      <c r="T2" s="1716"/>
      <c r="U2" s="1716"/>
      <c r="V2" s="1716"/>
      <c r="W2" s="1716"/>
      <c r="X2" s="1716"/>
      <c r="Y2" s="38"/>
      <c r="Z2" s="38"/>
      <c r="AA2" s="38"/>
      <c r="AB2" s="38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</row>
    <row r="3" spans="1:50" ht="17.25" thickBot="1">
      <c r="C3" s="28"/>
      <c r="R3" s="452"/>
      <c r="S3" s="452"/>
      <c r="T3" s="452"/>
      <c r="U3" s="452"/>
      <c r="V3" s="452"/>
      <c r="W3" s="452"/>
      <c r="X3" s="452"/>
      <c r="AV3" s="28"/>
      <c r="AW3" s="28"/>
      <c r="AX3" s="28"/>
    </row>
    <row r="4" spans="1:50" ht="38.25" customHeight="1" thickBot="1">
      <c r="C4" s="28"/>
      <c r="E4" s="2551" t="s">
        <v>112</v>
      </c>
      <c r="F4" s="2551"/>
      <c r="G4" s="2551"/>
      <c r="H4" s="2551"/>
      <c r="I4" s="2551"/>
      <c r="J4" s="2551"/>
      <c r="K4" s="2551"/>
      <c r="L4" s="2551"/>
      <c r="M4" s="2551"/>
      <c r="N4" s="2551"/>
      <c r="O4" s="2551"/>
      <c r="P4" s="2551"/>
      <c r="R4" s="452"/>
      <c r="S4" s="452"/>
      <c r="T4" s="452"/>
      <c r="U4" s="2547" t="s">
        <v>504</v>
      </c>
      <c r="V4" s="2547"/>
      <c r="W4" s="2547"/>
      <c r="X4" s="2547"/>
      <c r="Y4" s="2548"/>
      <c r="Z4" s="2549"/>
      <c r="AA4" s="2549"/>
      <c r="AB4" s="2549"/>
      <c r="AC4" s="2549"/>
      <c r="AD4" s="2549"/>
      <c r="AE4" s="2549"/>
      <c r="AF4" s="2549"/>
      <c r="AG4" s="2549"/>
      <c r="AH4" s="2549"/>
      <c r="AI4" s="2549"/>
      <c r="AJ4" s="2549"/>
      <c r="AK4" s="2549"/>
      <c r="AL4" s="2549"/>
      <c r="AM4" s="2550"/>
      <c r="AP4" s="2552" t="s">
        <v>511</v>
      </c>
      <c r="AQ4" s="2553"/>
      <c r="AR4" s="2553"/>
      <c r="AS4" s="2554"/>
      <c r="AV4" s="28"/>
      <c r="AW4" s="28"/>
      <c r="AX4" s="28"/>
    </row>
    <row r="5" spans="1:50" ht="90.75" thickBot="1">
      <c r="A5" s="2257"/>
      <c r="C5" s="543" t="s">
        <v>15</v>
      </c>
      <c r="D5" s="952" t="s">
        <v>6</v>
      </c>
      <c r="E5" s="35" t="s">
        <v>349</v>
      </c>
      <c r="F5" s="36" t="s">
        <v>350</v>
      </c>
      <c r="G5" s="36" t="s">
        <v>351</v>
      </c>
      <c r="H5" s="36" t="s">
        <v>352</v>
      </c>
      <c r="I5" s="36" t="s">
        <v>353</v>
      </c>
      <c r="J5" s="36" t="s">
        <v>354</v>
      </c>
      <c r="K5" s="36" t="s">
        <v>355</v>
      </c>
      <c r="L5" s="36" t="s">
        <v>356</v>
      </c>
      <c r="M5" s="36" t="s">
        <v>357</v>
      </c>
      <c r="N5" s="36" t="s">
        <v>325</v>
      </c>
      <c r="O5" s="36" t="s">
        <v>326</v>
      </c>
      <c r="P5" s="48" t="s">
        <v>327</v>
      </c>
      <c r="Q5" s="49" t="s">
        <v>108</v>
      </c>
      <c r="R5" s="2229" t="s">
        <v>107</v>
      </c>
      <c r="S5" s="2911" t="s">
        <v>3</v>
      </c>
      <c r="T5" s="452"/>
      <c r="U5" s="1725" t="s">
        <v>15</v>
      </c>
      <c r="V5" s="1787" t="s">
        <v>6</v>
      </c>
      <c r="W5" s="1788" t="s">
        <v>349</v>
      </c>
      <c r="X5" s="1788" t="s">
        <v>350</v>
      </c>
      <c r="Y5" s="1788" t="s">
        <v>351</v>
      </c>
      <c r="Z5" s="1788" t="s">
        <v>352</v>
      </c>
      <c r="AA5" s="1788" t="s">
        <v>353</v>
      </c>
      <c r="AB5" s="1788" t="s">
        <v>354</v>
      </c>
      <c r="AC5" s="1788" t="s">
        <v>355</v>
      </c>
      <c r="AD5" s="1788" t="s">
        <v>356</v>
      </c>
      <c r="AE5" s="1788" t="s">
        <v>357</v>
      </c>
      <c r="AF5" s="1788" t="s">
        <v>325</v>
      </c>
      <c r="AG5" s="1789" t="s">
        <v>326</v>
      </c>
      <c r="AH5" s="1788" t="s">
        <v>327</v>
      </c>
      <c r="AI5" s="1788" t="s">
        <v>502</v>
      </c>
      <c r="AJ5" s="1788" t="s">
        <v>503</v>
      </c>
      <c r="AK5" s="1788" t="s">
        <v>8</v>
      </c>
      <c r="AL5" s="1788" t="s">
        <v>505</v>
      </c>
      <c r="AM5" s="1790" t="s">
        <v>511</v>
      </c>
      <c r="AP5" s="534" t="s">
        <v>15</v>
      </c>
      <c r="AQ5" s="535" t="s">
        <v>6</v>
      </c>
      <c r="AR5" s="535" t="s">
        <v>8</v>
      </c>
      <c r="AS5" s="536" t="s">
        <v>513</v>
      </c>
    </row>
    <row r="6" spans="1:50" ht="46.5">
      <c r="A6" s="2257"/>
      <c r="C6" s="157">
        <f>+PP!B24</f>
        <v>1</v>
      </c>
      <c r="D6" s="162" t="str">
        <f>+PP!C24</f>
        <v>ANILLAS BLANCAS SM ST</v>
      </c>
      <c r="E6" s="2230"/>
      <c r="F6" s="2231"/>
      <c r="G6" s="2231"/>
      <c r="H6" s="2231"/>
      <c r="I6" s="2231"/>
      <c r="J6" s="2231"/>
      <c r="K6" s="2231"/>
      <c r="L6" s="2231"/>
      <c r="M6" s="2231"/>
      <c r="N6" s="2231"/>
      <c r="O6" s="2231"/>
      <c r="P6" s="2232"/>
      <c r="Q6" s="514">
        <f>SUM(E6:P6)</f>
        <v>0</v>
      </c>
      <c r="R6" s="148">
        <f t="shared" ref="R6:R53" si="0">Q6/2</f>
        <v>0</v>
      </c>
      <c r="S6" s="490">
        <f>+Q6*10</f>
        <v>0</v>
      </c>
      <c r="T6" s="452"/>
      <c r="U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</f>
        <v/>
      </c>
      <c r="V6" s="1784" t="str">
        <f>IF($U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)</f>
        <v/>
      </c>
      <c r="W6" s="1713" t="str">
        <f t="shared" ref="W6:W53" si="1">IF($U6="","",IFERROR(IF(INDEX($E$6:$E$53,MATCH($U6,$C$6:$C$53,0))&gt;0,INDEX($E$6:$E$53,MATCH($U6,$C$6:$C$53,0)),""),""))</f>
        <v/>
      </c>
      <c r="X6" s="1713" t="str">
        <f t="shared" ref="X6:X53" si="2">IF($U6="","",IFERROR(IF(INDEX($F$6:$F$53,MATCH($U6,$C$6:$C$53,0))&gt;0,INDEX($F$6:$F$53,MATCH($U6,$C$6:$C$53,0)),""),""))</f>
        <v/>
      </c>
      <c r="Y6" s="1960" t="str">
        <f t="shared" ref="Y6:Y53" si="3">IF($U6="","",IFERROR(IF(INDEX($G$6:$G$53,MATCH($U6,$C$6:$C$53,0))&gt;0,INDEX($G$6:$G$53,MATCH($U6,$C$6:$C$53,0)),""),""))</f>
        <v/>
      </c>
      <c r="Z6" s="1690" t="str">
        <f t="shared" ref="Z6:Z53" si="4">IF($U6="","",IFERROR(IF(INDEX($H$6:$H$53,MATCH($U6,$C$6:$C$53,0))&gt;0,INDEX($H$6:$H$53,MATCH($U6,$C$6:$C$53,0)),""),""))</f>
        <v/>
      </c>
      <c r="AA6" s="1690" t="str">
        <f t="shared" ref="AA6:AA53" si="5">IF($U6="","",IFERROR(IF(INDEX($I$6:$I$53,MATCH($U6,$C$6:$C$53,0))&gt;0,INDEX($I$6:$I$53,MATCH($U6,$C$6:$C$53,0)),""),""))</f>
        <v/>
      </c>
      <c r="AB6" s="1690" t="str">
        <f t="shared" ref="AB6:AB53" si="6">IF($U6="","",IFERROR(IF(INDEX($J$6:$J$53,MATCH($U6,$C$6:$C$53,0))&gt;0,INDEX($J$6:$J$53,MATCH($U6,$C$6:$C$53,0)),""),""))</f>
        <v/>
      </c>
      <c r="AC6" s="1690" t="str">
        <f t="shared" ref="AC6:AC53" si="7">IF($U6="","",IFERROR(IF(INDEX($K$6:$K$53,MATCH($U6,$C$6:$C$53,0))&gt;0,INDEX($K$6:$K$53,MATCH($U6,$C$6:$C$53,0)),""),""))</f>
        <v/>
      </c>
      <c r="AD6" s="1690" t="str">
        <f t="shared" ref="AD6:AD53" si="8">IF($U6="","",IFERROR(IF(INDEX($L$6:$L$53,MATCH($U6,$C$6:$C$53,0))&gt;0,INDEX($L$6:$L$53,MATCH($U6,$C$6:$C$53,0)),""),""))</f>
        <v/>
      </c>
      <c r="AE6" s="1690" t="str">
        <f t="shared" ref="AE6:AE53" si="9">IF($U6="","",IFERROR(IF(INDEX($M$6:$M$53,MATCH($U6,$C$6:$C$53,0))&gt;0,INDEX($M$6:$M$53,MATCH($U6,$C$6:$C$53,0)),""),""))</f>
        <v/>
      </c>
      <c r="AF6" s="1690" t="str">
        <f t="shared" ref="AF6:AF53" si="10">IF($U6="","",IFERROR(IF(INDEX($N$6:$N$53,MATCH($U6,$C$6:$C$53,0))&gt;0,INDEX($N$6:$N$53,MATCH($U6,$C$6:$C$53,0)),""),""))</f>
        <v/>
      </c>
      <c r="AG6" s="1690" t="str">
        <f t="shared" ref="AG6:AG53" si="11">IF($U6="","",IFERROR(IF(INDEX($O$6:$O$53,MATCH($U6,$C$6:$C$53,0))&gt;0,INDEX($O$6:$O$53,MATCH($U6,$C$6:$C$53,0)),""),""))</f>
        <v/>
      </c>
      <c r="AH6" s="1690" t="str">
        <f t="shared" ref="AH6:AH53" si="12">IF($U6="","",IFERROR(IF(INDEX($P$6:$P$53,MATCH($U6,$C$6:$C$53,0))&gt;0,INDEX($P$6:$P$53,MATCH($U6,$C$6:$C$53,0)),""),""))</f>
        <v/>
      </c>
      <c r="AI6" s="1170" t="str">
        <f t="shared" ref="AI6:AI27" si="13">IF($U6="","",SUM($W6:$AH6))</f>
        <v/>
      </c>
      <c r="AJ6" s="1170" t="str">
        <f t="shared" ref="AJ6:AJ27" si="14">IF($U6="","",$AI6/2)</f>
        <v/>
      </c>
      <c r="AK6" s="1170" t="str">
        <f t="shared" ref="AK6:AK27" si="15">IF($U6="","",$AI6*10)</f>
        <v/>
      </c>
      <c r="AL6" s="1170" t="str">
        <f t="shared" ref="AL6:AL27" si="16">IF($U6="","",IF(MAX($W6:$AH6)&gt;50,"REVISIÓN: EXCEDE 50","OK"))</f>
        <v/>
      </c>
      <c r="AM6" s="1361" t="str">
        <f t="shared" ref="AM6:AM27" si="17">IF($U6="","",IF(MOD($AK6,20)=10,"SÍ","NO"))</f>
        <v/>
      </c>
      <c r="AP6" s="499" t="str">
        <f>IFERROR(INDEX($C$6:$C$53,_xlfn.AGGREGATE(15,6,(ROW($Q$6:$Q$53)-ROW($Q$6)+1)/(($Q$6:$Q$53&gt;0)*(MOD($S$6:$S$53,20)=10)),1)),"")</f>
        <v/>
      </c>
      <c r="AQ6" s="500" t="str">
        <f>IF($AP6="","",IFERROR(INDEX($D$6:$D$53,_xlfn.AGGREGATE(15,6,(ROW($Q$6:$Q$53)-ROW($Q$6)+1)/(($Q$6:$Q$53&gt;0)*(MOD($S$6:$S$53,20)=10)),1)),""))</f>
        <v/>
      </c>
      <c r="AR6" s="458" t="str">
        <f>IF($AP6="","",IFERROR(INDEX($S$6:$S$53,_xlfn.AGGREGATE(15,6,(ROW($Q$6:$Q$53)-ROW($Q$6)+1)/(($Q$6:$Q$53&gt;0)*(MOD($S$6:$S$53,20)=10)),1)),""))</f>
        <v/>
      </c>
      <c r="AS6" s="501" t="str">
        <f t="shared" ref="AS6:AS27" si="18">IF($AP6="","","10 KG")</f>
        <v/>
      </c>
    </row>
    <row r="7" spans="1:50" ht="46.5">
      <c r="A7" s="2257"/>
      <c r="C7" s="159">
        <f>+PP!B25</f>
        <v>2</v>
      </c>
      <c r="D7" s="164" t="str">
        <f>+PP!C25</f>
        <v>ANILLAS AMARILLAS SM ST</v>
      </c>
      <c r="E7" s="2138"/>
      <c r="F7" s="2137"/>
      <c r="G7" s="2137"/>
      <c r="H7" s="2137"/>
      <c r="I7" s="2137"/>
      <c r="J7" s="2137"/>
      <c r="K7" s="2137"/>
      <c r="L7" s="2137"/>
      <c r="M7" s="2137"/>
      <c r="N7" s="2137"/>
      <c r="O7" s="2137"/>
      <c r="P7" s="2139"/>
      <c r="Q7" s="508">
        <f>SUM(E7:P7)</f>
        <v>0</v>
      </c>
      <c r="R7" s="525">
        <f t="shared" si="0"/>
        <v>0</v>
      </c>
      <c r="S7" s="552">
        <f t="shared" ref="S7:S53" si="19">+Q7*10</f>
        <v>0</v>
      </c>
      <c r="T7" s="452"/>
      <c r="U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</f>
        <v/>
      </c>
      <c r="V7" s="1784" t="str">
        <f>IF($U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)</f>
        <v/>
      </c>
      <c r="W7" s="1713" t="str">
        <f t="shared" si="1"/>
        <v/>
      </c>
      <c r="X7" s="1713" t="str">
        <f t="shared" si="2"/>
        <v/>
      </c>
      <c r="Y7" s="1781" t="str">
        <f t="shared" si="3"/>
        <v/>
      </c>
      <c r="Z7" s="1691" t="str">
        <f t="shared" si="4"/>
        <v/>
      </c>
      <c r="AA7" s="1691" t="str">
        <f t="shared" si="5"/>
        <v/>
      </c>
      <c r="AB7" s="1691" t="str">
        <f t="shared" si="6"/>
        <v/>
      </c>
      <c r="AC7" s="1691" t="str">
        <f t="shared" si="7"/>
        <v/>
      </c>
      <c r="AD7" s="1691" t="str">
        <f t="shared" si="8"/>
        <v/>
      </c>
      <c r="AE7" s="1691" t="str">
        <f t="shared" si="9"/>
        <v/>
      </c>
      <c r="AF7" s="1691" t="str">
        <f t="shared" si="10"/>
        <v/>
      </c>
      <c r="AG7" s="1691" t="str">
        <f t="shared" si="11"/>
        <v/>
      </c>
      <c r="AH7" s="1691" t="str">
        <f t="shared" si="12"/>
        <v/>
      </c>
      <c r="AI7" s="1171" t="str">
        <f t="shared" si="13"/>
        <v/>
      </c>
      <c r="AJ7" s="1171" t="str">
        <f t="shared" si="14"/>
        <v/>
      </c>
      <c r="AK7" s="1171" t="str">
        <f t="shared" si="15"/>
        <v/>
      </c>
      <c r="AL7" s="1171" t="str">
        <f t="shared" si="16"/>
        <v/>
      </c>
      <c r="AM7" s="1362" t="str">
        <f t="shared" si="17"/>
        <v/>
      </c>
      <c r="AP7" s="499" t="str">
        <f>IFERROR(INDEX($C$6:$C$53,_xlfn.AGGREGATE(15,6,(ROW($Q$6:$Q$53)-ROW($Q$6)+1)/(($Q$6:$Q$53&gt;0)*(MOD($S$6:$S$53,20)=10)),2)),"")</f>
        <v/>
      </c>
      <c r="AQ7" s="500" t="str">
        <f>IF($AP7="","",IFERROR(INDEX($D$6:$D$53,_xlfn.AGGREGATE(15,6,(ROW($Q$6:$Q$53)-ROW($Q$6)+1)/(($Q$6:$Q$53&gt;0)*(MOD($S$6:$S$53,20)=10)),2)),""))</f>
        <v/>
      </c>
      <c r="AR7" s="458" t="str">
        <f>IF($AP7="","",IFERROR(INDEX($S$6:$S$53,_xlfn.AGGREGATE(15,6,(ROW($Q$6:$Q$53)-ROW($Q$6)+1)/(($Q$6:$Q$53&gt;0)*(MOD($S$6:$S$53,20)=10)),2)),""))</f>
        <v/>
      </c>
      <c r="AS7" s="501" t="str">
        <f t="shared" si="18"/>
        <v/>
      </c>
    </row>
    <row r="8" spans="1:50" ht="47.25" thickBot="1">
      <c r="A8" s="2257"/>
      <c r="C8" s="158">
        <f>+PP!B26</f>
        <v>3</v>
      </c>
      <c r="D8" s="163" t="str">
        <f>+PP!C26</f>
        <v>ANILLAS BLANCAS SM ST MEDIANA</v>
      </c>
      <c r="E8" s="2233"/>
      <c r="F8" s="2234"/>
      <c r="G8" s="2234"/>
      <c r="H8" s="2234"/>
      <c r="I8" s="2234"/>
      <c r="J8" s="2234"/>
      <c r="K8" s="2234"/>
      <c r="L8" s="2234"/>
      <c r="M8" s="2234"/>
      <c r="N8" s="2234"/>
      <c r="O8" s="2234"/>
      <c r="P8" s="2235"/>
      <c r="Q8" s="524">
        <f>SUM(F8:P8)</f>
        <v>0</v>
      </c>
      <c r="R8" s="150">
        <f t="shared" si="0"/>
        <v>0</v>
      </c>
      <c r="S8" s="507">
        <f t="shared" si="19"/>
        <v>0</v>
      </c>
      <c r="T8" s="452"/>
      <c r="U8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</f>
        <v/>
      </c>
      <c r="V8" s="1784" t="str">
        <f>IF($U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)</f>
        <v/>
      </c>
      <c r="W8" s="1713" t="str">
        <f t="shared" si="1"/>
        <v/>
      </c>
      <c r="X8" s="1713" t="str">
        <f t="shared" si="2"/>
        <v/>
      </c>
      <c r="Y8" s="1781" t="str">
        <f t="shared" si="3"/>
        <v/>
      </c>
      <c r="Z8" s="1691" t="str">
        <f t="shared" si="4"/>
        <v/>
      </c>
      <c r="AA8" s="1691" t="str">
        <f t="shared" si="5"/>
        <v/>
      </c>
      <c r="AB8" s="1691" t="str">
        <f t="shared" si="6"/>
        <v/>
      </c>
      <c r="AC8" s="1691" t="str">
        <f t="shared" si="7"/>
        <v/>
      </c>
      <c r="AD8" s="1691" t="str">
        <f t="shared" si="8"/>
        <v/>
      </c>
      <c r="AE8" s="1691" t="str">
        <f t="shared" si="9"/>
        <v/>
      </c>
      <c r="AF8" s="1691" t="str">
        <f t="shared" si="10"/>
        <v/>
      </c>
      <c r="AG8" s="1691" t="str">
        <f t="shared" si="11"/>
        <v/>
      </c>
      <c r="AH8" s="1691" t="str">
        <f t="shared" si="12"/>
        <v/>
      </c>
      <c r="AI8" s="1171" t="str">
        <f t="shared" si="13"/>
        <v/>
      </c>
      <c r="AJ8" s="1171" t="str">
        <f t="shared" si="14"/>
        <v/>
      </c>
      <c r="AK8" s="1171" t="str">
        <f t="shared" si="15"/>
        <v/>
      </c>
      <c r="AL8" s="1171" t="str">
        <f t="shared" si="16"/>
        <v/>
      </c>
      <c r="AM8" s="1362" t="str">
        <f t="shared" si="17"/>
        <v/>
      </c>
      <c r="AP8" s="499" t="str">
        <f>IFERROR(INDEX($C$6:$C$53,_xlfn.AGGREGATE(15,6,(ROW($Q$6:$Q$53)-ROW($Q$6)+1)/(($Q$6:$Q$53&gt;0)*(MOD($S$6:$S$53,20)=10)),3)),"")</f>
        <v/>
      </c>
      <c r="AQ8" s="500" t="str">
        <f>IF($AP8="","",IFERROR(INDEX($D$6:$D$53,_xlfn.AGGREGATE(15,6,(ROW($Q$6:$Q$53)-ROW($Q$6)+1)/(($Q$6:$Q$53&gt;0)*(MOD($S$6:$S$53,20)=10)),3)),""))</f>
        <v/>
      </c>
      <c r="AR8" s="458" t="str">
        <f>IF($AP8="","",IFERROR(INDEX($S$6:$S$53,_xlfn.AGGREGATE(15,6,(ROW($Q$6:$Q$53)-ROW($Q$6)+1)/(($Q$6:$Q$53&gt;0)*(MOD($S$6:$S$53,20)=10)),3)),""))</f>
        <v/>
      </c>
      <c r="AS8" s="501" t="str">
        <f t="shared" si="18"/>
        <v/>
      </c>
    </row>
    <row r="9" spans="1:50" ht="46.5">
      <c r="A9" s="2257"/>
      <c r="C9" s="157">
        <f>+PP!B27</f>
        <v>4</v>
      </c>
      <c r="D9" s="162" t="str">
        <f>+PP!C27</f>
        <v>ALETA FRESCA CORTE CRUZ</v>
      </c>
      <c r="E9" s="2230"/>
      <c r="F9" s="2231"/>
      <c r="G9" s="2231"/>
      <c r="H9" s="2231"/>
      <c r="I9" s="2231"/>
      <c r="J9" s="2231"/>
      <c r="K9" s="2231"/>
      <c r="L9" s="2231"/>
      <c r="M9" s="2231"/>
      <c r="N9" s="2231"/>
      <c r="O9" s="2231"/>
      <c r="P9" s="2232"/>
      <c r="Q9" s="514">
        <f t="shared" ref="Q9:Q52" si="20">SUM(E9:P9)</f>
        <v>0</v>
      </c>
      <c r="R9" s="148">
        <f t="shared" si="0"/>
        <v>0</v>
      </c>
      <c r="S9" s="490">
        <f t="shared" si="19"/>
        <v>0</v>
      </c>
      <c r="T9" s="452"/>
      <c r="U9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</f>
        <v/>
      </c>
      <c r="V9" s="1784" t="str">
        <f>IF($U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)</f>
        <v/>
      </c>
      <c r="W9" s="1713" t="str">
        <f t="shared" si="1"/>
        <v/>
      </c>
      <c r="X9" s="1713" t="str">
        <f t="shared" si="2"/>
        <v/>
      </c>
      <c r="Y9" s="1781" t="str">
        <f t="shared" si="3"/>
        <v/>
      </c>
      <c r="Z9" s="1691" t="str">
        <f t="shared" si="4"/>
        <v/>
      </c>
      <c r="AA9" s="1691" t="str">
        <f t="shared" si="5"/>
        <v/>
      </c>
      <c r="AB9" s="1691" t="str">
        <f t="shared" si="6"/>
        <v/>
      </c>
      <c r="AC9" s="1691" t="str">
        <f t="shared" si="7"/>
        <v/>
      </c>
      <c r="AD9" s="1691" t="str">
        <f t="shared" si="8"/>
        <v/>
      </c>
      <c r="AE9" s="1691" t="str">
        <f t="shared" si="9"/>
        <v/>
      </c>
      <c r="AF9" s="1691" t="str">
        <f t="shared" si="10"/>
        <v/>
      </c>
      <c r="AG9" s="1691" t="str">
        <f t="shared" si="11"/>
        <v/>
      </c>
      <c r="AH9" s="1691" t="str">
        <f t="shared" si="12"/>
        <v/>
      </c>
      <c r="AI9" s="1171" t="str">
        <f t="shared" si="13"/>
        <v/>
      </c>
      <c r="AJ9" s="1171" t="str">
        <f t="shared" si="14"/>
        <v/>
      </c>
      <c r="AK9" s="1171" t="str">
        <f t="shared" si="15"/>
        <v/>
      </c>
      <c r="AL9" s="1171" t="str">
        <f t="shared" si="16"/>
        <v/>
      </c>
      <c r="AM9" s="1362" t="str">
        <f t="shared" si="17"/>
        <v/>
      </c>
      <c r="AP9" s="499" t="str">
        <f>IFERROR(INDEX($C$6:$C$53,_xlfn.AGGREGATE(15,6,(ROW($Q$6:$Q$53)-ROW($Q$6)+1)/(($Q$6:$Q$53&gt;0)*(MOD($S$6:$S$53,20)=10)),4)),"")</f>
        <v/>
      </c>
      <c r="AQ9" s="500" t="str">
        <f>IF($AP9="","",IFERROR(INDEX($D$6:$D$53,_xlfn.AGGREGATE(15,6,(ROW($Q$6:$Q$53)-ROW($Q$6)+1)/(($Q$6:$Q$53&gt;0)*(MOD($S$6:$S$53,20)=10)),4)),""))</f>
        <v/>
      </c>
      <c r="AR9" s="458" t="str">
        <f>IF($AP9="","",IFERROR(INDEX($S$6:$S$53,_xlfn.AGGREGATE(15,6,(ROW($Q$6:$Q$53)-ROW($Q$6)+1)/(($Q$6:$Q$53&gt;0)*(MOD($S$6:$S$53,20)=10)),4)),""))</f>
        <v/>
      </c>
      <c r="AS9" s="501" t="str">
        <f t="shared" si="18"/>
        <v/>
      </c>
    </row>
    <row r="10" spans="1:50" ht="46.5">
      <c r="A10" s="2257"/>
      <c r="C10" s="159">
        <f>+PP!B28</f>
        <v>5</v>
      </c>
      <c r="D10" s="164" t="str">
        <f>+PP!C28</f>
        <v>ALETA ENTERA 100-500 g/pza</v>
      </c>
      <c r="E10" s="2138"/>
      <c r="F10" s="2137"/>
      <c r="G10" s="2137"/>
      <c r="H10" s="2137"/>
      <c r="I10" s="2137"/>
      <c r="J10" s="2137"/>
      <c r="K10" s="2137"/>
      <c r="L10" s="2137"/>
      <c r="M10" s="2137"/>
      <c r="N10" s="2137"/>
      <c r="O10" s="2137"/>
      <c r="P10" s="2139"/>
      <c r="Q10" s="508">
        <f t="shared" si="20"/>
        <v>0</v>
      </c>
      <c r="R10" s="149">
        <f t="shared" si="0"/>
        <v>0</v>
      </c>
      <c r="S10" s="552">
        <f t="shared" si="19"/>
        <v>0</v>
      </c>
      <c r="T10" s="452"/>
      <c r="U10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</f>
        <v/>
      </c>
      <c r="V10" s="1784" t="str">
        <f>IF($U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)</f>
        <v/>
      </c>
      <c r="W10" s="1713" t="str">
        <f t="shared" si="1"/>
        <v/>
      </c>
      <c r="X10" s="1713" t="str">
        <f t="shared" si="2"/>
        <v/>
      </c>
      <c r="Y10" s="1781" t="str">
        <f t="shared" si="3"/>
        <v/>
      </c>
      <c r="Z10" s="1691" t="str">
        <f t="shared" si="4"/>
        <v/>
      </c>
      <c r="AA10" s="1691" t="str">
        <f t="shared" si="5"/>
        <v/>
      </c>
      <c r="AB10" s="1691" t="str">
        <f t="shared" si="6"/>
        <v/>
      </c>
      <c r="AC10" s="1691" t="str">
        <f t="shared" si="7"/>
        <v/>
      </c>
      <c r="AD10" s="1691" t="str">
        <f t="shared" si="8"/>
        <v/>
      </c>
      <c r="AE10" s="1691" t="str">
        <f t="shared" si="9"/>
        <v/>
      </c>
      <c r="AF10" s="1691" t="str">
        <f t="shared" si="10"/>
        <v/>
      </c>
      <c r="AG10" s="1691" t="str">
        <f t="shared" si="11"/>
        <v/>
      </c>
      <c r="AH10" s="1691" t="str">
        <f t="shared" si="12"/>
        <v/>
      </c>
      <c r="AI10" s="1171" t="str">
        <f t="shared" si="13"/>
        <v/>
      </c>
      <c r="AJ10" s="1171" t="str">
        <f t="shared" si="14"/>
        <v/>
      </c>
      <c r="AK10" s="1171" t="str">
        <f t="shared" si="15"/>
        <v/>
      </c>
      <c r="AL10" s="1171" t="str">
        <f t="shared" si="16"/>
        <v/>
      </c>
      <c r="AM10" s="1362" t="str">
        <f t="shared" si="17"/>
        <v/>
      </c>
      <c r="AP10" s="499" t="str">
        <f>IFERROR(INDEX($C$6:$C$53,_xlfn.AGGREGATE(15,6,(ROW($Q$6:$Q$53)-ROW($Q$6)+1)/(($Q$6:$Q$53&gt;0)*(MOD($S$6:$S$53,20)=10)),5)),"")</f>
        <v/>
      </c>
      <c r="AQ10" s="500" t="str">
        <f>IF($AP10="","",IFERROR(INDEX($D$6:$D$53,_xlfn.AGGREGATE(15,6,(ROW($Q$6:$Q$53)-ROW($Q$6)+1)/(($Q$6:$Q$53&gt;0)*(MOD($S$6:$S$53,20)=10)),5)),""))</f>
        <v/>
      </c>
      <c r="AR10" s="458" t="str">
        <f>IF($AP10="","",IFERROR(INDEX($S$6:$S$53,_xlfn.AGGREGATE(15,6,(ROW($Q$6:$Q$53)-ROW($Q$6)+1)/(($Q$6:$Q$53&gt;0)*(MOD($S$6:$S$53,20)=10)),5)),""))</f>
        <v/>
      </c>
      <c r="AS10" s="501" t="str">
        <f t="shared" si="18"/>
        <v/>
      </c>
    </row>
    <row r="11" spans="1:50" ht="46.5">
      <c r="A11" s="2257"/>
      <c r="C11" s="159">
        <f>+PP!B29</f>
        <v>6</v>
      </c>
      <c r="D11" s="164" t="str">
        <f>+PP!C29</f>
        <v>ALETA ENTERA 500-1000 g/pza</v>
      </c>
      <c r="E11" s="2138"/>
      <c r="F11" s="2137"/>
      <c r="G11" s="2137"/>
      <c r="H11" s="2137"/>
      <c r="I11" s="2137"/>
      <c r="J11" s="2137"/>
      <c r="K11" s="2137"/>
      <c r="L11" s="2137"/>
      <c r="M11" s="2137"/>
      <c r="N11" s="2137"/>
      <c r="O11" s="2137"/>
      <c r="P11" s="2139"/>
      <c r="Q11" s="508">
        <f t="shared" si="20"/>
        <v>0</v>
      </c>
      <c r="R11" s="149">
        <f t="shared" si="0"/>
        <v>0</v>
      </c>
      <c r="S11" s="552">
        <f t="shared" si="19"/>
        <v>0</v>
      </c>
      <c r="T11" s="452"/>
      <c r="U11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</f>
        <v/>
      </c>
      <c r="V11" s="1784" t="str">
        <f>IF($U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)</f>
        <v/>
      </c>
      <c r="W11" s="1713" t="str">
        <f t="shared" si="1"/>
        <v/>
      </c>
      <c r="X11" s="1713" t="str">
        <f t="shared" si="2"/>
        <v/>
      </c>
      <c r="Y11" s="1781" t="str">
        <f t="shared" si="3"/>
        <v/>
      </c>
      <c r="Z11" s="1691" t="str">
        <f t="shared" si="4"/>
        <v/>
      </c>
      <c r="AA11" s="1691" t="str">
        <f t="shared" si="5"/>
        <v/>
      </c>
      <c r="AB11" s="1691" t="str">
        <f t="shared" si="6"/>
        <v/>
      </c>
      <c r="AC11" s="1691" t="str">
        <f t="shared" si="7"/>
        <v/>
      </c>
      <c r="AD11" s="1691" t="str">
        <f t="shared" si="8"/>
        <v/>
      </c>
      <c r="AE11" s="1691" t="str">
        <f t="shared" si="9"/>
        <v/>
      </c>
      <c r="AF11" s="1691" t="str">
        <f t="shared" si="10"/>
        <v/>
      </c>
      <c r="AG11" s="1691" t="str">
        <f t="shared" si="11"/>
        <v/>
      </c>
      <c r="AH11" s="1691" t="str">
        <f t="shared" si="12"/>
        <v/>
      </c>
      <c r="AI11" s="1171" t="str">
        <f t="shared" si="13"/>
        <v/>
      </c>
      <c r="AJ11" s="1171" t="str">
        <f t="shared" si="14"/>
        <v/>
      </c>
      <c r="AK11" s="1171" t="str">
        <f t="shared" si="15"/>
        <v/>
      </c>
      <c r="AL11" s="1171" t="str">
        <f t="shared" si="16"/>
        <v/>
      </c>
      <c r="AM11" s="1362" t="str">
        <f t="shared" si="17"/>
        <v/>
      </c>
      <c r="AP11" s="499" t="str">
        <f>IFERROR(INDEX($C$6:$C$53,_xlfn.AGGREGATE(15,6,(ROW($Q$6:$Q$53)-ROW($Q$6)+1)/(($Q$6:$Q$53&gt;0)*(MOD($S$6:$S$53,20)=10)),6)),"")</f>
        <v/>
      </c>
      <c r="AQ11" s="500" t="str">
        <f>IF($AP11="","",IFERROR(INDEX($D$6:$D$53,_xlfn.AGGREGATE(15,6,(ROW($Q$6:$Q$53)-ROW($Q$6)+1)/(($Q$6:$Q$53&gt;0)*(MOD($S$6:$S$53,20)=10)),6)),""))</f>
        <v/>
      </c>
      <c r="AR11" s="458" t="str">
        <f>IF($AP11="","",IFERROR(INDEX($S$6:$S$53,_xlfn.AGGREGATE(15,6,(ROW($Q$6:$Q$53)-ROW($Q$6)+1)/(($Q$6:$Q$53&gt;0)*(MOD($S$6:$S$53,20)=10)),6)),""))</f>
        <v/>
      </c>
      <c r="AS11" s="501" t="str">
        <f t="shared" si="18"/>
        <v/>
      </c>
    </row>
    <row r="12" spans="1:50" ht="46.5">
      <c r="A12" s="2257"/>
      <c r="C12" s="159">
        <f>+PP!B30</f>
        <v>7</v>
      </c>
      <c r="D12" s="164" t="str">
        <f>+PP!C30</f>
        <v>ALETA ENTERA 1.0-2.0 kg/pza</v>
      </c>
      <c r="E12" s="2138"/>
      <c r="F12" s="2137"/>
      <c r="G12" s="2137"/>
      <c r="H12" s="2137"/>
      <c r="I12" s="2137"/>
      <c r="J12" s="2137"/>
      <c r="K12" s="2137"/>
      <c r="L12" s="2137"/>
      <c r="M12" s="2137"/>
      <c r="N12" s="2137"/>
      <c r="O12" s="2137"/>
      <c r="P12" s="2139"/>
      <c r="Q12" s="508">
        <f t="shared" si="20"/>
        <v>0</v>
      </c>
      <c r="R12" s="149">
        <f>Q12/2</f>
        <v>0</v>
      </c>
      <c r="S12" s="552">
        <f>+Q12*10</f>
        <v>0</v>
      </c>
      <c r="T12" s="452"/>
      <c r="U12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</f>
        <v/>
      </c>
      <c r="V12" s="1784" t="str">
        <f>IF($U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)</f>
        <v/>
      </c>
      <c r="W12" s="1713" t="str">
        <f t="shared" si="1"/>
        <v/>
      </c>
      <c r="X12" s="1713" t="str">
        <f t="shared" si="2"/>
        <v/>
      </c>
      <c r="Y12" s="1781" t="str">
        <f t="shared" si="3"/>
        <v/>
      </c>
      <c r="Z12" s="1691" t="str">
        <f t="shared" si="4"/>
        <v/>
      </c>
      <c r="AA12" s="1691" t="str">
        <f t="shared" si="5"/>
        <v/>
      </c>
      <c r="AB12" s="1691" t="str">
        <f t="shared" si="6"/>
        <v/>
      </c>
      <c r="AC12" s="1691" t="str">
        <f t="shared" si="7"/>
        <v/>
      </c>
      <c r="AD12" s="1691" t="str">
        <f t="shared" si="8"/>
        <v/>
      </c>
      <c r="AE12" s="1691" t="str">
        <f t="shared" si="9"/>
        <v/>
      </c>
      <c r="AF12" s="1691" t="str">
        <f t="shared" si="10"/>
        <v/>
      </c>
      <c r="AG12" s="1691" t="str">
        <f t="shared" si="11"/>
        <v/>
      </c>
      <c r="AH12" s="1691" t="str">
        <f t="shared" si="12"/>
        <v/>
      </c>
      <c r="AI12" s="1171" t="str">
        <f t="shared" si="13"/>
        <v/>
      </c>
      <c r="AJ12" s="1171" t="str">
        <f t="shared" si="14"/>
        <v/>
      </c>
      <c r="AK12" s="1171" t="str">
        <f t="shared" si="15"/>
        <v/>
      </c>
      <c r="AL12" s="1171" t="str">
        <f t="shared" si="16"/>
        <v/>
      </c>
      <c r="AM12" s="1362" t="str">
        <f t="shared" si="17"/>
        <v/>
      </c>
      <c r="AP12" s="499" t="str">
        <f>IFERROR(INDEX($C$6:$C$53,_xlfn.AGGREGATE(15,6,(ROW($Q$6:$Q$53)-ROW($Q$6)+1)/(($Q$6:$Q$53&gt;0)*(MOD($S$6:$S$53,20)=10)),7)),"")</f>
        <v/>
      </c>
      <c r="AQ12" s="500" t="str">
        <f>IF($AP12="","",IFERROR(INDEX($D$6:$D$53,_xlfn.AGGREGATE(15,6,(ROW($Q$6:$Q$53)-ROW($Q$6)+1)/(($Q$6:$Q$53&gt;0)*(MOD($S$6:$S$53,20)=10)),7)),""))</f>
        <v/>
      </c>
      <c r="AR12" s="458" t="str">
        <f>IF($AP12="","",IFERROR(INDEX($S$6:$S$53,_xlfn.AGGREGATE(15,6,(ROW($Q$6:$Q$53)-ROW($Q$6)+1)/(($Q$6:$Q$53&gt;0)*(MOD($S$6:$S$53,20)=10)),7)),""))</f>
        <v/>
      </c>
      <c r="AS12" s="501" t="str">
        <f t="shared" si="18"/>
        <v/>
      </c>
    </row>
    <row r="13" spans="1:50" ht="46.5">
      <c r="A13" s="2257"/>
      <c r="C13" s="159">
        <f>+PP!B31</f>
        <v>8</v>
      </c>
      <c r="D13" s="164" t="str">
        <f>+PP!C31</f>
        <v>ALETA FRESCA PARTIDA 2.0-4.0 kg/pza</v>
      </c>
      <c r="E13" s="2138"/>
      <c r="F13" s="2137"/>
      <c r="G13" s="2137"/>
      <c r="H13" s="2137"/>
      <c r="I13" s="2137"/>
      <c r="J13" s="2137"/>
      <c r="K13" s="2137"/>
      <c r="L13" s="2137"/>
      <c r="M13" s="2137"/>
      <c r="N13" s="2137"/>
      <c r="O13" s="2137"/>
      <c r="P13" s="2139"/>
      <c r="Q13" s="508">
        <f t="shared" si="20"/>
        <v>0</v>
      </c>
      <c r="R13" s="149">
        <f t="shared" si="0"/>
        <v>0</v>
      </c>
      <c r="S13" s="552">
        <f t="shared" si="19"/>
        <v>0</v>
      </c>
      <c r="T13" s="452"/>
      <c r="U13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</f>
        <v/>
      </c>
      <c r="V13" s="1784" t="str">
        <f>IF($U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)</f>
        <v/>
      </c>
      <c r="W13" s="1713" t="str">
        <f t="shared" si="1"/>
        <v/>
      </c>
      <c r="X13" s="1713" t="str">
        <f t="shared" si="2"/>
        <v/>
      </c>
      <c r="Y13" s="1781" t="str">
        <f t="shared" si="3"/>
        <v/>
      </c>
      <c r="Z13" s="1691" t="str">
        <f t="shared" si="4"/>
        <v/>
      </c>
      <c r="AA13" s="1691" t="str">
        <f t="shared" si="5"/>
        <v/>
      </c>
      <c r="AB13" s="1691" t="str">
        <f t="shared" si="6"/>
        <v/>
      </c>
      <c r="AC13" s="1691" t="str">
        <f t="shared" si="7"/>
        <v/>
      </c>
      <c r="AD13" s="1691" t="str">
        <f t="shared" si="8"/>
        <v/>
      </c>
      <c r="AE13" s="1691" t="str">
        <f t="shared" si="9"/>
        <v/>
      </c>
      <c r="AF13" s="1691" t="str">
        <f t="shared" si="10"/>
        <v/>
      </c>
      <c r="AG13" s="1691" t="str">
        <f t="shared" si="11"/>
        <v/>
      </c>
      <c r="AH13" s="1691" t="str">
        <f t="shared" si="12"/>
        <v/>
      </c>
      <c r="AI13" s="1171" t="str">
        <f t="shared" si="13"/>
        <v/>
      </c>
      <c r="AJ13" s="1171" t="str">
        <f t="shared" si="14"/>
        <v/>
      </c>
      <c r="AK13" s="1171" t="str">
        <f t="shared" si="15"/>
        <v/>
      </c>
      <c r="AL13" s="1171" t="str">
        <f t="shared" si="16"/>
        <v/>
      </c>
      <c r="AM13" s="1362" t="str">
        <f t="shared" si="17"/>
        <v/>
      </c>
      <c r="AP13" s="499" t="str">
        <f>IFERROR(INDEX($C$6:$C$53,_xlfn.AGGREGATE(15,6,(ROW($Q$6:$Q$53)-ROW($Q$6)+1)/(($Q$6:$Q$53&gt;0)*(MOD($S$6:$S$53,20)=10)),8)),"")</f>
        <v/>
      </c>
      <c r="AQ13" s="500" t="str">
        <f>IF($AP13="","",IFERROR(INDEX($D$6:$D$53,_xlfn.AGGREGATE(15,6,(ROW($Q$6:$Q$53)-ROW($Q$6)+1)/(($Q$6:$Q$53&gt;0)*(MOD($S$6:$S$53,20)=10)),8)),""))</f>
        <v/>
      </c>
      <c r="AR13" s="458" t="str">
        <f>IF($AP13="","",IFERROR(INDEX($S$6:$S$53,_xlfn.AGGREGATE(15,6,(ROW($Q$6:$Q$53)-ROW($Q$6)+1)/(($Q$6:$Q$53&gt;0)*(MOD($S$6:$S$53,20)=10)),8)),""))</f>
        <v/>
      </c>
      <c r="AS13" s="501" t="str">
        <f t="shared" si="18"/>
        <v/>
      </c>
    </row>
    <row r="14" spans="1:50" ht="46.5">
      <c r="A14" s="2257"/>
      <c r="C14" s="159">
        <f>+PP!B32</f>
        <v>9</v>
      </c>
      <c r="D14" s="164" t="str">
        <f>+PP!C32</f>
        <v>ALETA PRECOCIDA ENTERA 300-UP g/pza</v>
      </c>
      <c r="E14" s="2138"/>
      <c r="F14" s="2137"/>
      <c r="G14" s="2137"/>
      <c r="H14" s="2137"/>
      <c r="I14" s="2137"/>
      <c r="J14" s="2137"/>
      <c r="K14" s="2137"/>
      <c r="L14" s="2137"/>
      <c r="M14" s="2137"/>
      <c r="N14" s="2137"/>
      <c r="O14" s="2137"/>
      <c r="P14" s="2139"/>
      <c r="Q14" s="508">
        <f t="shared" si="20"/>
        <v>0</v>
      </c>
      <c r="R14" s="149"/>
      <c r="S14" s="552">
        <f t="shared" si="19"/>
        <v>0</v>
      </c>
      <c r="T14" s="452"/>
      <c r="U14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</f>
        <v/>
      </c>
      <c r="V14" s="1784" t="str">
        <f>IF($U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)</f>
        <v/>
      </c>
      <c r="W14" s="1713" t="str">
        <f t="shared" si="1"/>
        <v/>
      </c>
      <c r="X14" s="1713" t="str">
        <f t="shared" si="2"/>
        <v/>
      </c>
      <c r="Y14" s="1781" t="str">
        <f t="shared" si="3"/>
        <v/>
      </c>
      <c r="Z14" s="1691" t="str">
        <f t="shared" si="4"/>
        <v/>
      </c>
      <c r="AA14" s="1691" t="str">
        <f t="shared" si="5"/>
        <v/>
      </c>
      <c r="AB14" s="1691" t="str">
        <f t="shared" si="6"/>
        <v/>
      </c>
      <c r="AC14" s="1691" t="str">
        <f t="shared" si="7"/>
        <v/>
      </c>
      <c r="AD14" s="1691" t="str">
        <f t="shared" si="8"/>
        <v/>
      </c>
      <c r="AE14" s="1691" t="str">
        <f t="shared" si="9"/>
        <v/>
      </c>
      <c r="AF14" s="1691" t="str">
        <f t="shared" si="10"/>
        <v/>
      </c>
      <c r="AG14" s="1691" t="str">
        <f t="shared" si="11"/>
        <v/>
      </c>
      <c r="AH14" s="1691" t="str">
        <f t="shared" si="12"/>
        <v/>
      </c>
      <c r="AI14" s="1171" t="str">
        <f t="shared" si="13"/>
        <v/>
      </c>
      <c r="AJ14" s="1171" t="str">
        <f t="shared" si="14"/>
        <v/>
      </c>
      <c r="AK14" s="1171" t="str">
        <f t="shared" si="15"/>
        <v/>
      </c>
      <c r="AL14" s="1171" t="str">
        <f t="shared" si="16"/>
        <v/>
      </c>
      <c r="AM14" s="1362" t="str">
        <f t="shared" si="17"/>
        <v/>
      </c>
      <c r="AP14" s="499" t="str">
        <f>IFERROR(INDEX($C$6:$C$53,_xlfn.AGGREGATE(15,6,(ROW($Q$6:$Q$53)-ROW($Q$6)+1)/(($Q$6:$Q$53&gt;0)*(MOD($S$6:$S$53,20)=10)),9)),"")</f>
        <v/>
      </c>
      <c r="AQ14" s="500" t="str">
        <f>IF($AP14="","",IFERROR(INDEX($D$6:$D$53,_xlfn.AGGREGATE(15,6,(ROW($Q$6:$Q$53)-ROW($Q$6)+1)/(($Q$6:$Q$53&gt;0)*(MOD($S$6:$S$53,20)=10)),9)),""))</f>
        <v/>
      </c>
      <c r="AR14" s="458" t="str">
        <f>IF($AP14="","",IFERROR(INDEX($S$6:$S$53,_xlfn.AGGREGATE(15,6,(ROW($Q$6:$Q$53)-ROW($Q$6)+1)/(($Q$6:$Q$53&gt;0)*(MOD($S$6:$S$53,20)=10)),9)),""))</f>
        <v/>
      </c>
      <c r="AS14" s="501" t="str">
        <f t="shared" si="18"/>
        <v/>
      </c>
    </row>
    <row r="15" spans="1:50" ht="47.25" thickBot="1">
      <c r="A15" s="2257"/>
      <c r="C15" s="158">
        <f>+PP!B33</f>
        <v>10</v>
      </c>
      <c r="D15" s="163" t="str">
        <f>+PP!C33</f>
        <v>ALETA PRECOCIDA PARTIDA 300-UP g/pza</v>
      </c>
      <c r="E15" s="2233"/>
      <c r="F15" s="2234"/>
      <c r="G15" s="2234"/>
      <c r="H15" s="2234"/>
      <c r="I15" s="2234"/>
      <c r="J15" s="2234"/>
      <c r="K15" s="2234"/>
      <c r="L15" s="2234"/>
      <c r="M15" s="2234"/>
      <c r="N15" s="2234"/>
      <c r="O15" s="2234"/>
      <c r="P15" s="2235"/>
      <c r="Q15" s="524">
        <f t="shared" si="20"/>
        <v>0</v>
      </c>
      <c r="R15" s="150">
        <f t="shared" si="0"/>
        <v>0</v>
      </c>
      <c r="S15" s="556">
        <f t="shared" si="19"/>
        <v>0</v>
      </c>
      <c r="T15" s="452"/>
      <c r="U15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</f>
        <v/>
      </c>
      <c r="V15" s="1784" t="str">
        <f>IF($U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)</f>
        <v/>
      </c>
      <c r="W15" s="1713" t="str">
        <f t="shared" si="1"/>
        <v/>
      </c>
      <c r="X15" s="1713" t="str">
        <f t="shared" si="2"/>
        <v/>
      </c>
      <c r="Y15" s="1781" t="str">
        <f t="shared" si="3"/>
        <v/>
      </c>
      <c r="Z15" s="1691" t="str">
        <f t="shared" si="4"/>
        <v/>
      </c>
      <c r="AA15" s="1691" t="str">
        <f t="shared" si="5"/>
        <v/>
      </c>
      <c r="AB15" s="1691" t="str">
        <f t="shared" si="6"/>
        <v/>
      </c>
      <c r="AC15" s="1691" t="str">
        <f t="shared" si="7"/>
        <v/>
      </c>
      <c r="AD15" s="1691" t="str">
        <f t="shared" si="8"/>
        <v/>
      </c>
      <c r="AE15" s="1691" t="str">
        <f t="shared" si="9"/>
        <v/>
      </c>
      <c r="AF15" s="1691" t="str">
        <f t="shared" si="10"/>
        <v/>
      </c>
      <c r="AG15" s="1691" t="str">
        <f t="shared" si="11"/>
        <v/>
      </c>
      <c r="AH15" s="1691" t="str">
        <f t="shared" si="12"/>
        <v/>
      </c>
      <c r="AI15" s="458" t="str">
        <f t="shared" si="13"/>
        <v/>
      </c>
      <c r="AJ15" s="458" t="str">
        <f t="shared" si="14"/>
        <v/>
      </c>
      <c r="AK15" s="458" t="str">
        <f t="shared" si="15"/>
        <v/>
      </c>
      <c r="AL15" s="458" t="str">
        <f t="shared" si="16"/>
        <v/>
      </c>
      <c r="AM15" s="501" t="str">
        <f t="shared" si="17"/>
        <v/>
      </c>
      <c r="AP15" s="499" t="str">
        <f>IFERROR(INDEX($C$6:$C$53,_xlfn.AGGREGATE(15,6,(ROW($Q$6:$Q$53)-ROW($Q$6)+1)/(($Q$6:$Q$53&gt;0)*(MOD($S$6:$S$53,20)=10)),10)),"")</f>
        <v/>
      </c>
      <c r="AQ15" s="500" t="str">
        <f>IF($AP15="","",IFERROR(INDEX($D$6:$D$53,_xlfn.AGGREGATE(15,6,(ROW($Q$6:$Q$53)-ROW($Q$6)+1)/(($Q$6:$Q$53&gt;0)*(MOD($S$6:$S$53,20)=10)),10)),""))</f>
        <v/>
      </c>
      <c r="AR15" s="458" t="str">
        <f>IF($AP15="","",IFERROR(INDEX($S$6:$S$53,_xlfn.AGGREGATE(15,6,(ROW($Q$6:$Q$53)-ROW($Q$6)+1)/(($Q$6:$Q$53&gt;0)*(MOD($S$6:$S$53,20)=10)),10)),""))</f>
        <v/>
      </c>
      <c r="AS15" s="501" t="str">
        <f t="shared" si="18"/>
        <v/>
      </c>
    </row>
    <row r="16" spans="1:50" ht="46.5">
      <c r="A16" s="2257"/>
      <c r="C16" s="157">
        <f>+PP!B34</f>
        <v>11</v>
      </c>
      <c r="D16" s="162" t="str">
        <f>+PP!C34</f>
        <v>BOTON BLANCO SM ST</v>
      </c>
      <c r="E16" s="2230"/>
      <c r="F16" s="2231"/>
      <c r="G16" s="2231"/>
      <c r="H16" s="2231"/>
      <c r="I16" s="2231"/>
      <c r="J16" s="2231"/>
      <c r="K16" s="2231"/>
      <c r="L16" s="2231"/>
      <c r="M16" s="2231"/>
      <c r="N16" s="2231"/>
      <c r="O16" s="2231"/>
      <c r="P16" s="2232"/>
      <c r="Q16" s="514">
        <f t="shared" si="20"/>
        <v>0</v>
      </c>
      <c r="R16" s="148">
        <f t="shared" si="0"/>
        <v>0</v>
      </c>
      <c r="S16" s="490">
        <f t="shared" si="19"/>
        <v>0</v>
      </c>
      <c r="T16" s="452"/>
      <c r="U1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</f>
        <v/>
      </c>
      <c r="V16" s="1784" t="str">
        <f>IF($U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)</f>
        <v/>
      </c>
      <c r="W16" s="1713" t="str">
        <f t="shared" si="1"/>
        <v/>
      </c>
      <c r="X16" s="1713" t="str">
        <f t="shared" si="2"/>
        <v/>
      </c>
      <c r="Y16" s="1781" t="str">
        <f t="shared" si="3"/>
        <v/>
      </c>
      <c r="Z16" s="1691" t="str">
        <f t="shared" si="4"/>
        <v/>
      </c>
      <c r="AA16" s="1691" t="str">
        <f t="shared" si="5"/>
        <v/>
      </c>
      <c r="AB16" s="1691" t="str">
        <f t="shared" si="6"/>
        <v/>
      </c>
      <c r="AC16" s="1691" t="str">
        <f t="shared" si="7"/>
        <v/>
      </c>
      <c r="AD16" s="1691" t="str">
        <f t="shared" si="8"/>
        <v/>
      </c>
      <c r="AE16" s="1691" t="str">
        <f t="shared" si="9"/>
        <v/>
      </c>
      <c r="AF16" s="1691" t="str">
        <f t="shared" si="10"/>
        <v/>
      </c>
      <c r="AG16" s="1691" t="str">
        <f t="shared" si="11"/>
        <v/>
      </c>
      <c r="AH16" s="1171" t="str">
        <f t="shared" si="12"/>
        <v/>
      </c>
      <c r="AI16" s="458" t="str">
        <f t="shared" si="13"/>
        <v/>
      </c>
      <c r="AJ16" s="458" t="str">
        <f t="shared" si="14"/>
        <v/>
      </c>
      <c r="AK16" s="458" t="str">
        <f t="shared" si="15"/>
        <v/>
      </c>
      <c r="AL16" s="458" t="str">
        <f t="shared" si="16"/>
        <v/>
      </c>
      <c r="AM16" s="501" t="str">
        <f t="shared" si="17"/>
        <v/>
      </c>
      <c r="AP16" s="499" t="str">
        <f>IFERROR(INDEX($C$6:$C$53,_xlfn.AGGREGATE(15,6,(ROW($Q$6:$Q$53)-ROW($Q$6)+1)/(($Q$6:$Q$53&gt;0)*(MOD($S$6:$S$53,20)=10)),11)),"")</f>
        <v/>
      </c>
      <c r="AQ16" s="500" t="str">
        <f>IF($AP16="","",IFERROR(INDEX($D$6:$D$53,_xlfn.AGGREGATE(15,6,(ROW($Q$6:$Q$53)-ROW($Q$6)+1)/(($Q$6:$Q$53&gt;0)*(MOD($S$6:$S$53,20)=10)),11)),""))</f>
        <v/>
      </c>
      <c r="AR16" s="458" t="str">
        <f>IF($AP16="","",IFERROR(INDEX($S$6:$S$53,_xlfn.AGGREGATE(15,6,(ROW($Q$6:$Q$53)-ROW($Q$6)+1)/(($Q$6:$Q$53&gt;0)*(MOD($S$6:$S$53,20)=10)),11)),""))</f>
        <v/>
      </c>
      <c r="AS16" s="501" t="str">
        <f t="shared" si="18"/>
        <v/>
      </c>
    </row>
    <row r="17" spans="1:45" ht="47.25" thickBot="1">
      <c r="A17" s="2257"/>
      <c r="C17" s="158">
        <f>+PP!B35</f>
        <v>12</v>
      </c>
      <c r="D17" s="163" t="str">
        <f>+PP!C35</f>
        <v>BOTON AMARILLO SM ST</v>
      </c>
      <c r="E17" s="2233"/>
      <c r="F17" s="2234"/>
      <c r="G17" s="2234"/>
      <c r="H17" s="2234"/>
      <c r="I17" s="2234"/>
      <c r="J17" s="2234"/>
      <c r="K17" s="2234"/>
      <c r="L17" s="2234"/>
      <c r="M17" s="2234"/>
      <c r="N17" s="2234"/>
      <c r="O17" s="2234"/>
      <c r="P17" s="2235"/>
      <c r="Q17" s="524">
        <f t="shared" si="20"/>
        <v>0</v>
      </c>
      <c r="R17" s="150">
        <f t="shared" si="0"/>
        <v>0</v>
      </c>
      <c r="S17" s="507">
        <f t="shared" si="19"/>
        <v>0</v>
      </c>
      <c r="T17" s="452"/>
      <c r="U1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</f>
        <v/>
      </c>
      <c r="V17" s="1784" t="str">
        <f>IF($U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)</f>
        <v/>
      </c>
      <c r="W17" s="1713" t="str">
        <f t="shared" si="1"/>
        <v/>
      </c>
      <c r="X17" s="1713" t="str">
        <f t="shared" si="2"/>
        <v/>
      </c>
      <c r="Y17" s="1781" t="str">
        <f t="shared" si="3"/>
        <v/>
      </c>
      <c r="Z17" s="1691" t="str">
        <f t="shared" si="4"/>
        <v/>
      </c>
      <c r="AA17" s="1691" t="str">
        <f t="shared" si="5"/>
        <v/>
      </c>
      <c r="AB17" s="1691" t="str">
        <f t="shared" si="6"/>
        <v/>
      </c>
      <c r="AC17" s="1691" t="str">
        <f t="shared" si="7"/>
        <v/>
      </c>
      <c r="AD17" s="1691" t="str">
        <f t="shared" si="8"/>
        <v/>
      </c>
      <c r="AE17" s="1691" t="str">
        <f t="shared" si="9"/>
        <v/>
      </c>
      <c r="AF17" s="1691" t="str">
        <f t="shared" si="10"/>
        <v/>
      </c>
      <c r="AG17" s="1691" t="str">
        <f t="shared" si="11"/>
        <v/>
      </c>
      <c r="AH17" s="1171" t="str">
        <f t="shared" si="12"/>
        <v/>
      </c>
      <c r="AI17" s="458" t="str">
        <f t="shared" si="13"/>
        <v/>
      </c>
      <c r="AJ17" s="458" t="str">
        <f t="shared" si="14"/>
        <v/>
      </c>
      <c r="AK17" s="458" t="str">
        <f t="shared" si="15"/>
        <v/>
      </c>
      <c r="AL17" s="458" t="str">
        <f t="shared" si="16"/>
        <v/>
      </c>
      <c r="AM17" s="501" t="str">
        <f t="shared" si="17"/>
        <v/>
      </c>
      <c r="AP17" s="499" t="str">
        <f>IFERROR(INDEX($C$6:$C$53,_xlfn.AGGREGATE(15,6,(ROW($Q$6:$Q$53)-ROW($Q$6)+1)/(($Q$6:$Q$53&gt;0)*(MOD($S$6:$S$53,20)=10)),12)),"")</f>
        <v/>
      </c>
      <c r="AQ17" s="500" t="str">
        <f>IF($AP17="","",IFERROR(INDEX($D$6:$D$53,_xlfn.AGGREGATE(15,6,(ROW($Q$6:$Q$53)-ROW($Q$6)+1)/(($Q$6:$Q$53&gt;0)*(MOD($S$6:$S$53,20)=10)),12)),""))</f>
        <v/>
      </c>
      <c r="AR17" s="458" t="str">
        <f>IF($AP17="","",IFERROR(INDEX($S$6:$S$53,_xlfn.AGGREGATE(15,6,(ROW($Q$6:$Q$53)-ROW($Q$6)+1)/(($Q$6:$Q$53&gt;0)*(MOD($S$6:$S$53,20)=10)),12)),""))</f>
        <v/>
      </c>
      <c r="AS17" s="501" t="str">
        <f t="shared" si="18"/>
        <v/>
      </c>
    </row>
    <row r="18" spans="1:45" ht="47.25" thickBot="1">
      <c r="A18" s="2257"/>
      <c r="C18" s="526">
        <f>+PP!B36</f>
        <v>13</v>
      </c>
      <c r="D18" s="2056" t="str">
        <f>+PP!C36</f>
        <v>CONOS DE POTA</v>
      </c>
      <c r="E18" s="2907"/>
      <c r="F18" s="2908"/>
      <c r="G18" s="2908"/>
      <c r="H18" s="2908"/>
      <c r="I18" s="2908"/>
      <c r="J18" s="2908"/>
      <c r="K18" s="2908"/>
      <c r="L18" s="2908"/>
      <c r="M18" s="2908"/>
      <c r="N18" s="2908"/>
      <c r="O18" s="2908"/>
      <c r="P18" s="2909"/>
      <c r="Q18" s="3015">
        <f t="shared" si="20"/>
        <v>0</v>
      </c>
      <c r="R18" s="957">
        <f t="shared" si="0"/>
        <v>0</v>
      </c>
      <c r="S18" s="2912">
        <f t="shared" si="19"/>
        <v>0</v>
      </c>
      <c r="T18" s="452"/>
      <c r="U18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</f>
        <v/>
      </c>
      <c r="V18" s="1784" t="str">
        <f>IF($U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)</f>
        <v/>
      </c>
      <c r="W18" s="1713" t="str">
        <f t="shared" si="1"/>
        <v/>
      </c>
      <c r="X18" s="1713" t="str">
        <f t="shared" si="2"/>
        <v/>
      </c>
      <c r="Y18" s="1781" t="str">
        <f t="shared" si="3"/>
        <v/>
      </c>
      <c r="Z18" s="1691" t="str">
        <f t="shared" si="4"/>
        <v/>
      </c>
      <c r="AA18" s="1691" t="str">
        <f t="shared" si="5"/>
        <v/>
      </c>
      <c r="AB18" s="1691" t="str">
        <f t="shared" si="6"/>
        <v/>
      </c>
      <c r="AC18" s="1691" t="str">
        <f t="shared" si="7"/>
        <v/>
      </c>
      <c r="AD18" s="1691" t="str">
        <f t="shared" si="8"/>
        <v/>
      </c>
      <c r="AE18" s="1691" t="str">
        <f t="shared" si="9"/>
        <v/>
      </c>
      <c r="AF18" s="1691" t="str">
        <f t="shared" si="10"/>
        <v/>
      </c>
      <c r="AG18" s="1691" t="str">
        <f t="shared" si="11"/>
        <v/>
      </c>
      <c r="AH18" s="1171" t="str">
        <f t="shared" si="12"/>
        <v/>
      </c>
      <c r="AI18" s="458" t="str">
        <f t="shared" si="13"/>
        <v/>
      </c>
      <c r="AJ18" s="458" t="str">
        <f t="shared" si="14"/>
        <v/>
      </c>
      <c r="AK18" s="458" t="str">
        <f t="shared" si="15"/>
        <v/>
      </c>
      <c r="AL18" s="458" t="str">
        <f t="shared" si="16"/>
        <v/>
      </c>
      <c r="AM18" s="501" t="str">
        <f t="shared" si="17"/>
        <v/>
      </c>
      <c r="AP18" s="499" t="str">
        <f>IFERROR(INDEX($C$6:$C$53,_xlfn.AGGREGATE(15,6,(ROW($Q$6:$Q$53)-ROW($Q$6)+1)/(($Q$6:$Q$53&gt;0)*(MOD($S$6:$S$53,20)=10)),13)),"")</f>
        <v/>
      </c>
      <c r="AQ18" s="500" t="str">
        <f>IF($AP18="","",IFERROR(INDEX($D$6:$D$53,_xlfn.AGGREGATE(15,6,(ROW($Q$6:$Q$53)-ROW($Q$6)+1)/(($Q$6:$Q$53&gt;0)*(MOD($S$6:$S$53,20)=10)),13)),""))</f>
        <v/>
      </c>
      <c r="AR18" s="458" t="str">
        <f>IF($AP18="","",IFERROR(INDEX($S$6:$S$53,_xlfn.AGGREGATE(15,6,(ROW($Q$6:$Q$53)-ROW($Q$6)+1)/(($Q$6:$Q$53&gt;0)*(MOD($S$6:$S$53,20)=10)),13)),""))</f>
        <v/>
      </c>
      <c r="AS18" s="501" t="str">
        <f t="shared" si="18"/>
        <v/>
      </c>
    </row>
    <row r="19" spans="1:45" ht="46.5">
      <c r="A19" s="2257"/>
      <c r="C19" s="157">
        <f>+PP!B37</f>
        <v>14</v>
      </c>
      <c r="D19" s="162" t="str">
        <f>+PP!C37</f>
        <v>FILETE C/TT DARUMA</v>
      </c>
      <c r="E19" s="2230"/>
      <c r="F19" s="2231"/>
      <c r="G19" s="2231"/>
      <c r="H19" s="2231"/>
      <c r="I19" s="2231"/>
      <c r="J19" s="2231"/>
      <c r="K19" s="2231"/>
      <c r="L19" s="2231"/>
      <c r="M19" s="2231"/>
      <c r="N19" s="2231"/>
      <c r="O19" s="2231"/>
      <c r="P19" s="2232"/>
      <c r="Q19" s="510">
        <f t="shared" si="20"/>
        <v>0</v>
      </c>
      <c r="R19" s="1391">
        <f t="shared" si="0"/>
        <v>0</v>
      </c>
      <c r="S19" s="145">
        <f t="shared" si="19"/>
        <v>0</v>
      </c>
      <c r="T19" s="452"/>
      <c r="U19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</f>
        <v/>
      </c>
      <c r="V19" s="1784" t="str">
        <f>IF($U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)</f>
        <v/>
      </c>
      <c r="W19" s="1713" t="str">
        <f t="shared" si="1"/>
        <v/>
      </c>
      <c r="X19" s="1713" t="str">
        <f t="shared" si="2"/>
        <v/>
      </c>
      <c r="Y19" s="1781" t="str">
        <f t="shared" si="3"/>
        <v/>
      </c>
      <c r="Z19" s="1691" t="str">
        <f t="shared" si="4"/>
        <v/>
      </c>
      <c r="AA19" s="1691" t="str">
        <f t="shared" si="5"/>
        <v/>
      </c>
      <c r="AB19" s="1691" t="str">
        <f t="shared" si="6"/>
        <v/>
      </c>
      <c r="AC19" s="1691" t="str">
        <f t="shared" si="7"/>
        <v/>
      </c>
      <c r="AD19" s="1691" t="str">
        <f t="shared" si="8"/>
        <v/>
      </c>
      <c r="AE19" s="1691" t="str">
        <f t="shared" si="9"/>
        <v/>
      </c>
      <c r="AF19" s="1691" t="str">
        <f t="shared" si="10"/>
        <v/>
      </c>
      <c r="AG19" s="1691" t="str">
        <f t="shared" si="11"/>
        <v/>
      </c>
      <c r="AH19" s="1171" t="str">
        <f t="shared" si="12"/>
        <v/>
      </c>
      <c r="AI19" s="458" t="str">
        <f t="shared" si="13"/>
        <v/>
      </c>
      <c r="AJ19" s="458" t="str">
        <f t="shared" si="14"/>
        <v/>
      </c>
      <c r="AK19" s="458" t="str">
        <f t="shared" si="15"/>
        <v/>
      </c>
      <c r="AL19" s="458" t="str">
        <f t="shared" si="16"/>
        <v/>
      </c>
      <c r="AM19" s="501" t="str">
        <f t="shared" si="17"/>
        <v/>
      </c>
      <c r="AP19" s="499" t="str">
        <f>IFERROR(INDEX($C$6:$C$53,_xlfn.AGGREGATE(15,6,(ROW($Q$6:$Q$53)-ROW($Q$6)+1)/(($Q$6:$Q$53&gt;0)*(MOD($S$6:$S$53,20)=10)),14)),"")</f>
        <v/>
      </c>
      <c r="AQ19" s="500" t="str">
        <f>IF($AP19="","",IFERROR(INDEX($D$6:$D$53,_xlfn.AGGREGATE(15,6,(ROW($Q$6:$Q$53)-ROW($Q$6)+1)/(($Q$6:$Q$53&gt;0)*(MOD($S$6:$S$53,20)=10)),14)),""))</f>
        <v/>
      </c>
      <c r="AR19" s="458" t="str">
        <f>IF($AP19="","",IFERROR(INDEX($S$6:$S$53,_xlfn.AGGREGATE(15,6,(ROW($Q$6:$Q$53)-ROW($Q$6)+1)/(($Q$6:$Q$53&gt;0)*(MOD($S$6:$S$53,20)=10)),14)),""))</f>
        <v/>
      </c>
      <c r="AS19" s="501" t="str">
        <f t="shared" si="18"/>
        <v/>
      </c>
    </row>
    <row r="20" spans="1:45" ht="46.5">
      <c r="A20" s="2257"/>
      <c r="C20" s="159">
        <f>+PP!B38</f>
        <v>15</v>
      </c>
      <c r="D20" s="164" t="str">
        <f>+PP!C38</f>
        <v>FILETE C/M C/T TRES PIELES 1.0-2.0 kg/pza</v>
      </c>
      <c r="E20" s="2138"/>
      <c r="F20" s="2137"/>
      <c r="G20" s="2137"/>
      <c r="H20" s="2137"/>
      <c r="I20" s="2137"/>
      <c r="J20" s="2137"/>
      <c r="K20" s="2137"/>
      <c r="L20" s="2137"/>
      <c r="M20" s="2137"/>
      <c r="N20" s="2137"/>
      <c r="O20" s="2137"/>
      <c r="P20" s="2139"/>
      <c r="Q20" s="525">
        <f t="shared" si="20"/>
        <v>0</v>
      </c>
      <c r="R20" s="1392">
        <f t="shared" si="0"/>
        <v>0</v>
      </c>
      <c r="S20" s="146">
        <f t="shared" si="19"/>
        <v>0</v>
      </c>
      <c r="T20" s="452"/>
      <c r="U20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</f>
        <v/>
      </c>
      <c r="V20" s="1784" t="str">
        <f>IF($U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)</f>
        <v/>
      </c>
      <c r="W20" s="1713" t="str">
        <f t="shared" si="1"/>
        <v/>
      </c>
      <c r="X20" s="1713" t="str">
        <f t="shared" si="2"/>
        <v/>
      </c>
      <c r="Y20" s="1781" t="str">
        <f t="shared" si="3"/>
        <v/>
      </c>
      <c r="Z20" s="1691" t="str">
        <f t="shared" si="4"/>
        <v/>
      </c>
      <c r="AA20" s="1691" t="str">
        <f t="shared" si="5"/>
        <v/>
      </c>
      <c r="AB20" s="1691" t="str">
        <f t="shared" si="6"/>
        <v/>
      </c>
      <c r="AC20" s="1691" t="str">
        <f t="shared" si="7"/>
        <v/>
      </c>
      <c r="AD20" s="1691" t="str">
        <f t="shared" si="8"/>
        <v/>
      </c>
      <c r="AE20" s="1691" t="str">
        <f t="shared" si="9"/>
        <v/>
      </c>
      <c r="AF20" s="1691" t="str">
        <f t="shared" si="10"/>
        <v/>
      </c>
      <c r="AG20" s="1691" t="str">
        <f t="shared" si="11"/>
        <v/>
      </c>
      <c r="AH20" s="1171" t="str">
        <f t="shared" si="12"/>
        <v/>
      </c>
      <c r="AI20" s="458" t="str">
        <f t="shared" si="13"/>
        <v/>
      </c>
      <c r="AJ20" s="458" t="str">
        <f t="shared" si="14"/>
        <v/>
      </c>
      <c r="AK20" s="458" t="str">
        <f t="shared" si="15"/>
        <v/>
      </c>
      <c r="AL20" s="458" t="str">
        <f t="shared" si="16"/>
        <v/>
      </c>
      <c r="AM20" s="501" t="str">
        <f t="shared" si="17"/>
        <v/>
      </c>
      <c r="AP20" s="499" t="str">
        <f>IFERROR(INDEX($C$6:$C$53,_xlfn.AGGREGATE(15,6,(ROW($Q$6:$Q$53)-ROW($Q$6)+1)/(($Q$6:$Q$53&gt;0)*(MOD($S$6:$S$53,20)=10)),15)),"")</f>
        <v/>
      </c>
      <c r="AQ20" s="500" t="str">
        <f>IF($AP20="","",IFERROR(INDEX($D$6:$D$53,_xlfn.AGGREGATE(15,6,(ROW($Q$6:$Q$53)-ROW($Q$6)+1)/(($Q$6:$Q$53&gt;0)*(MOD($S$6:$S$53,20)=10)),15)),""))</f>
        <v/>
      </c>
      <c r="AR20" s="458" t="str">
        <f>IF($AP20="","",IFERROR(INDEX($S$6:$S$53,_xlfn.AGGREGATE(15,6,(ROW($Q$6:$Q$53)-ROW($Q$6)+1)/(($Q$6:$Q$53&gt;0)*(MOD($S$6:$S$53,20)=10)),15)),""))</f>
        <v/>
      </c>
      <c r="AS20" s="501" t="str">
        <f t="shared" si="18"/>
        <v/>
      </c>
    </row>
    <row r="21" spans="1:45" ht="46.5">
      <c r="A21" s="2257"/>
      <c r="C21" s="159">
        <f>+PP!B39</f>
        <v>16</v>
      </c>
      <c r="D21" s="164" t="str">
        <f>+PP!C39</f>
        <v>FILETE C/M C/T TRES PIELES 2.0-4.0 kg/pza</v>
      </c>
      <c r="E21" s="2138"/>
      <c r="F21" s="2137"/>
      <c r="G21" s="2137"/>
      <c r="H21" s="2137"/>
      <c r="I21" s="2137"/>
      <c r="J21" s="2137"/>
      <c r="K21" s="2137"/>
      <c r="L21" s="2137"/>
      <c r="M21" s="2137"/>
      <c r="N21" s="2137"/>
      <c r="O21" s="2137"/>
      <c r="P21" s="2139"/>
      <c r="Q21" s="525">
        <f t="shared" si="20"/>
        <v>0</v>
      </c>
      <c r="R21" s="1392">
        <f t="shared" si="0"/>
        <v>0</v>
      </c>
      <c r="S21" s="146">
        <f t="shared" si="19"/>
        <v>0</v>
      </c>
      <c r="T21" s="452"/>
      <c r="U21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</f>
        <v/>
      </c>
      <c r="V21" s="1784" t="str">
        <f>IF($U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)</f>
        <v/>
      </c>
      <c r="W21" s="1713" t="str">
        <f t="shared" si="1"/>
        <v/>
      </c>
      <c r="X21" s="1713" t="str">
        <f t="shared" si="2"/>
        <v/>
      </c>
      <c r="Y21" s="1781" t="str">
        <f t="shared" si="3"/>
        <v/>
      </c>
      <c r="Z21" s="1691" t="str">
        <f t="shared" si="4"/>
        <v/>
      </c>
      <c r="AA21" s="1691" t="str">
        <f t="shared" si="5"/>
        <v/>
      </c>
      <c r="AB21" s="1691" t="str">
        <f t="shared" si="6"/>
        <v/>
      </c>
      <c r="AC21" s="1691" t="str">
        <f t="shared" si="7"/>
        <v/>
      </c>
      <c r="AD21" s="1691" t="str">
        <f t="shared" si="8"/>
        <v/>
      </c>
      <c r="AE21" s="1691" t="str">
        <f t="shared" si="9"/>
        <v/>
      </c>
      <c r="AF21" s="1691" t="str">
        <f t="shared" si="10"/>
        <v/>
      </c>
      <c r="AG21" s="1691" t="str">
        <f t="shared" si="11"/>
        <v/>
      </c>
      <c r="AH21" s="1171" t="str">
        <f t="shared" si="12"/>
        <v/>
      </c>
      <c r="AI21" s="458" t="str">
        <f t="shared" si="13"/>
        <v/>
      </c>
      <c r="AJ21" s="458" t="str">
        <f t="shared" si="14"/>
        <v/>
      </c>
      <c r="AK21" s="458" t="str">
        <f t="shared" si="15"/>
        <v/>
      </c>
      <c r="AL21" s="458" t="str">
        <f t="shared" si="16"/>
        <v/>
      </c>
      <c r="AM21" s="501" t="str">
        <f t="shared" si="17"/>
        <v/>
      </c>
      <c r="AP21" s="499" t="str">
        <f>IFERROR(INDEX($C$6:$C$53,_xlfn.AGGREGATE(15,6,(ROW($Q$6:$Q$53)-ROW($Q$6)+1)/(($Q$6:$Q$53&gt;0)*(MOD($S$6:$S$53,20)=10)),16)),"")</f>
        <v/>
      </c>
      <c r="AQ21" s="500" t="str">
        <f>IF($AP21="","",IFERROR(INDEX($D$6:$D$53,_xlfn.AGGREGATE(15,6,(ROW($Q$6:$Q$53)-ROW($Q$6)+1)/(($Q$6:$Q$53&gt;0)*(MOD($S$6:$S$53,20)=10)),16)),""))</f>
        <v/>
      </c>
      <c r="AR21" s="458" t="str">
        <f>IF($AP21="","",IFERROR(INDEX($S$6:$S$53,_xlfn.AGGREGATE(15,6,(ROW($Q$6:$Q$53)-ROW($Q$6)+1)/(($Q$6:$Q$53&gt;0)*(MOD($S$6:$S$53,20)=10)),16)),""))</f>
        <v/>
      </c>
      <c r="AS21" s="501" t="str">
        <f t="shared" si="18"/>
        <v/>
      </c>
    </row>
    <row r="22" spans="1:45" ht="45.75" customHeight="1">
      <c r="A22" s="2257"/>
      <c r="C22" s="159">
        <f>+PP!B40</f>
        <v>17</v>
      </c>
      <c r="D22" s="164" t="str">
        <f>+PP!C40</f>
        <v>FILETE C/M C/T ENTERO BLANCO 1.0-2.0 kg/pza</v>
      </c>
      <c r="E22" s="2138"/>
      <c r="F22" s="2137"/>
      <c r="G22" s="2137"/>
      <c r="H22" s="2137"/>
      <c r="I22" s="2137"/>
      <c r="J22" s="2137"/>
      <c r="K22" s="2137"/>
      <c r="L22" s="2137"/>
      <c r="M22" s="2137"/>
      <c r="N22" s="2137"/>
      <c r="O22" s="2137"/>
      <c r="P22" s="2139"/>
      <c r="Q22" s="525">
        <f t="shared" si="20"/>
        <v>0</v>
      </c>
      <c r="R22" s="1392">
        <f t="shared" si="0"/>
        <v>0</v>
      </c>
      <c r="S22" s="146">
        <f t="shared" si="19"/>
        <v>0</v>
      </c>
      <c r="T22" s="452"/>
      <c r="U22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</f>
        <v/>
      </c>
      <c r="V22" s="1784" t="str">
        <f>IF($U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)</f>
        <v/>
      </c>
      <c r="W22" s="1713" t="str">
        <f t="shared" si="1"/>
        <v/>
      </c>
      <c r="X22" s="1713" t="str">
        <f t="shared" si="2"/>
        <v/>
      </c>
      <c r="Y22" s="1781" t="str">
        <f t="shared" si="3"/>
        <v/>
      </c>
      <c r="Z22" s="1171" t="str">
        <f t="shared" si="4"/>
        <v/>
      </c>
      <c r="AA22" s="1171" t="str">
        <f t="shared" si="5"/>
        <v/>
      </c>
      <c r="AB22" s="1691" t="str">
        <f t="shared" si="6"/>
        <v/>
      </c>
      <c r="AC22" s="1171" t="str">
        <f t="shared" si="7"/>
        <v/>
      </c>
      <c r="AD22" s="1171" t="str">
        <f t="shared" si="8"/>
        <v/>
      </c>
      <c r="AE22" s="1171" t="str">
        <f t="shared" si="9"/>
        <v/>
      </c>
      <c r="AF22" s="1171" t="str">
        <f t="shared" si="10"/>
        <v/>
      </c>
      <c r="AG22" s="1171" t="str">
        <f t="shared" si="11"/>
        <v/>
      </c>
      <c r="AH22" s="1171" t="str">
        <f t="shared" si="12"/>
        <v/>
      </c>
      <c r="AI22" s="458" t="str">
        <f t="shared" si="13"/>
        <v/>
      </c>
      <c r="AJ22" s="458" t="str">
        <f t="shared" si="14"/>
        <v/>
      </c>
      <c r="AK22" s="458" t="str">
        <f t="shared" si="15"/>
        <v/>
      </c>
      <c r="AL22" s="458" t="str">
        <f t="shared" si="16"/>
        <v/>
      </c>
      <c r="AM22" s="501" t="str">
        <f t="shared" si="17"/>
        <v/>
      </c>
      <c r="AP22" s="499" t="str">
        <f>IFERROR(INDEX($C$6:$C$53,_xlfn.AGGREGATE(15,6,(ROW($Q$6:$Q$53)-ROW($Q$6)+1)/(($Q$6:$Q$53&gt;0)*(MOD($S$6:$S$53,20)=10)),17)),"")</f>
        <v/>
      </c>
      <c r="AQ22" s="500" t="str">
        <f>IF($AP22="","",IFERROR(INDEX($D$6:$D$53,_xlfn.AGGREGATE(15,6,(ROW($Q$6:$Q$53)-ROW($Q$6)+1)/(($Q$6:$Q$53&gt;0)*(MOD($S$6:$S$53,20)=10)),17)),""))</f>
        <v/>
      </c>
      <c r="AR22" s="458" t="str">
        <f>IF($AP22="","",IFERROR(INDEX($S$6:$S$53,_xlfn.AGGREGATE(15,6,(ROW($Q$6:$Q$53)-ROW($Q$6)+1)/(($Q$6:$Q$53&gt;0)*(MOD($S$6:$S$53,20)=10)),17)),""))</f>
        <v/>
      </c>
      <c r="AS22" s="501" t="str">
        <f t="shared" si="18"/>
        <v/>
      </c>
    </row>
    <row r="23" spans="1:45" ht="45.75" customHeight="1">
      <c r="A23" s="2257"/>
      <c r="C23" s="159">
        <f>+PP!B41</f>
        <v>18</v>
      </c>
      <c r="D23" s="164" t="str">
        <f>+PP!C41</f>
        <v>FILETE C/M C/T ENTERO BLANCO 2.0-4.0 kg/pza</v>
      </c>
      <c r="E23" s="2138"/>
      <c r="F23" s="2137"/>
      <c r="G23" s="2137"/>
      <c r="H23" s="2137"/>
      <c r="I23" s="2137"/>
      <c r="J23" s="2137"/>
      <c r="K23" s="2137"/>
      <c r="L23" s="2137"/>
      <c r="M23" s="2137"/>
      <c r="N23" s="2137"/>
      <c r="O23" s="2137"/>
      <c r="P23" s="2139"/>
      <c r="Q23" s="525">
        <f t="shared" si="20"/>
        <v>0</v>
      </c>
      <c r="R23" s="1392">
        <f t="shared" si="0"/>
        <v>0</v>
      </c>
      <c r="S23" s="146">
        <f t="shared" si="19"/>
        <v>0</v>
      </c>
      <c r="T23" s="452"/>
      <c r="U23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</f>
        <v/>
      </c>
      <c r="V23" s="1784" t="str">
        <f>IF($U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)</f>
        <v/>
      </c>
      <c r="W23" s="1713" t="str">
        <f t="shared" si="1"/>
        <v/>
      </c>
      <c r="X23" s="1713" t="str">
        <f t="shared" si="2"/>
        <v/>
      </c>
      <c r="Y23" s="1781" t="str">
        <f t="shared" si="3"/>
        <v/>
      </c>
      <c r="Z23" s="1171" t="str">
        <f t="shared" si="4"/>
        <v/>
      </c>
      <c r="AA23" s="1171" t="str">
        <f t="shared" si="5"/>
        <v/>
      </c>
      <c r="AB23" s="1691" t="str">
        <f t="shared" si="6"/>
        <v/>
      </c>
      <c r="AC23" s="1171" t="str">
        <f t="shared" si="7"/>
        <v/>
      </c>
      <c r="AD23" s="1171" t="str">
        <f t="shared" si="8"/>
        <v/>
      </c>
      <c r="AE23" s="1171" t="str">
        <f t="shared" si="9"/>
        <v/>
      </c>
      <c r="AF23" s="1171" t="str">
        <f t="shared" si="10"/>
        <v/>
      </c>
      <c r="AG23" s="1171" t="str">
        <f t="shared" si="11"/>
        <v/>
      </c>
      <c r="AH23" s="1171" t="str">
        <f t="shared" si="12"/>
        <v/>
      </c>
      <c r="AI23" s="1171" t="str">
        <f t="shared" si="13"/>
        <v/>
      </c>
      <c r="AJ23" s="1171" t="str">
        <f t="shared" si="14"/>
        <v/>
      </c>
      <c r="AK23" s="1171" t="str">
        <f t="shared" si="15"/>
        <v/>
      </c>
      <c r="AL23" s="1171" t="str">
        <f t="shared" si="16"/>
        <v/>
      </c>
      <c r="AM23" s="1362" t="str">
        <f t="shared" si="17"/>
        <v/>
      </c>
      <c r="AP23" s="499" t="str">
        <f>IFERROR(INDEX($C$6:$C$53,_xlfn.AGGREGATE(15,6,(ROW($Q$6:$Q$53)-ROW($Q$6)+1)/(($Q$6:$Q$53&gt;0)*(MOD($S$6:$S$53,20)=10)),18)),"")</f>
        <v/>
      </c>
      <c r="AQ23" s="500" t="str">
        <f>IF($AP23="","",IFERROR(INDEX($D$6:$D$53,_xlfn.AGGREGATE(15,6,(ROW($Q$6:$Q$53)-ROW($Q$6)+1)/(($Q$6:$Q$53&gt;0)*(MOD($S$6:$S$53,20)=10)),18)),""))</f>
        <v/>
      </c>
      <c r="AR23" s="458" t="str">
        <f>IF($AP23="","",IFERROR(INDEX($S$6:$S$53,_xlfn.AGGREGATE(15,6,(ROW($Q$6:$Q$53)-ROW($Q$6)+1)/(($Q$6:$Q$53&gt;0)*(MOD($S$6:$S$53,20)=10)),18)),""))</f>
        <v/>
      </c>
      <c r="AS23" s="501" t="str">
        <f t="shared" si="18"/>
        <v/>
      </c>
    </row>
    <row r="24" spans="1:45" ht="47.25" thickBot="1">
      <c r="A24" s="2257"/>
      <c r="C24" s="158">
        <f>+PP!B42</f>
        <v>19</v>
      </c>
      <c r="D24" s="163" t="str">
        <f>+PP!C42</f>
        <v>FILETE LP C/M C/T ENTERO 2.0-4.0 kg/pza</v>
      </c>
      <c r="E24" s="2233"/>
      <c r="F24" s="2234"/>
      <c r="G24" s="2234"/>
      <c r="H24" s="2234"/>
      <c r="I24" s="2234"/>
      <c r="J24" s="2234"/>
      <c r="K24" s="2234"/>
      <c r="L24" s="2234"/>
      <c r="M24" s="2234"/>
      <c r="N24" s="2234"/>
      <c r="O24" s="2234"/>
      <c r="P24" s="2235"/>
      <c r="Q24" s="511">
        <f t="shared" si="20"/>
        <v>0</v>
      </c>
      <c r="R24" s="1393">
        <f t="shared" si="0"/>
        <v>0</v>
      </c>
      <c r="S24" s="147">
        <f t="shared" si="19"/>
        <v>0</v>
      </c>
      <c r="T24" s="452"/>
      <c r="U24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</f>
        <v/>
      </c>
      <c r="V24" s="1784" t="str">
        <f>IF($U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)</f>
        <v/>
      </c>
      <c r="W24" s="1713" t="str">
        <f t="shared" si="1"/>
        <v/>
      </c>
      <c r="X24" s="1713" t="str">
        <f t="shared" si="2"/>
        <v/>
      </c>
      <c r="Y24" s="1781" t="str">
        <f t="shared" si="3"/>
        <v/>
      </c>
      <c r="Z24" s="1171" t="str">
        <f t="shared" si="4"/>
        <v/>
      </c>
      <c r="AA24" s="1171" t="str">
        <f t="shared" si="5"/>
        <v/>
      </c>
      <c r="AB24" s="1691" t="str">
        <f t="shared" si="6"/>
        <v/>
      </c>
      <c r="AC24" s="1171" t="str">
        <f t="shared" si="7"/>
        <v/>
      </c>
      <c r="AD24" s="1171" t="str">
        <f t="shared" si="8"/>
        <v/>
      </c>
      <c r="AE24" s="1171" t="str">
        <f t="shared" si="9"/>
        <v/>
      </c>
      <c r="AF24" s="1171" t="str">
        <f t="shared" si="10"/>
        <v/>
      </c>
      <c r="AG24" s="1171" t="str">
        <f t="shared" si="11"/>
        <v/>
      </c>
      <c r="AH24" s="1171" t="str">
        <f t="shared" si="12"/>
        <v/>
      </c>
      <c r="AI24" s="1171" t="str">
        <f t="shared" si="13"/>
        <v/>
      </c>
      <c r="AJ24" s="1171" t="str">
        <f t="shared" si="14"/>
        <v/>
      </c>
      <c r="AK24" s="1171" t="str">
        <f t="shared" si="15"/>
        <v/>
      </c>
      <c r="AL24" s="1171" t="str">
        <f t="shared" si="16"/>
        <v/>
      </c>
      <c r="AM24" s="1362" t="str">
        <f t="shared" si="17"/>
        <v/>
      </c>
      <c r="AP24" s="499" t="str">
        <f>IFERROR(INDEX($C$6:$C$53,_xlfn.AGGREGATE(15,6,(ROW($Q$6:$Q$53)-ROW($Q$6)+1)/(($Q$6:$Q$53&gt;0)*(MOD($S$6:$S$53,20)=10)),19)),"")</f>
        <v/>
      </c>
      <c r="AQ24" s="500" t="str">
        <f>IF($AP24="","",IFERROR(INDEX($D$6:$D$53,_xlfn.AGGREGATE(15,6,(ROW($Q$6:$Q$53)-ROW($Q$6)+1)/(($Q$6:$Q$53&gt;0)*(MOD($S$6:$S$53,20)=10)),19)),""))</f>
        <v/>
      </c>
      <c r="AR24" s="458" t="str">
        <f>IF($AP24="","",IFERROR(INDEX($S$6:$S$53,_xlfn.AGGREGATE(15,6,(ROW($Q$6:$Q$53)-ROW($Q$6)+1)/(($Q$6:$Q$53&gt;0)*(MOD($S$6:$S$53,20)=10)),19)),""))</f>
        <v/>
      </c>
      <c r="AS24" s="501" t="str">
        <f t="shared" si="18"/>
        <v/>
      </c>
    </row>
    <row r="25" spans="1:45" ht="46.5">
      <c r="A25" s="2257"/>
      <c r="C25" s="160">
        <f>+PP!B43</f>
        <v>20</v>
      </c>
      <c r="D25" s="162" t="str">
        <f>+PP!C43</f>
        <v>MANTO BLANCO C/M C/T 500-1000 g/pza</v>
      </c>
      <c r="E25" s="2230"/>
      <c r="F25" s="2231"/>
      <c r="G25" s="2231"/>
      <c r="H25" s="2231"/>
      <c r="I25" s="2231"/>
      <c r="J25" s="2231"/>
      <c r="K25" s="2231"/>
      <c r="L25" s="2231"/>
      <c r="M25" s="2231"/>
      <c r="N25" s="2231"/>
      <c r="O25" s="2231"/>
      <c r="P25" s="2232"/>
      <c r="Q25" s="513">
        <f t="shared" si="20"/>
        <v>0</v>
      </c>
      <c r="R25" s="148">
        <f t="shared" si="0"/>
        <v>0</v>
      </c>
      <c r="S25" s="145">
        <f t="shared" si="19"/>
        <v>0</v>
      </c>
      <c r="T25" s="452"/>
      <c r="U25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</f>
        <v/>
      </c>
      <c r="V25" s="1784" t="str">
        <f>IF($U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)</f>
        <v/>
      </c>
      <c r="W25" s="1713" t="str">
        <f t="shared" si="1"/>
        <v/>
      </c>
      <c r="X25" s="1713" t="str">
        <f t="shared" si="2"/>
        <v/>
      </c>
      <c r="Y25" s="1781" t="str">
        <f t="shared" si="3"/>
        <v/>
      </c>
      <c r="Z25" s="1171" t="str">
        <f t="shared" si="4"/>
        <v/>
      </c>
      <c r="AA25" s="1171" t="str">
        <f t="shared" si="5"/>
        <v/>
      </c>
      <c r="AB25" s="1691" t="str">
        <f t="shared" si="6"/>
        <v/>
      </c>
      <c r="AC25" s="1171" t="str">
        <f t="shared" si="7"/>
        <v/>
      </c>
      <c r="AD25" s="1171" t="str">
        <f t="shared" si="8"/>
        <v/>
      </c>
      <c r="AE25" s="1171" t="str">
        <f t="shared" si="9"/>
        <v/>
      </c>
      <c r="AF25" s="1171" t="str">
        <f t="shared" si="10"/>
        <v/>
      </c>
      <c r="AG25" s="1171" t="str">
        <f t="shared" si="11"/>
        <v/>
      </c>
      <c r="AH25" s="1171" t="str">
        <f t="shared" si="12"/>
        <v/>
      </c>
      <c r="AI25" s="1171" t="str">
        <f t="shared" si="13"/>
        <v/>
      </c>
      <c r="AJ25" s="1171" t="str">
        <f t="shared" si="14"/>
        <v/>
      </c>
      <c r="AK25" s="1171" t="str">
        <f t="shared" si="15"/>
        <v/>
      </c>
      <c r="AL25" s="1171" t="str">
        <f t="shared" si="16"/>
        <v/>
      </c>
      <c r="AM25" s="1362" t="str">
        <f t="shared" si="17"/>
        <v/>
      </c>
      <c r="AP25" s="499" t="str">
        <f>IFERROR(INDEX($C$6:$C$53,_xlfn.AGGREGATE(15,6,(ROW($Q$6:$Q$53)-ROW($Q$6)+1)/(($Q$6:$Q$53&gt;0)*(MOD($S$6:$S$53,20)=10)),20)),"")</f>
        <v/>
      </c>
      <c r="AQ25" s="500" t="str">
        <f>IF($AP25="","",IFERROR(INDEX($D$6:$D$53,_xlfn.AGGREGATE(15,6,(ROW($Q$6:$Q$53)-ROW($Q$6)+1)/(($Q$6:$Q$53&gt;0)*(MOD($S$6:$S$53,20)=10)),20)),""))</f>
        <v/>
      </c>
      <c r="AR25" s="458" t="str">
        <f>IF($AP25="","",IFERROR(INDEX($S$6:$S$53,_xlfn.AGGREGATE(15,6,(ROW($Q$6:$Q$53)-ROW($Q$6)+1)/(($Q$6:$Q$53&gt;0)*(MOD($S$6:$S$53,20)=10)),20)),""))</f>
        <v/>
      </c>
      <c r="AS25" s="501" t="str">
        <f t="shared" si="18"/>
        <v/>
      </c>
    </row>
    <row r="26" spans="1:45" ht="46.5">
      <c r="A26" s="2257"/>
      <c r="C26" s="159">
        <f>+PP!B44</f>
        <v>21</v>
      </c>
      <c r="D26" s="164" t="str">
        <f>+PP!C44</f>
        <v>MANTO BLANCO C/M C/T 1.0-2.0 kg/pza</v>
      </c>
      <c r="E26" s="2138"/>
      <c r="F26" s="2137"/>
      <c r="G26" s="2137"/>
      <c r="H26" s="2137"/>
      <c r="I26" s="2137"/>
      <c r="J26" s="2137"/>
      <c r="K26" s="2137"/>
      <c r="L26" s="2137"/>
      <c r="M26" s="2137"/>
      <c r="N26" s="2137"/>
      <c r="O26" s="2137"/>
      <c r="P26" s="2139"/>
      <c r="Q26" s="508">
        <f t="shared" si="20"/>
        <v>0</v>
      </c>
      <c r="R26" s="149">
        <f t="shared" si="0"/>
        <v>0</v>
      </c>
      <c r="S26" s="146">
        <f t="shared" si="19"/>
        <v>0</v>
      </c>
      <c r="T26" s="452"/>
      <c r="U2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</f>
        <v/>
      </c>
      <c r="V26" s="1784" t="str">
        <f>IF($U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)</f>
        <v/>
      </c>
      <c r="W26" s="1713" t="str">
        <f t="shared" si="1"/>
        <v/>
      </c>
      <c r="X26" s="1713" t="str">
        <f t="shared" si="2"/>
        <v/>
      </c>
      <c r="Y26" s="1781" t="str">
        <f t="shared" si="3"/>
        <v/>
      </c>
      <c r="Z26" s="1171" t="str">
        <f t="shared" si="4"/>
        <v/>
      </c>
      <c r="AA26" s="1171" t="str">
        <f t="shared" si="5"/>
        <v/>
      </c>
      <c r="AB26" s="1691" t="str">
        <f t="shared" si="6"/>
        <v/>
      </c>
      <c r="AC26" s="1171" t="str">
        <f t="shared" si="7"/>
        <v/>
      </c>
      <c r="AD26" s="1171" t="str">
        <f t="shared" si="8"/>
        <v/>
      </c>
      <c r="AE26" s="1171" t="str">
        <f t="shared" si="9"/>
        <v/>
      </c>
      <c r="AF26" s="1171" t="str">
        <f t="shared" si="10"/>
        <v/>
      </c>
      <c r="AG26" s="1171" t="str">
        <f t="shared" si="11"/>
        <v/>
      </c>
      <c r="AH26" s="1171" t="str">
        <f t="shared" si="12"/>
        <v/>
      </c>
      <c r="AI26" s="1171" t="str">
        <f t="shared" si="13"/>
        <v/>
      </c>
      <c r="AJ26" s="1171" t="str">
        <f t="shared" si="14"/>
        <v/>
      </c>
      <c r="AK26" s="1171" t="str">
        <f t="shared" si="15"/>
        <v/>
      </c>
      <c r="AL26" s="1171" t="str">
        <f t="shared" si="16"/>
        <v/>
      </c>
      <c r="AM26" s="1362" t="str">
        <f t="shared" si="17"/>
        <v/>
      </c>
      <c r="AP26" s="499" t="str">
        <f>IFERROR(INDEX($C$6:$C$53,_xlfn.AGGREGATE(15,6,(ROW($Q$6:$Q$53)-ROW($Q$6)+1)/(($Q$6:$Q$53&gt;0)*(MOD($S$6:$S$53,20)=10)),21)),"")</f>
        <v/>
      </c>
      <c r="AQ26" s="500" t="str">
        <f>IF($AP26="","",IFERROR(INDEX($D$6:$D$53,_xlfn.AGGREGATE(15,6,(ROW($Q$6:$Q$53)-ROW($Q$6)+1)/(($Q$6:$Q$53&gt;0)*(MOD($S$6:$S$53,20)=10)),21)),""))</f>
        <v/>
      </c>
      <c r="AR26" s="458" t="str">
        <f>IF($AP26="","",IFERROR(INDEX($S$6:$S$53,_xlfn.AGGREGATE(15,6,(ROW($Q$6:$Q$53)-ROW($Q$6)+1)/(($Q$6:$Q$53&gt;0)*(MOD($S$6:$S$53,20)=10)),21)),""))</f>
        <v/>
      </c>
      <c r="AS26" s="501" t="str">
        <f t="shared" si="18"/>
        <v/>
      </c>
    </row>
    <row r="27" spans="1:45" ht="47.25" thickBot="1">
      <c r="A27" s="2257"/>
      <c r="C27" s="159">
        <f>+PP!B45</f>
        <v>22</v>
      </c>
      <c r="D27" s="164" t="str">
        <f>+PP!C45</f>
        <v>MANTO BLANCO C/M C/T 2.0-4.0 kg/pza</v>
      </c>
      <c r="E27" s="2138"/>
      <c r="F27" s="2137"/>
      <c r="G27" s="2137"/>
      <c r="H27" s="2137"/>
      <c r="I27" s="2137"/>
      <c r="J27" s="2137"/>
      <c r="K27" s="2137"/>
      <c r="L27" s="2137"/>
      <c r="M27" s="2137"/>
      <c r="N27" s="2137"/>
      <c r="O27" s="2137"/>
      <c r="P27" s="2139"/>
      <c r="Q27" s="508">
        <f t="shared" si="20"/>
        <v>0</v>
      </c>
      <c r="R27" s="149">
        <f t="shared" si="0"/>
        <v>0</v>
      </c>
      <c r="S27" s="146">
        <f t="shared" si="19"/>
        <v>0</v>
      </c>
      <c r="T27" s="452"/>
      <c r="U2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</f>
        <v/>
      </c>
      <c r="V27" s="1784" t="str">
        <f>IF($U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)</f>
        <v/>
      </c>
      <c r="W27" s="1713" t="str">
        <f t="shared" si="1"/>
        <v/>
      </c>
      <c r="X27" s="1713" t="str">
        <f t="shared" si="2"/>
        <v/>
      </c>
      <c r="Y27" s="1782" t="str">
        <f t="shared" si="3"/>
        <v/>
      </c>
      <c r="Z27" s="1692" t="str">
        <f t="shared" si="4"/>
        <v/>
      </c>
      <c r="AA27" s="1692" t="str">
        <f t="shared" si="5"/>
        <v/>
      </c>
      <c r="AB27" s="1701" t="str">
        <f t="shared" si="6"/>
        <v/>
      </c>
      <c r="AC27" s="1692" t="str">
        <f t="shared" si="7"/>
        <v/>
      </c>
      <c r="AD27" s="1692" t="str">
        <f t="shared" si="8"/>
        <v/>
      </c>
      <c r="AE27" s="1692" t="str">
        <f t="shared" si="9"/>
        <v/>
      </c>
      <c r="AF27" s="1692" t="str">
        <f t="shared" si="10"/>
        <v/>
      </c>
      <c r="AG27" s="1692" t="str">
        <f t="shared" si="11"/>
        <v/>
      </c>
      <c r="AH27" s="1692" t="str">
        <f t="shared" si="12"/>
        <v/>
      </c>
      <c r="AI27" s="1692" t="str">
        <f t="shared" si="13"/>
        <v/>
      </c>
      <c r="AJ27" s="1692" t="str">
        <f t="shared" si="14"/>
        <v/>
      </c>
      <c r="AK27" s="1692" t="str">
        <f t="shared" si="15"/>
        <v/>
      </c>
      <c r="AL27" s="1692" t="str">
        <f t="shared" si="16"/>
        <v/>
      </c>
      <c r="AM27" s="1693" t="str">
        <f t="shared" si="17"/>
        <v/>
      </c>
      <c r="AP27" s="515" t="str">
        <f>IFERROR(INDEX($C$6:$C$53,_xlfn.AGGREGATE(15,6,(ROW($Q$6:$Q$53)-ROW($Q$6)+1)/(($Q$6:$Q$53&gt;0)*(MOD($S$6:$S$53,20)=10)),22)),"")</f>
        <v/>
      </c>
      <c r="AQ27" s="516" t="str">
        <f>IF($AP27="","",IFERROR(INDEX($D$6:$D$53,_xlfn.AGGREGATE(15,6,(ROW($Q$6:$Q$53)-ROW($Q$6)+1)/(($Q$6:$Q$53&gt;0)*(MOD($S$6:$S$53,20)=10)),22)),""))</f>
        <v/>
      </c>
      <c r="AR27" s="517" t="str">
        <f>IF($AP27="","",IFERROR(INDEX($S$6:$S$53,_xlfn.AGGREGATE(15,6,(ROW($Q$6:$Q$53)-ROW($Q$6)+1)/(($Q$6:$Q$53&gt;0)*(MOD($S$6:$S$53,20)=10)),22)),""))</f>
        <v/>
      </c>
      <c r="AS27" s="518" t="str">
        <f t="shared" si="18"/>
        <v/>
      </c>
    </row>
    <row r="28" spans="1:45" ht="47.25" thickBot="1">
      <c r="A28" s="2257"/>
      <c r="C28" s="159">
        <f>+PP!B46</f>
        <v>23</v>
      </c>
      <c r="D28" s="164" t="str">
        <f>+PP!C46</f>
        <v>MANTO LP C/M C/T 500-1000 g/pza</v>
      </c>
      <c r="E28" s="2138"/>
      <c r="F28" s="2137"/>
      <c r="G28" s="2137"/>
      <c r="H28" s="2137"/>
      <c r="I28" s="2137"/>
      <c r="J28" s="2137"/>
      <c r="K28" s="2137"/>
      <c r="L28" s="2137"/>
      <c r="M28" s="2137"/>
      <c r="N28" s="2137"/>
      <c r="O28" s="2137"/>
      <c r="P28" s="2139"/>
      <c r="Q28" s="508">
        <f t="shared" si="20"/>
        <v>0</v>
      </c>
      <c r="R28" s="149">
        <f t="shared" si="0"/>
        <v>0</v>
      </c>
      <c r="S28" s="146">
        <f t="shared" si="19"/>
        <v>0</v>
      </c>
      <c r="T28" s="452"/>
      <c r="U28" s="1727" t="s">
        <v>3</v>
      </c>
      <c r="V28" s="1785"/>
      <c r="W28" s="1786" t="str">
        <f t="shared" si="1"/>
        <v/>
      </c>
      <c r="X28" s="1786" t="str">
        <f t="shared" si="2"/>
        <v/>
      </c>
      <c r="Y28" s="1783" t="str">
        <f t="shared" si="3"/>
        <v/>
      </c>
      <c r="Z28" s="523" t="str">
        <f t="shared" si="4"/>
        <v/>
      </c>
      <c r="AA28" s="523" t="str">
        <f t="shared" si="5"/>
        <v/>
      </c>
      <c r="AB28" s="1702" t="str">
        <f t="shared" si="6"/>
        <v/>
      </c>
      <c r="AC28" s="523" t="str">
        <f t="shared" si="7"/>
        <v/>
      </c>
      <c r="AD28" s="523" t="str">
        <f t="shared" si="8"/>
        <v/>
      </c>
      <c r="AE28" s="523" t="str">
        <f t="shared" si="9"/>
        <v/>
      </c>
      <c r="AF28" s="523" t="str">
        <f t="shared" si="10"/>
        <v/>
      </c>
      <c r="AG28" s="523" t="str">
        <f t="shared" si="11"/>
        <v/>
      </c>
      <c r="AH28" s="523" t="str">
        <f t="shared" si="12"/>
        <v/>
      </c>
      <c r="AI28" s="523">
        <f t="shared" ref="AI28:AK28" si="21">SUM(AI6:AI27)</f>
        <v>0</v>
      </c>
      <c r="AJ28" s="523">
        <f t="shared" si="21"/>
        <v>0</v>
      </c>
      <c r="AK28" s="523">
        <f t="shared" si="21"/>
        <v>0</v>
      </c>
      <c r="AL28" s="523" t="str">
        <f>IF(COUNTIF(AL6:AL27,"REVISIÓN*")&gt;0,"REVISAR","OK")</f>
        <v>OK</v>
      </c>
      <c r="AM28" s="482" t="str">
        <f>IF(COUNTIF(AM6:AM27,"SÍ")&gt;0,"HAY","NO")</f>
        <v>NO</v>
      </c>
      <c r="AP28" s="2517" t="s">
        <v>514</v>
      </c>
      <c r="AQ28" s="2518"/>
      <c r="AR28" s="2519">
        <f>COUNT($AP$6:$AP$27)</f>
        <v>0</v>
      </c>
      <c r="AS28" s="2520"/>
    </row>
    <row r="29" spans="1:45" ht="46.5">
      <c r="A29" s="2257"/>
      <c r="C29" s="159">
        <f>+PP!B47</f>
        <v>24</v>
      </c>
      <c r="D29" s="164" t="str">
        <f>+PP!C47</f>
        <v>MANTO LP C/M C/T 1.0-2.0 Kg/pza</v>
      </c>
      <c r="E29" s="2138"/>
      <c r="F29" s="2137"/>
      <c r="G29" s="2137"/>
      <c r="H29" s="2137"/>
      <c r="I29" s="2137"/>
      <c r="J29" s="2137"/>
      <c r="K29" s="2137"/>
      <c r="L29" s="2137"/>
      <c r="M29" s="2137"/>
      <c r="N29" s="2137"/>
      <c r="O29" s="2137"/>
      <c r="P29" s="2139"/>
      <c r="Q29" s="508">
        <f t="shared" si="20"/>
        <v>0</v>
      </c>
      <c r="R29" s="149">
        <f t="shared" si="0"/>
        <v>0</v>
      </c>
      <c r="S29" s="146">
        <f t="shared" si="19"/>
        <v>0</v>
      </c>
      <c r="T29" s="452"/>
      <c r="U29" s="1724"/>
      <c r="V29" s="1724"/>
      <c r="W29" s="1724" t="str">
        <f t="shared" si="1"/>
        <v/>
      </c>
      <c r="X29" s="1724" t="str">
        <f t="shared" si="2"/>
        <v/>
      </c>
      <c r="Y29" t="str">
        <f t="shared" si="3"/>
        <v/>
      </c>
      <c r="Z29" t="str">
        <f t="shared" si="4"/>
        <v/>
      </c>
      <c r="AA29" t="str">
        <f t="shared" si="5"/>
        <v/>
      </c>
      <c r="AB29" t="str">
        <f t="shared" si="6"/>
        <v/>
      </c>
      <c r="AC29" t="str">
        <f t="shared" si="7"/>
        <v/>
      </c>
      <c r="AD29" t="str">
        <f t="shared" si="8"/>
        <v/>
      </c>
      <c r="AE29" t="str">
        <f t="shared" si="9"/>
        <v/>
      </c>
      <c r="AF29" t="str">
        <f t="shared" si="10"/>
        <v/>
      </c>
      <c r="AG29" t="str">
        <f t="shared" si="11"/>
        <v/>
      </c>
      <c r="AH29" t="str">
        <f t="shared" si="12"/>
        <v/>
      </c>
      <c r="AI29"/>
      <c r="AJ29"/>
      <c r="AK29"/>
      <c r="AL29"/>
      <c r="AM29"/>
    </row>
    <row r="30" spans="1:45" ht="47.25" thickBot="1">
      <c r="A30" s="2257"/>
      <c r="C30" s="161">
        <f>+PP!B48</f>
        <v>25</v>
      </c>
      <c r="D30" s="163" t="str">
        <f>+PP!C48</f>
        <v>MANTO LP C/M C/T 2.0-4.0 Kg/pza</v>
      </c>
      <c r="E30" s="2233"/>
      <c r="F30" s="2234"/>
      <c r="G30" s="2234"/>
      <c r="H30" s="2234"/>
      <c r="I30" s="2234"/>
      <c r="J30" s="2234"/>
      <c r="K30" s="2234"/>
      <c r="L30" s="2234"/>
      <c r="M30" s="2234"/>
      <c r="N30" s="2234"/>
      <c r="O30" s="2234"/>
      <c r="P30" s="2235"/>
      <c r="Q30" s="524">
        <f t="shared" si="20"/>
        <v>0</v>
      </c>
      <c r="R30" s="150">
        <f t="shared" si="0"/>
        <v>0</v>
      </c>
      <c r="S30" s="147">
        <f t="shared" si="19"/>
        <v>0</v>
      </c>
      <c r="T30" s="452"/>
      <c r="U30" s="1724"/>
      <c r="V30" s="1724"/>
      <c r="W30" s="1724" t="str">
        <f t="shared" si="1"/>
        <v/>
      </c>
      <c r="X30" s="1724" t="str">
        <f t="shared" si="2"/>
        <v/>
      </c>
      <c r="Y30" t="str">
        <f t="shared" si="3"/>
        <v/>
      </c>
      <c r="Z30" t="str">
        <f t="shared" si="4"/>
        <v/>
      </c>
      <c r="AA30" t="str">
        <f t="shared" si="5"/>
        <v/>
      </c>
      <c r="AB30" t="str">
        <f t="shared" si="6"/>
        <v/>
      </c>
      <c r="AC30" t="str">
        <f t="shared" si="7"/>
        <v/>
      </c>
      <c r="AD30" t="str">
        <f t="shared" si="8"/>
        <v/>
      </c>
      <c r="AE30" t="str">
        <f t="shared" si="9"/>
        <v/>
      </c>
      <c r="AF30" t="str">
        <f t="shared" si="10"/>
        <v/>
      </c>
      <c r="AG30" t="str">
        <f t="shared" si="11"/>
        <v/>
      </c>
      <c r="AH30" t="str">
        <f t="shared" si="12"/>
        <v/>
      </c>
      <c r="AI30"/>
      <c r="AJ30"/>
      <c r="AK30"/>
      <c r="AL30"/>
      <c r="AM30"/>
    </row>
    <row r="31" spans="1:45" ht="46.5">
      <c r="A31" s="2257"/>
      <c r="C31" s="157">
        <f>+PP!B49</f>
        <v>26</v>
      </c>
      <c r="D31" s="166" t="str">
        <f>+PP!C49</f>
        <v>NUCA C/C CERRADO 0-100 g/pza</v>
      </c>
      <c r="E31" s="2161"/>
      <c r="F31" s="2162"/>
      <c r="G31" s="2162"/>
      <c r="H31" s="2162"/>
      <c r="I31" s="2162"/>
      <c r="J31" s="2162"/>
      <c r="K31" s="2162"/>
      <c r="L31" s="2162"/>
      <c r="M31" s="2162"/>
      <c r="N31" s="2162"/>
      <c r="O31" s="2162"/>
      <c r="P31" s="2163"/>
      <c r="Q31" s="510">
        <f t="shared" si="20"/>
        <v>0</v>
      </c>
      <c r="R31" s="148">
        <f t="shared" si="0"/>
        <v>0</v>
      </c>
      <c r="S31" s="145">
        <f t="shared" si="19"/>
        <v>0</v>
      </c>
      <c r="T31" s="452"/>
      <c r="U31" s="1724"/>
      <c r="V31" s="1724"/>
      <c r="W31" s="1724" t="str">
        <f t="shared" si="1"/>
        <v/>
      </c>
      <c r="X31" s="1724" t="str">
        <f t="shared" si="2"/>
        <v/>
      </c>
      <c r="Y31" t="str">
        <f t="shared" si="3"/>
        <v/>
      </c>
      <c r="Z31" t="str">
        <f t="shared" si="4"/>
        <v/>
      </c>
      <c r="AA31" t="str">
        <f t="shared" si="5"/>
        <v/>
      </c>
      <c r="AB31" t="str">
        <f t="shared" si="6"/>
        <v/>
      </c>
      <c r="AC31" t="str">
        <f t="shared" si="7"/>
        <v/>
      </c>
      <c r="AD31" t="str">
        <f t="shared" si="8"/>
        <v/>
      </c>
      <c r="AE31" t="str">
        <f t="shared" si="9"/>
        <v/>
      </c>
      <c r="AF31" t="str">
        <f t="shared" si="10"/>
        <v/>
      </c>
      <c r="AG31" t="str">
        <f t="shared" si="11"/>
        <v/>
      </c>
      <c r="AH31" t="str">
        <f t="shared" si="12"/>
        <v/>
      </c>
      <c r="AI31"/>
      <c r="AJ31"/>
      <c r="AK31"/>
      <c r="AL31"/>
      <c r="AM31"/>
    </row>
    <row r="32" spans="1:45" ht="46.5">
      <c r="A32" s="2257"/>
      <c r="C32" s="159">
        <f>+PP!B50</f>
        <v>27</v>
      </c>
      <c r="D32" s="164" t="str">
        <f>+PP!C50</f>
        <v>NUCA C/C ABIERTO 100-300 g/pza</v>
      </c>
      <c r="E32" s="2138"/>
      <c r="F32" s="2137"/>
      <c r="G32" s="2137"/>
      <c r="H32" s="2137"/>
      <c r="I32" s="2137"/>
      <c r="J32" s="2137"/>
      <c r="K32" s="2137"/>
      <c r="L32" s="2137"/>
      <c r="M32" s="2137"/>
      <c r="N32" s="2137"/>
      <c r="O32" s="2137"/>
      <c r="P32" s="2139"/>
      <c r="Q32" s="525">
        <f t="shared" si="20"/>
        <v>0</v>
      </c>
      <c r="R32" s="149">
        <f t="shared" si="0"/>
        <v>0</v>
      </c>
      <c r="S32" s="146">
        <f t="shared" si="19"/>
        <v>0</v>
      </c>
      <c r="T32" s="452"/>
      <c r="U32" s="1724"/>
      <c r="V32" s="1724"/>
      <c r="W32" s="1724" t="str">
        <f t="shared" si="1"/>
        <v/>
      </c>
      <c r="X32" s="1724" t="str">
        <f t="shared" si="2"/>
        <v/>
      </c>
      <c r="Y32" s="1724" t="str">
        <f t="shared" si="3"/>
        <v/>
      </c>
      <c r="Z32" s="1724" t="str">
        <f t="shared" si="4"/>
        <v/>
      </c>
      <c r="AA32" s="1724" t="str">
        <f t="shared" si="5"/>
        <v/>
      </c>
      <c r="AB32" s="1724" t="str">
        <f t="shared" si="6"/>
        <v/>
      </c>
      <c r="AC32" t="str">
        <f t="shared" si="7"/>
        <v/>
      </c>
      <c r="AD32" t="str">
        <f t="shared" si="8"/>
        <v/>
      </c>
      <c r="AE32" t="str">
        <f t="shared" si="9"/>
        <v/>
      </c>
      <c r="AF32" t="str">
        <f t="shared" si="10"/>
        <v/>
      </c>
      <c r="AG32" t="str">
        <f t="shared" si="11"/>
        <v/>
      </c>
      <c r="AH32" t="str">
        <f t="shared" si="12"/>
        <v/>
      </c>
      <c r="AI32"/>
      <c r="AJ32"/>
      <c r="AK32"/>
      <c r="AL32"/>
      <c r="AM32"/>
    </row>
    <row r="33" spans="1:39" ht="46.5">
      <c r="A33" s="2257"/>
      <c r="C33" s="159">
        <f>+PP!B51</f>
        <v>28</v>
      </c>
      <c r="D33" s="167" t="str">
        <f>+PP!C51</f>
        <v>NUCA C/C ABIERTO 300-500 g/pza</v>
      </c>
      <c r="E33" s="2138"/>
      <c r="F33" s="2137"/>
      <c r="G33" s="2137"/>
      <c r="H33" s="2137"/>
      <c r="I33" s="2137"/>
      <c r="J33" s="2137"/>
      <c r="K33" s="2137"/>
      <c r="L33" s="2137"/>
      <c r="M33" s="2137"/>
      <c r="N33" s="2137"/>
      <c r="O33" s="2137"/>
      <c r="P33" s="2139"/>
      <c r="Q33" s="1032">
        <f t="shared" si="20"/>
        <v>0</v>
      </c>
      <c r="R33" s="149">
        <f t="shared" si="0"/>
        <v>0</v>
      </c>
      <c r="S33" s="146">
        <f t="shared" si="19"/>
        <v>0</v>
      </c>
      <c r="T33" s="452"/>
      <c r="U33" s="1724"/>
      <c r="V33" s="1724"/>
      <c r="W33" s="1724" t="str">
        <f t="shared" si="1"/>
        <v/>
      </c>
      <c r="X33" s="1724" t="str">
        <f t="shared" si="2"/>
        <v/>
      </c>
      <c r="Y33" s="1724" t="str">
        <f t="shared" si="3"/>
        <v/>
      </c>
      <c r="Z33" s="1724" t="str">
        <f t="shared" si="4"/>
        <v/>
      </c>
      <c r="AA33" s="1724" t="str">
        <f t="shared" si="5"/>
        <v/>
      </c>
      <c r="AB33" s="1724" t="str">
        <f t="shared" si="6"/>
        <v/>
      </c>
      <c r="AC33" t="str">
        <f t="shared" si="7"/>
        <v/>
      </c>
      <c r="AD33" t="str">
        <f t="shared" si="8"/>
        <v/>
      </c>
      <c r="AE33" t="str">
        <f t="shared" si="9"/>
        <v/>
      </c>
      <c r="AF33" t="str">
        <f t="shared" si="10"/>
        <v/>
      </c>
      <c r="AG33" t="str">
        <f t="shared" si="11"/>
        <v/>
      </c>
      <c r="AH33" t="str">
        <f t="shared" si="12"/>
        <v/>
      </c>
      <c r="AI33"/>
      <c r="AJ33"/>
      <c r="AK33"/>
      <c r="AL33"/>
      <c r="AM33"/>
    </row>
    <row r="34" spans="1:39" ht="46.5">
      <c r="A34" s="2257"/>
      <c r="C34" s="159">
        <f>+PP!B52</f>
        <v>29</v>
      </c>
      <c r="D34" s="164" t="str">
        <f>+PP!C52</f>
        <v>NUCA C/C ABIERTO 500-1000 g/pza</v>
      </c>
      <c r="E34" s="2138"/>
      <c r="F34" s="2137"/>
      <c r="G34" s="2137"/>
      <c r="H34" s="2137"/>
      <c r="I34" s="2137"/>
      <c r="J34" s="2137"/>
      <c r="K34" s="2137"/>
      <c r="L34" s="2137"/>
      <c r="M34" s="2137"/>
      <c r="N34" s="2137"/>
      <c r="O34" s="2137"/>
      <c r="P34" s="2139"/>
      <c r="Q34" s="525">
        <f t="shared" si="20"/>
        <v>0</v>
      </c>
      <c r="R34" s="149">
        <f t="shared" si="0"/>
        <v>0</v>
      </c>
      <c r="S34" s="146">
        <f t="shared" si="19"/>
        <v>0</v>
      </c>
      <c r="T34" s="452"/>
      <c r="U34" s="1724"/>
      <c r="V34" s="1724"/>
      <c r="W34" s="1724" t="str">
        <f t="shared" si="1"/>
        <v/>
      </c>
      <c r="X34" s="1724" t="str">
        <f t="shared" si="2"/>
        <v/>
      </c>
      <c r="Y34" s="1724" t="str">
        <f t="shared" si="3"/>
        <v/>
      </c>
      <c r="Z34" s="1724" t="str">
        <f t="shared" si="4"/>
        <v/>
      </c>
      <c r="AA34" s="1724" t="str">
        <f t="shared" si="5"/>
        <v/>
      </c>
      <c r="AB34" s="1724" t="str">
        <f t="shared" si="6"/>
        <v/>
      </c>
      <c r="AC34" t="str">
        <f t="shared" si="7"/>
        <v/>
      </c>
      <c r="AD34" t="str">
        <f t="shared" si="8"/>
        <v/>
      </c>
      <c r="AE34" t="str">
        <f t="shared" si="9"/>
        <v/>
      </c>
      <c r="AF34" t="str">
        <f t="shared" si="10"/>
        <v/>
      </c>
      <c r="AG34" t="str">
        <f t="shared" si="11"/>
        <v/>
      </c>
      <c r="AH34" t="str">
        <f t="shared" si="12"/>
        <v/>
      </c>
      <c r="AI34"/>
      <c r="AJ34"/>
      <c r="AK34"/>
      <c r="AL34"/>
      <c r="AM34"/>
    </row>
    <row r="35" spans="1:39" ht="47.25" thickBot="1">
      <c r="A35" s="2257"/>
      <c r="C35" s="161">
        <f>+PP!B53</f>
        <v>30</v>
      </c>
      <c r="D35" s="167" t="str">
        <f>+PP!C53</f>
        <v>NUCA C/C ABIERTO 1.0 - UP kg/pza</v>
      </c>
      <c r="E35" s="2898"/>
      <c r="F35" s="2899"/>
      <c r="G35" s="2899"/>
      <c r="H35" s="2899"/>
      <c r="I35" s="2899"/>
      <c r="J35" s="2899"/>
      <c r="K35" s="2899"/>
      <c r="L35" s="2899"/>
      <c r="M35" s="2899"/>
      <c r="N35" s="2899"/>
      <c r="O35" s="2899"/>
      <c r="P35" s="2900"/>
      <c r="Q35" s="511">
        <f t="shared" si="20"/>
        <v>0</v>
      </c>
      <c r="R35" s="150">
        <f t="shared" si="0"/>
        <v>0</v>
      </c>
      <c r="S35" s="147">
        <f t="shared" si="19"/>
        <v>0</v>
      </c>
      <c r="T35" s="452"/>
      <c r="U35" s="1724"/>
      <c r="V35" s="1724"/>
      <c r="W35" s="1724" t="str">
        <f t="shared" si="1"/>
        <v/>
      </c>
      <c r="X35" s="1724" t="str">
        <f t="shared" si="2"/>
        <v/>
      </c>
      <c r="Y35" s="1724" t="str">
        <f t="shared" si="3"/>
        <v/>
      </c>
      <c r="Z35" s="1724" t="str">
        <f t="shared" si="4"/>
        <v/>
      </c>
      <c r="AA35" s="1724" t="str">
        <f t="shared" si="5"/>
        <v/>
      </c>
      <c r="AB35" s="1724" t="str">
        <f t="shared" si="6"/>
        <v/>
      </c>
      <c r="AC35" t="str">
        <f t="shared" si="7"/>
        <v/>
      </c>
      <c r="AD35" t="str">
        <f t="shared" si="8"/>
        <v/>
      </c>
      <c r="AE35" t="str">
        <f t="shared" si="9"/>
        <v/>
      </c>
      <c r="AF35" t="str">
        <f t="shared" si="10"/>
        <v/>
      </c>
      <c r="AG35" t="str">
        <f t="shared" si="11"/>
        <v/>
      </c>
      <c r="AH35" t="str">
        <f t="shared" si="12"/>
        <v/>
      </c>
      <c r="AI35"/>
      <c r="AJ35"/>
      <c r="AK35"/>
      <c r="AL35"/>
      <c r="AM35"/>
    </row>
    <row r="36" spans="1:39" ht="46.5">
      <c r="A36" s="2257"/>
      <c r="C36" s="157">
        <f>+PP!B54</f>
        <v>31</v>
      </c>
      <c r="D36" s="162" t="str">
        <f>+PP!C54</f>
        <v>RECORTE BLANCO SM ST</v>
      </c>
      <c r="E36" s="2230"/>
      <c r="F36" s="2231"/>
      <c r="G36" s="2231"/>
      <c r="H36" s="2231"/>
      <c r="I36" s="2231"/>
      <c r="J36" s="2231"/>
      <c r="K36" s="2231"/>
      <c r="L36" s="2231"/>
      <c r="M36" s="2231"/>
      <c r="N36" s="2231"/>
      <c r="O36" s="2231"/>
      <c r="P36" s="2232"/>
      <c r="Q36" s="513">
        <f t="shared" si="20"/>
        <v>0</v>
      </c>
      <c r="R36" s="151">
        <f t="shared" si="0"/>
        <v>0</v>
      </c>
      <c r="S36" s="664">
        <f t="shared" si="19"/>
        <v>0</v>
      </c>
      <c r="T36" s="452"/>
      <c r="U36" s="1724"/>
      <c r="V36" s="1724"/>
      <c r="W36" s="1724" t="str">
        <f t="shared" si="1"/>
        <v/>
      </c>
      <c r="X36" s="1724" t="str">
        <f t="shared" si="2"/>
        <v/>
      </c>
      <c r="Y36" s="1724" t="str">
        <f t="shared" si="3"/>
        <v/>
      </c>
      <c r="Z36" s="1724" t="str">
        <f t="shared" si="4"/>
        <v/>
      </c>
      <c r="AA36" s="1724" t="str">
        <f t="shared" si="5"/>
        <v/>
      </c>
      <c r="AB36" s="1724" t="str">
        <f t="shared" si="6"/>
        <v/>
      </c>
      <c r="AC36" t="str">
        <f t="shared" si="7"/>
        <v/>
      </c>
      <c r="AD36" t="str">
        <f t="shared" si="8"/>
        <v/>
      </c>
      <c r="AE36" t="str">
        <f t="shared" si="9"/>
        <v/>
      </c>
      <c r="AF36" t="str">
        <f t="shared" si="10"/>
        <v/>
      </c>
      <c r="AG36" t="str">
        <f t="shared" si="11"/>
        <v/>
      </c>
      <c r="AH36" t="str">
        <f t="shared" si="12"/>
        <v/>
      </c>
      <c r="AI36"/>
      <c r="AJ36"/>
      <c r="AK36"/>
      <c r="AL36"/>
      <c r="AM36"/>
    </row>
    <row r="37" spans="1:39" ht="46.5">
      <c r="A37" s="2257"/>
      <c r="C37" s="159">
        <f>+PP!B55</f>
        <v>32</v>
      </c>
      <c r="D37" s="164" t="str">
        <f>+PP!C55</f>
        <v>RECORTE AMARILLO SM ST</v>
      </c>
      <c r="E37" s="2138"/>
      <c r="F37" s="2137"/>
      <c r="G37" s="2137"/>
      <c r="H37" s="2137"/>
      <c r="I37" s="2137"/>
      <c r="J37" s="2137"/>
      <c r="K37" s="2137"/>
      <c r="L37" s="2137"/>
      <c r="M37" s="2137"/>
      <c r="N37" s="2137"/>
      <c r="O37" s="2137"/>
      <c r="P37" s="2139"/>
      <c r="Q37" s="508">
        <f t="shared" si="20"/>
        <v>0</v>
      </c>
      <c r="R37" s="149">
        <f t="shared" si="0"/>
        <v>0</v>
      </c>
      <c r="S37" s="664">
        <f t="shared" si="19"/>
        <v>0</v>
      </c>
      <c r="T37" s="452"/>
      <c r="U37" s="1724"/>
      <c r="V37" s="1724"/>
      <c r="W37" s="1724" t="str">
        <f t="shared" si="1"/>
        <v/>
      </c>
      <c r="X37" s="1724" t="str">
        <f t="shared" si="2"/>
        <v/>
      </c>
      <c r="Y37" s="1724" t="str">
        <f t="shared" si="3"/>
        <v/>
      </c>
      <c r="Z37" s="1724" t="str">
        <f t="shared" si="4"/>
        <v/>
      </c>
      <c r="AA37" s="1724" t="str">
        <f t="shared" si="5"/>
        <v/>
      </c>
      <c r="AB37" s="1724" t="str">
        <f t="shared" si="6"/>
        <v/>
      </c>
      <c r="AC37" t="str">
        <f t="shared" si="7"/>
        <v/>
      </c>
      <c r="AD37" t="str">
        <f t="shared" si="8"/>
        <v/>
      </c>
      <c r="AE37" t="str">
        <f t="shared" si="9"/>
        <v/>
      </c>
      <c r="AF37" t="str">
        <f t="shared" si="10"/>
        <v/>
      </c>
      <c r="AG37" t="str">
        <f t="shared" si="11"/>
        <v/>
      </c>
      <c r="AH37" t="str">
        <f t="shared" si="12"/>
        <v/>
      </c>
      <c r="AI37"/>
      <c r="AJ37"/>
      <c r="AK37"/>
      <c r="AL37"/>
      <c r="AM37"/>
    </row>
    <row r="38" spans="1:39" ht="47.25" thickBot="1">
      <c r="A38" s="2257"/>
      <c r="C38" s="158">
        <f>+PP!B56</f>
        <v>33</v>
      </c>
      <c r="D38" s="163" t="str">
        <f>+PP!C56</f>
        <v>RECORTE PRECOCIDO</v>
      </c>
      <c r="E38" s="2233"/>
      <c r="F38" s="2234"/>
      <c r="G38" s="2234"/>
      <c r="H38" s="2234"/>
      <c r="I38" s="2234"/>
      <c r="J38" s="2234"/>
      <c r="K38" s="2234"/>
      <c r="L38" s="2234"/>
      <c r="M38" s="2234"/>
      <c r="N38" s="2234"/>
      <c r="O38" s="2234"/>
      <c r="P38" s="2235"/>
      <c r="Q38" s="524">
        <f t="shared" si="20"/>
        <v>0</v>
      </c>
      <c r="R38" s="150">
        <f t="shared" si="0"/>
        <v>0</v>
      </c>
      <c r="S38" s="958">
        <f t="shared" si="19"/>
        <v>0</v>
      </c>
      <c r="T38" s="452"/>
      <c r="U38" s="1724"/>
      <c r="V38" s="1724"/>
      <c r="W38" s="1724" t="str">
        <f t="shared" si="1"/>
        <v/>
      </c>
      <c r="X38" s="1724" t="str">
        <f t="shared" si="2"/>
        <v/>
      </c>
      <c r="Y38" s="1724" t="str">
        <f t="shared" si="3"/>
        <v/>
      </c>
      <c r="Z38" s="1724" t="str">
        <f t="shared" si="4"/>
        <v/>
      </c>
      <c r="AA38" s="1724" t="str">
        <f t="shared" si="5"/>
        <v/>
      </c>
      <c r="AB38" s="1724" t="str">
        <f t="shared" si="6"/>
        <v/>
      </c>
      <c r="AC38" t="str">
        <f t="shared" si="7"/>
        <v/>
      </c>
      <c r="AD38" t="str">
        <f t="shared" si="8"/>
        <v/>
      </c>
      <c r="AE38" t="str">
        <f t="shared" si="9"/>
        <v/>
      </c>
      <c r="AF38" t="str">
        <f t="shared" si="10"/>
        <v/>
      </c>
      <c r="AG38" t="str">
        <f t="shared" si="11"/>
        <v/>
      </c>
      <c r="AH38" t="str">
        <f t="shared" si="12"/>
        <v/>
      </c>
      <c r="AI38"/>
      <c r="AJ38"/>
      <c r="AK38"/>
      <c r="AL38"/>
      <c r="AM38"/>
    </row>
    <row r="39" spans="1:39" ht="46.5">
      <c r="A39" s="2257"/>
      <c r="C39" s="41">
        <f>+PP!B57</f>
        <v>34</v>
      </c>
      <c r="D39" s="162" t="str">
        <f>+PP!C57</f>
        <v>REPRODUCTORES SV, PEQUEÑO</v>
      </c>
      <c r="E39" s="2230"/>
      <c r="F39" s="2231"/>
      <c r="G39" s="2231"/>
      <c r="H39" s="2231"/>
      <c r="I39" s="2231"/>
      <c r="J39" s="2231"/>
      <c r="K39" s="2231"/>
      <c r="L39" s="2231"/>
      <c r="M39" s="2231"/>
      <c r="N39" s="2231"/>
      <c r="O39" s="2231"/>
      <c r="P39" s="2232"/>
      <c r="Q39" s="510">
        <f t="shared" si="20"/>
        <v>0</v>
      </c>
      <c r="R39" s="151">
        <f t="shared" si="0"/>
        <v>0</v>
      </c>
      <c r="S39" s="145">
        <f t="shared" si="19"/>
        <v>0</v>
      </c>
      <c r="T39" s="452"/>
      <c r="U39" s="1724"/>
      <c r="V39" s="1724"/>
      <c r="W39" s="1724" t="str">
        <f t="shared" si="1"/>
        <v/>
      </c>
      <c r="X39" s="1724" t="str">
        <f t="shared" si="2"/>
        <v/>
      </c>
      <c r="Y39" t="str">
        <f t="shared" si="3"/>
        <v/>
      </c>
      <c r="Z39" t="str">
        <f t="shared" si="4"/>
        <v/>
      </c>
      <c r="AA39" t="str">
        <f t="shared" si="5"/>
        <v/>
      </c>
      <c r="AB39" t="str">
        <f t="shared" si="6"/>
        <v/>
      </c>
      <c r="AC39" t="str">
        <f t="shared" si="7"/>
        <v/>
      </c>
      <c r="AD39" t="str">
        <f t="shared" si="8"/>
        <v/>
      </c>
      <c r="AE39" t="str">
        <f t="shared" si="9"/>
        <v/>
      </c>
      <c r="AF39" t="str">
        <f t="shared" si="10"/>
        <v/>
      </c>
      <c r="AG39" t="str">
        <f t="shared" si="11"/>
        <v/>
      </c>
      <c r="AH39" t="str">
        <f t="shared" si="12"/>
        <v/>
      </c>
      <c r="AI39"/>
      <c r="AJ39"/>
      <c r="AK39"/>
      <c r="AL39"/>
    </row>
    <row r="40" spans="1:39" ht="47.25" thickBot="1">
      <c r="A40" s="2257"/>
      <c r="C40" s="40">
        <f>+PP!B58</f>
        <v>35</v>
      </c>
      <c r="D40" s="163" t="str">
        <f>+PP!C58</f>
        <v>REPRODUCTOR SV GRANDE</v>
      </c>
      <c r="E40" s="2233"/>
      <c r="F40" s="2234"/>
      <c r="G40" s="2234"/>
      <c r="H40" s="2234"/>
      <c r="I40" s="2234"/>
      <c r="J40" s="2234"/>
      <c r="K40" s="2234"/>
      <c r="L40" s="2234"/>
      <c r="M40" s="2234"/>
      <c r="N40" s="2234"/>
      <c r="O40" s="2234"/>
      <c r="P40" s="2235"/>
      <c r="Q40" s="511">
        <f t="shared" si="20"/>
        <v>0</v>
      </c>
      <c r="R40" s="150">
        <f>Q40/2</f>
        <v>0</v>
      </c>
      <c r="S40" s="147">
        <f>+Q40*10</f>
        <v>0</v>
      </c>
      <c r="T40" s="452"/>
      <c r="U40" s="1724"/>
      <c r="V40" s="1724"/>
      <c r="W40" s="1724" t="str">
        <f t="shared" si="1"/>
        <v/>
      </c>
      <c r="X40" s="1724" t="str">
        <f t="shared" si="2"/>
        <v/>
      </c>
      <c r="Y40" t="str">
        <f t="shared" si="3"/>
        <v/>
      </c>
      <c r="Z40" t="str">
        <f t="shared" si="4"/>
        <v/>
      </c>
      <c r="AA40" t="str">
        <f t="shared" si="5"/>
        <v/>
      </c>
      <c r="AB40" t="str">
        <f t="shared" si="6"/>
        <v/>
      </c>
      <c r="AC40" t="str">
        <f t="shared" si="7"/>
        <v/>
      </c>
      <c r="AD40" t="str">
        <f t="shared" si="8"/>
        <v/>
      </c>
      <c r="AE40" t="str">
        <f t="shared" si="9"/>
        <v/>
      </c>
      <c r="AF40" t="str">
        <f t="shared" si="10"/>
        <v/>
      </c>
      <c r="AG40" t="str">
        <f t="shared" si="11"/>
        <v/>
      </c>
      <c r="AH40" t="str">
        <f t="shared" si="12"/>
        <v/>
      </c>
      <c r="AI40"/>
      <c r="AJ40"/>
      <c r="AK40"/>
      <c r="AL40"/>
    </row>
    <row r="41" spans="1:39" ht="43.5" customHeight="1" thickBot="1">
      <c r="A41" s="2257"/>
      <c r="C41" s="526">
        <f>+PP!B59</f>
        <v>36</v>
      </c>
      <c r="D41" s="538" t="str">
        <f>+PP!C59</f>
        <v>TUBO ALETA 1.0-2.0 Kg/pza</v>
      </c>
      <c r="E41" s="2236"/>
      <c r="F41" s="2237"/>
      <c r="G41" s="2237"/>
      <c r="H41" s="2237"/>
      <c r="I41" s="2237"/>
      <c r="J41" s="2237"/>
      <c r="K41" s="2237"/>
      <c r="L41" s="2237"/>
      <c r="M41" s="2237"/>
      <c r="N41" s="2237"/>
      <c r="O41" s="2237"/>
      <c r="P41" s="2238"/>
      <c r="Q41" s="527">
        <f t="shared" si="20"/>
        <v>0</v>
      </c>
      <c r="R41" s="153">
        <f t="shared" si="0"/>
        <v>0</v>
      </c>
      <c r="S41" s="154">
        <f t="shared" si="19"/>
        <v>0</v>
      </c>
      <c r="T41" s="452"/>
      <c r="U41" s="1724"/>
      <c r="V41" s="1724"/>
      <c r="W41" s="1724" t="str">
        <f t="shared" si="1"/>
        <v/>
      </c>
      <c r="X41" s="1724" t="str">
        <f t="shared" si="2"/>
        <v/>
      </c>
      <c r="Y41" t="str">
        <f t="shared" si="3"/>
        <v/>
      </c>
      <c r="Z41" t="str">
        <f t="shared" si="4"/>
        <v/>
      </c>
      <c r="AA41" t="str">
        <f t="shared" si="5"/>
        <v/>
      </c>
      <c r="AB41" t="str">
        <f t="shared" si="6"/>
        <v/>
      </c>
      <c r="AC41" t="str">
        <f t="shared" si="7"/>
        <v/>
      </c>
      <c r="AD41" t="str">
        <f t="shared" si="8"/>
        <v/>
      </c>
      <c r="AE41" t="str">
        <f t="shared" si="9"/>
        <v/>
      </c>
      <c r="AF41" t="str">
        <f t="shared" si="10"/>
        <v/>
      </c>
      <c r="AG41" t="str">
        <f t="shared" si="11"/>
        <v/>
      </c>
      <c r="AH41" t="str">
        <f t="shared" si="12"/>
        <v/>
      </c>
      <c r="AI41"/>
      <c r="AJ41"/>
      <c r="AK41"/>
      <c r="AL41"/>
    </row>
    <row r="42" spans="1:39" ht="45.75" customHeight="1">
      <c r="A42" s="2257"/>
      <c r="C42" s="955">
        <f>+PP!B60</f>
        <v>37</v>
      </c>
      <c r="D42" s="1020" t="str">
        <f>+PP!C60</f>
        <v>TENTACULO C/B C/V SR 100-300 g/pza (SUCIO)</v>
      </c>
      <c r="E42" s="2161"/>
      <c r="F42" s="2162"/>
      <c r="G42" s="2162"/>
      <c r="H42" s="2162"/>
      <c r="I42" s="2162"/>
      <c r="J42" s="2162"/>
      <c r="K42" s="2162"/>
      <c r="L42" s="2162"/>
      <c r="M42" s="2162"/>
      <c r="N42" s="2162"/>
      <c r="O42" s="2162"/>
      <c r="P42" s="2163"/>
      <c r="Q42" s="513">
        <f t="shared" si="20"/>
        <v>0</v>
      </c>
      <c r="R42" s="148">
        <f t="shared" si="0"/>
        <v>0</v>
      </c>
      <c r="S42" s="490">
        <f t="shared" si="19"/>
        <v>0</v>
      </c>
      <c r="T42" s="452"/>
      <c r="U42" s="1724"/>
      <c r="V42" s="1724"/>
      <c r="W42" s="1724" t="str">
        <f t="shared" si="1"/>
        <v/>
      </c>
      <c r="X42" s="1724" t="str">
        <f t="shared" si="2"/>
        <v/>
      </c>
      <c r="Y42" t="str">
        <f t="shared" si="3"/>
        <v/>
      </c>
      <c r="Z42" t="str">
        <f t="shared" si="4"/>
        <v/>
      </c>
      <c r="AA42" t="str">
        <f t="shared" si="5"/>
        <v/>
      </c>
      <c r="AB42" t="str">
        <f t="shared" si="6"/>
        <v/>
      </c>
      <c r="AC42" t="str">
        <f t="shared" si="7"/>
        <v/>
      </c>
      <c r="AD42" t="str">
        <f t="shared" si="8"/>
        <v/>
      </c>
      <c r="AE42" t="str">
        <f t="shared" si="9"/>
        <v/>
      </c>
      <c r="AF42" t="str">
        <f t="shared" si="10"/>
        <v/>
      </c>
      <c r="AG42" t="str">
        <f t="shared" si="11"/>
        <v/>
      </c>
      <c r="AH42" t="str">
        <f t="shared" si="12"/>
        <v/>
      </c>
      <c r="AI42"/>
      <c r="AJ42"/>
      <c r="AK42"/>
      <c r="AL42"/>
    </row>
    <row r="43" spans="1:39" ht="45.75" customHeight="1">
      <c r="A43" s="2257"/>
      <c r="C43" s="42">
        <f>+PP!B61</f>
        <v>38</v>
      </c>
      <c r="D43" s="229" t="str">
        <f>+PP!C61</f>
        <v>TENTACULO C/B C/V SR 300-500 g/pza (SUCIO)</v>
      </c>
      <c r="E43" s="2138"/>
      <c r="F43" s="2137"/>
      <c r="G43" s="2137"/>
      <c r="H43" s="2137"/>
      <c r="I43" s="2137"/>
      <c r="J43" s="2137"/>
      <c r="K43" s="2137"/>
      <c r="L43" s="2137"/>
      <c r="M43" s="2137"/>
      <c r="N43" s="2137"/>
      <c r="O43" s="2137"/>
      <c r="P43" s="2139"/>
      <c r="Q43" s="508">
        <f t="shared" si="20"/>
        <v>0</v>
      </c>
      <c r="R43" s="149">
        <f t="shared" si="0"/>
        <v>0</v>
      </c>
      <c r="S43" s="552">
        <f t="shared" si="19"/>
        <v>0</v>
      </c>
      <c r="T43" s="452"/>
      <c r="U43" s="1724"/>
      <c r="V43" s="1724"/>
      <c r="W43" s="1724" t="str">
        <f t="shared" si="1"/>
        <v/>
      </c>
      <c r="X43" s="1724" t="str">
        <f t="shared" si="2"/>
        <v/>
      </c>
      <c r="Y43" t="str">
        <f t="shared" si="3"/>
        <v/>
      </c>
      <c r="Z43" t="str">
        <f t="shared" si="4"/>
        <v/>
      </c>
      <c r="AA43" t="str">
        <f t="shared" si="5"/>
        <v/>
      </c>
      <c r="AB43" t="str">
        <f t="shared" si="6"/>
        <v/>
      </c>
      <c r="AC43" t="str">
        <f t="shared" si="7"/>
        <v/>
      </c>
      <c r="AD43" t="str">
        <f t="shared" si="8"/>
        <v/>
      </c>
      <c r="AE43" t="str">
        <f t="shared" si="9"/>
        <v/>
      </c>
      <c r="AF43" t="str">
        <f t="shared" si="10"/>
        <v/>
      </c>
      <c r="AG43" t="str">
        <f t="shared" si="11"/>
        <v/>
      </c>
      <c r="AH43" t="str">
        <f t="shared" si="12"/>
        <v/>
      </c>
      <c r="AI43"/>
      <c r="AJ43"/>
      <c r="AK43"/>
      <c r="AL43"/>
    </row>
    <row r="44" spans="1:39" ht="46.5">
      <c r="A44" s="2257"/>
      <c r="C44" s="42">
        <f>+PP!B62</f>
        <v>39</v>
      </c>
      <c r="D44" s="229" t="str">
        <f>+PP!C62</f>
        <v>TENTACULO C/B S/V SR 100-300 g/pza</v>
      </c>
      <c r="E44" s="2138"/>
      <c r="F44" s="2137"/>
      <c r="G44" s="2137"/>
      <c r="H44" s="2137"/>
      <c r="I44" s="2137"/>
      <c r="J44" s="2137"/>
      <c r="K44" s="2137"/>
      <c r="L44" s="2137"/>
      <c r="M44" s="2137"/>
      <c r="N44" s="2137"/>
      <c r="O44" s="2137"/>
      <c r="P44" s="2139"/>
      <c r="Q44" s="508">
        <f t="shared" si="20"/>
        <v>0</v>
      </c>
      <c r="R44" s="149">
        <f t="shared" si="0"/>
        <v>0</v>
      </c>
      <c r="S44" s="552">
        <f t="shared" si="19"/>
        <v>0</v>
      </c>
      <c r="T44" s="452"/>
      <c r="U44" s="1724"/>
      <c r="V44" s="1724"/>
      <c r="W44" s="1724" t="str">
        <f t="shared" si="1"/>
        <v/>
      </c>
      <c r="X44" s="1724" t="str">
        <f t="shared" si="2"/>
        <v/>
      </c>
      <c r="Y44" t="str">
        <f t="shared" si="3"/>
        <v/>
      </c>
      <c r="Z44" t="str">
        <f t="shared" si="4"/>
        <v/>
      </c>
      <c r="AA44" t="str">
        <f t="shared" si="5"/>
        <v/>
      </c>
      <c r="AB44" t="str">
        <f t="shared" si="6"/>
        <v/>
      </c>
      <c r="AC44" t="str">
        <f t="shared" si="7"/>
        <v/>
      </c>
      <c r="AD44" t="str">
        <f t="shared" si="8"/>
        <v/>
      </c>
      <c r="AE44" t="str">
        <f t="shared" si="9"/>
        <v/>
      </c>
      <c r="AF44" t="str">
        <f t="shared" si="10"/>
        <v/>
      </c>
      <c r="AG44" t="str">
        <f t="shared" si="11"/>
        <v/>
      </c>
      <c r="AH44" t="str">
        <f t="shared" si="12"/>
        <v/>
      </c>
      <c r="AI44"/>
      <c r="AJ44"/>
      <c r="AK44"/>
      <c r="AL44"/>
    </row>
    <row r="45" spans="1:39" ht="45.75" customHeight="1">
      <c r="A45" s="2257"/>
      <c r="C45" s="42">
        <f>+PP!B63</f>
        <v>40</v>
      </c>
      <c r="D45" s="229" t="str">
        <f>+PP!C63</f>
        <v>TENTACULO C/B C/V SR 100-500 g/pza (SUCIO)</v>
      </c>
      <c r="E45" s="2138"/>
      <c r="F45" s="2137"/>
      <c r="G45" s="2137"/>
      <c r="H45" s="2137"/>
      <c r="I45" s="2137"/>
      <c r="J45" s="2137"/>
      <c r="K45" s="2137"/>
      <c r="L45" s="2137"/>
      <c r="M45" s="2137"/>
      <c r="N45" s="2137"/>
      <c r="O45" s="2137"/>
      <c r="P45" s="2139"/>
      <c r="Q45" s="508">
        <f t="shared" si="20"/>
        <v>0</v>
      </c>
      <c r="R45" s="149">
        <f t="shared" si="0"/>
        <v>0</v>
      </c>
      <c r="S45" s="552">
        <f t="shared" si="19"/>
        <v>0</v>
      </c>
      <c r="T45" s="452"/>
      <c r="U45" s="1724"/>
      <c r="V45" s="1724"/>
      <c r="W45" s="1724" t="str">
        <f t="shared" si="1"/>
        <v/>
      </c>
      <c r="X45" s="1724" t="str">
        <f t="shared" si="2"/>
        <v/>
      </c>
      <c r="Y45" t="str">
        <f t="shared" si="3"/>
        <v/>
      </c>
      <c r="Z45" t="str">
        <f t="shared" si="4"/>
        <v/>
      </c>
      <c r="AA45" t="str">
        <f t="shared" si="5"/>
        <v/>
      </c>
      <c r="AB45" t="str">
        <f t="shared" si="6"/>
        <v/>
      </c>
      <c r="AC45" t="str">
        <f t="shared" si="7"/>
        <v/>
      </c>
      <c r="AD45" t="str">
        <f t="shared" si="8"/>
        <v/>
      </c>
      <c r="AE45" t="str">
        <f t="shared" si="9"/>
        <v/>
      </c>
      <c r="AF45" t="str">
        <f t="shared" si="10"/>
        <v/>
      </c>
      <c r="AG45" t="str">
        <f t="shared" si="11"/>
        <v/>
      </c>
      <c r="AH45" t="str">
        <f t="shared" si="12"/>
        <v/>
      </c>
      <c r="AI45"/>
      <c r="AJ45"/>
      <c r="AK45"/>
      <c r="AL45"/>
    </row>
    <row r="46" spans="1:39" ht="46.5">
      <c r="A46" s="2257"/>
      <c r="C46" s="42">
        <f>+PP!B64</f>
        <v>41</v>
      </c>
      <c r="D46" s="229" t="str">
        <f>+PP!C64</f>
        <v>TENTACULO C/B S/V SR 100-500 g/pza</v>
      </c>
      <c r="E46" s="2138"/>
      <c r="F46" s="2137"/>
      <c r="G46" s="2137"/>
      <c r="H46" s="2137"/>
      <c r="I46" s="2137"/>
      <c r="J46" s="2137"/>
      <c r="K46" s="2137"/>
      <c r="L46" s="2137"/>
      <c r="M46" s="2137"/>
      <c r="N46" s="2137"/>
      <c r="O46" s="2137"/>
      <c r="P46" s="2139"/>
      <c r="Q46" s="508">
        <f t="shared" si="20"/>
        <v>0</v>
      </c>
      <c r="R46" s="149">
        <f t="shared" si="0"/>
        <v>0</v>
      </c>
      <c r="S46" s="552">
        <f t="shared" si="19"/>
        <v>0</v>
      </c>
      <c r="T46" s="452"/>
      <c r="U46" s="1724"/>
      <c r="V46" s="1724"/>
      <c r="W46" s="1724" t="str">
        <f t="shared" si="1"/>
        <v/>
      </c>
      <c r="X46" s="1724" t="str">
        <f t="shared" si="2"/>
        <v/>
      </c>
      <c r="Y46" t="str">
        <f t="shared" si="3"/>
        <v/>
      </c>
      <c r="Z46" t="str">
        <f t="shared" si="4"/>
        <v/>
      </c>
      <c r="AA46" t="str">
        <f t="shared" si="5"/>
        <v/>
      </c>
      <c r="AB46" t="str">
        <f t="shared" si="6"/>
        <v/>
      </c>
      <c r="AC46" t="str">
        <f t="shared" si="7"/>
        <v/>
      </c>
      <c r="AD46" t="str">
        <f t="shared" si="8"/>
        <v/>
      </c>
      <c r="AE46" t="str">
        <f t="shared" si="9"/>
        <v/>
      </c>
      <c r="AF46" t="str">
        <f t="shared" si="10"/>
        <v/>
      </c>
      <c r="AG46" t="str">
        <f t="shared" si="11"/>
        <v/>
      </c>
      <c r="AH46" t="str">
        <f t="shared" si="12"/>
        <v/>
      </c>
      <c r="AI46"/>
      <c r="AJ46"/>
      <c r="AK46"/>
      <c r="AL46"/>
    </row>
    <row r="47" spans="1:39" ht="46.5">
      <c r="A47" s="2257"/>
      <c r="C47" s="42">
        <f>+PP!B65</f>
        <v>42</v>
      </c>
      <c r="D47" s="229" t="str">
        <f>+PP!C65</f>
        <v>TENTACULO C/B S/V SR 300-500 g/pza</v>
      </c>
      <c r="E47" s="2138"/>
      <c r="F47" s="2137"/>
      <c r="G47" s="2137"/>
      <c r="H47" s="2137"/>
      <c r="I47" s="2137"/>
      <c r="J47" s="2137"/>
      <c r="K47" s="2137"/>
      <c r="L47" s="2137"/>
      <c r="M47" s="2137"/>
      <c r="N47" s="2137"/>
      <c r="O47" s="2137"/>
      <c r="P47" s="2139"/>
      <c r="Q47" s="508">
        <f t="shared" si="20"/>
        <v>0</v>
      </c>
      <c r="R47" s="149">
        <f t="shared" si="0"/>
        <v>0</v>
      </c>
      <c r="S47" s="552">
        <f t="shared" si="19"/>
        <v>0</v>
      </c>
      <c r="T47" s="452"/>
      <c r="U47" s="1724"/>
      <c r="V47" s="1724"/>
      <c r="W47" s="1724" t="str">
        <f t="shared" si="1"/>
        <v/>
      </c>
      <c r="X47" s="1724" t="str">
        <f t="shared" si="2"/>
        <v/>
      </c>
      <c r="Y47" t="str">
        <f t="shared" si="3"/>
        <v/>
      </c>
      <c r="Z47" t="str">
        <f t="shared" si="4"/>
        <v/>
      </c>
      <c r="AA47" t="str">
        <f t="shared" si="5"/>
        <v/>
      </c>
      <c r="AB47" t="str">
        <f t="shared" si="6"/>
        <v/>
      </c>
      <c r="AC47" t="str">
        <f t="shared" si="7"/>
        <v/>
      </c>
      <c r="AD47" t="str">
        <f t="shared" si="8"/>
        <v/>
      </c>
      <c r="AE47" t="str">
        <f t="shared" si="9"/>
        <v/>
      </c>
      <c r="AF47" t="str">
        <f t="shared" si="10"/>
        <v/>
      </c>
      <c r="AG47" t="str">
        <f t="shared" si="11"/>
        <v/>
      </c>
      <c r="AH47" t="str">
        <f t="shared" si="12"/>
        <v/>
      </c>
      <c r="AI47"/>
      <c r="AJ47"/>
      <c r="AK47"/>
      <c r="AL47"/>
    </row>
    <row r="48" spans="1:39" ht="45.75" customHeight="1">
      <c r="A48" s="2257"/>
      <c r="C48" s="42">
        <f>+PP!B66</f>
        <v>43</v>
      </c>
      <c r="D48" s="229" t="str">
        <f>+PP!C66</f>
        <v>TENTACULO C/B C/V SR 500-1000 g/pza (SUCIO)</v>
      </c>
      <c r="E48" s="2138"/>
      <c r="F48" s="2137"/>
      <c r="G48" s="2137"/>
      <c r="H48" s="2137"/>
      <c r="I48" s="2137"/>
      <c r="J48" s="2137"/>
      <c r="K48" s="2137"/>
      <c r="L48" s="2137"/>
      <c r="M48" s="2137"/>
      <c r="N48" s="2137"/>
      <c r="O48" s="2137"/>
      <c r="P48" s="2139"/>
      <c r="Q48" s="508">
        <f t="shared" si="20"/>
        <v>0</v>
      </c>
      <c r="R48" s="149">
        <f t="shared" si="0"/>
        <v>0</v>
      </c>
      <c r="S48" s="552">
        <f t="shared" si="19"/>
        <v>0</v>
      </c>
      <c r="T48" s="452"/>
      <c r="U48" s="1724"/>
      <c r="V48" s="1724"/>
      <c r="W48" s="1724" t="str">
        <f t="shared" si="1"/>
        <v/>
      </c>
      <c r="X48" s="1724" t="str">
        <f t="shared" si="2"/>
        <v/>
      </c>
      <c r="Y48" t="str">
        <f t="shared" si="3"/>
        <v/>
      </c>
      <c r="Z48" t="str">
        <f t="shared" si="4"/>
        <v/>
      </c>
      <c r="AA48" t="str">
        <f t="shared" si="5"/>
        <v/>
      </c>
      <c r="AB48" t="str">
        <f t="shared" si="6"/>
        <v/>
      </c>
      <c r="AC48" t="str">
        <f t="shared" si="7"/>
        <v/>
      </c>
      <c r="AD48" t="str">
        <f t="shared" si="8"/>
        <v/>
      </c>
      <c r="AE48" t="str">
        <f t="shared" si="9"/>
        <v/>
      </c>
      <c r="AF48" t="str">
        <f t="shared" si="10"/>
        <v/>
      </c>
      <c r="AG48" t="str">
        <f t="shared" si="11"/>
        <v/>
      </c>
      <c r="AH48" t="str">
        <f t="shared" si="12"/>
        <v/>
      </c>
      <c r="AI48"/>
      <c r="AJ48"/>
      <c r="AK48"/>
      <c r="AL48"/>
    </row>
    <row r="49" spans="1:80" ht="54" customHeight="1">
      <c r="A49" s="2257"/>
      <c r="C49" s="42">
        <f>+PP!B67</f>
        <v>44</v>
      </c>
      <c r="D49" s="229" t="str">
        <f>+PP!C67</f>
        <v>TENTACULO C/B S/V SR 500-1000 g/pza</v>
      </c>
      <c r="E49" s="2138"/>
      <c r="F49" s="2137"/>
      <c r="G49" s="2137"/>
      <c r="H49" s="2137"/>
      <c r="I49" s="2137"/>
      <c r="J49" s="2137"/>
      <c r="K49" s="2137"/>
      <c r="L49" s="2137"/>
      <c r="M49" s="2137"/>
      <c r="N49" s="2137"/>
      <c r="O49" s="2137"/>
      <c r="P49" s="2139"/>
      <c r="Q49" s="508">
        <f t="shared" si="20"/>
        <v>0</v>
      </c>
      <c r="R49" s="149">
        <f t="shared" si="0"/>
        <v>0</v>
      </c>
      <c r="S49" s="552">
        <f t="shared" si="19"/>
        <v>0</v>
      </c>
      <c r="T49" s="452"/>
      <c r="U49" s="1724"/>
      <c r="V49" s="1724"/>
      <c r="W49" s="1724" t="str">
        <f t="shared" si="1"/>
        <v/>
      </c>
      <c r="X49" s="1724" t="str">
        <f t="shared" si="2"/>
        <v/>
      </c>
      <c r="Y49" t="str">
        <f t="shared" si="3"/>
        <v/>
      </c>
      <c r="Z49" t="str">
        <f t="shared" si="4"/>
        <v/>
      </c>
      <c r="AA49" t="str">
        <f t="shared" si="5"/>
        <v/>
      </c>
      <c r="AB49" t="str">
        <f t="shared" si="6"/>
        <v/>
      </c>
      <c r="AC49" t="str">
        <f t="shared" si="7"/>
        <v/>
      </c>
      <c r="AD49" t="str">
        <f t="shared" si="8"/>
        <v/>
      </c>
      <c r="AE49" t="str">
        <f t="shared" si="9"/>
        <v/>
      </c>
      <c r="AF49" t="str">
        <f t="shared" si="10"/>
        <v/>
      </c>
      <c r="AG49" t="str">
        <f t="shared" si="11"/>
        <v/>
      </c>
      <c r="AH49" t="str">
        <f t="shared" si="12"/>
        <v/>
      </c>
      <c r="AI49"/>
      <c r="AJ49"/>
      <c r="AK49"/>
      <c r="AL49"/>
    </row>
    <row r="50" spans="1:80" ht="45.75" customHeight="1">
      <c r="A50" s="2257"/>
      <c r="C50" s="42">
        <f>+PP!B68</f>
        <v>45</v>
      </c>
      <c r="D50" s="229" t="str">
        <f>+PP!C68</f>
        <v>TENTACULO C/B C/V SR 1.0-2.0 Kg/pza (SUCIO)</v>
      </c>
      <c r="E50" s="2138"/>
      <c r="F50" s="2137"/>
      <c r="G50" s="2137"/>
      <c r="H50" s="2137"/>
      <c r="I50" s="2137"/>
      <c r="J50" s="2137"/>
      <c r="K50" s="2137"/>
      <c r="L50" s="2137"/>
      <c r="M50" s="2137"/>
      <c r="N50" s="2137"/>
      <c r="O50" s="2137"/>
      <c r="P50" s="2139"/>
      <c r="Q50" s="508">
        <f t="shared" si="20"/>
        <v>0</v>
      </c>
      <c r="R50" s="149">
        <f t="shared" si="0"/>
        <v>0</v>
      </c>
      <c r="S50" s="552">
        <f t="shared" si="19"/>
        <v>0</v>
      </c>
      <c r="T50" s="452"/>
      <c r="U50" s="1724"/>
      <c r="V50" s="1724"/>
      <c r="W50" s="1724" t="str">
        <f t="shared" si="1"/>
        <v/>
      </c>
      <c r="X50" s="1724" t="str">
        <f t="shared" si="2"/>
        <v/>
      </c>
      <c r="Y50" t="str">
        <f t="shared" si="3"/>
        <v/>
      </c>
      <c r="Z50" t="str">
        <f t="shared" si="4"/>
        <v/>
      </c>
      <c r="AA50" t="str">
        <f t="shared" si="5"/>
        <v/>
      </c>
      <c r="AB50" t="str">
        <f t="shared" si="6"/>
        <v/>
      </c>
      <c r="AC50" t="str">
        <f t="shared" si="7"/>
        <v/>
      </c>
      <c r="AD50" t="str">
        <f t="shared" si="8"/>
        <v/>
      </c>
      <c r="AE50" t="str">
        <f t="shared" si="9"/>
        <v/>
      </c>
      <c r="AF50" t="str">
        <f t="shared" si="10"/>
        <v/>
      </c>
      <c r="AG50" t="str">
        <f t="shared" si="11"/>
        <v/>
      </c>
      <c r="AH50" t="str">
        <f t="shared" si="12"/>
        <v/>
      </c>
      <c r="AI50"/>
      <c r="AJ50"/>
      <c r="AK50"/>
      <c r="AL50"/>
    </row>
    <row r="51" spans="1:80" ht="46.5">
      <c r="A51" s="2257"/>
      <c r="C51" s="42">
        <f>+PP!B69</f>
        <v>46</v>
      </c>
      <c r="D51" s="229" t="str">
        <f>+PP!C69</f>
        <v>TENTACULO C/B S/V SR 1.0-2.0 Kg/pza</v>
      </c>
      <c r="E51" s="2138"/>
      <c r="F51" s="2137"/>
      <c r="G51" s="2137"/>
      <c r="H51" s="2137"/>
      <c r="I51" s="2137"/>
      <c r="J51" s="2137"/>
      <c r="K51" s="2137"/>
      <c r="L51" s="2137"/>
      <c r="M51" s="2137"/>
      <c r="N51" s="2137"/>
      <c r="O51" s="2137"/>
      <c r="P51" s="2139"/>
      <c r="Q51" s="508">
        <f t="shared" si="20"/>
        <v>0</v>
      </c>
      <c r="R51" s="149">
        <f t="shared" si="0"/>
        <v>0</v>
      </c>
      <c r="S51" s="552">
        <f t="shared" si="19"/>
        <v>0</v>
      </c>
      <c r="T51" s="452"/>
      <c r="U51" s="1724"/>
      <c r="V51" s="1724"/>
      <c r="W51" s="1724" t="str">
        <f t="shared" si="1"/>
        <v/>
      </c>
      <c r="X51" s="1724" t="str">
        <f t="shared" si="2"/>
        <v/>
      </c>
      <c r="Y51" t="str">
        <f t="shared" si="3"/>
        <v/>
      </c>
      <c r="Z51" t="str">
        <f t="shared" si="4"/>
        <v/>
      </c>
      <c r="AA51" t="str">
        <f t="shared" si="5"/>
        <v/>
      </c>
      <c r="AB51" t="str">
        <f t="shared" si="6"/>
        <v/>
      </c>
      <c r="AC51" t="str">
        <f t="shared" si="7"/>
        <v/>
      </c>
      <c r="AD51" t="str">
        <f t="shared" si="8"/>
        <v/>
      </c>
      <c r="AE51" t="str">
        <f t="shared" si="9"/>
        <v/>
      </c>
      <c r="AF51" t="str">
        <f t="shared" si="10"/>
        <v/>
      </c>
      <c r="AG51" t="str">
        <f t="shared" si="11"/>
        <v/>
      </c>
      <c r="AH51" t="str">
        <f t="shared" si="12"/>
        <v/>
      </c>
      <c r="AI51"/>
      <c r="AJ51"/>
      <c r="AK51"/>
      <c r="AL51"/>
    </row>
    <row r="52" spans="1:80" ht="47.25" thickBot="1">
      <c r="A52" s="2257"/>
      <c r="C52" s="42">
        <f>+PP!B70</f>
        <v>47</v>
      </c>
      <c r="D52" s="230" t="str">
        <f>+PP!C70</f>
        <v>TENTACULO C/B S/V SR 2 UP Kg/pza</v>
      </c>
      <c r="E52" s="2898"/>
      <c r="F52" s="2899"/>
      <c r="G52" s="2899"/>
      <c r="H52" s="2899"/>
      <c r="I52" s="2899"/>
      <c r="J52" s="2899"/>
      <c r="K52" s="2899"/>
      <c r="L52" s="2899"/>
      <c r="M52" s="2899"/>
      <c r="N52" s="2899"/>
      <c r="O52" s="2899"/>
      <c r="P52" s="2900"/>
      <c r="Q52" s="509">
        <f t="shared" si="20"/>
        <v>0</v>
      </c>
      <c r="R52" s="150">
        <f t="shared" si="0"/>
        <v>0</v>
      </c>
      <c r="S52" s="507">
        <f t="shared" si="19"/>
        <v>0</v>
      </c>
      <c r="T52" s="452"/>
      <c r="U52" s="1724"/>
      <c r="V52" s="1724"/>
      <c r="W52" s="1724" t="str">
        <f t="shared" si="1"/>
        <v/>
      </c>
      <c r="X52" s="1724" t="str">
        <f t="shared" si="2"/>
        <v/>
      </c>
      <c r="Y52" t="str">
        <f t="shared" si="3"/>
        <v/>
      </c>
      <c r="Z52" t="str">
        <f t="shared" si="4"/>
        <v/>
      </c>
      <c r="AA52" t="str">
        <f t="shared" si="5"/>
        <v/>
      </c>
      <c r="AB52" t="str">
        <f t="shared" si="6"/>
        <v/>
      </c>
      <c r="AC52" t="str">
        <f t="shared" si="7"/>
        <v/>
      </c>
      <c r="AD52" t="str">
        <f t="shared" si="8"/>
        <v/>
      </c>
      <c r="AE52" t="str">
        <f t="shared" si="9"/>
        <v/>
      </c>
      <c r="AF52" t="str">
        <f t="shared" si="10"/>
        <v/>
      </c>
      <c r="AG52" t="str">
        <f t="shared" si="11"/>
        <v/>
      </c>
      <c r="AH52" t="str">
        <f t="shared" si="12"/>
        <v/>
      </c>
      <c r="AI52"/>
      <c r="AJ52"/>
      <c r="AK52"/>
      <c r="AL52"/>
    </row>
    <row r="53" spans="1:80" ht="47.25" thickBot="1">
      <c r="A53" s="2257"/>
      <c r="C53" s="40">
        <f>+PP!B71</f>
        <v>48</v>
      </c>
      <c r="D53" s="538" t="str">
        <f>+PP!C71</f>
        <v>TUBO ALETA 500-1000 g/pza</v>
      </c>
      <c r="E53" s="2236"/>
      <c r="F53" s="2237"/>
      <c r="G53" s="2237"/>
      <c r="H53" s="2237"/>
      <c r="I53" s="2237"/>
      <c r="J53" s="2237"/>
      <c r="K53" s="2237"/>
      <c r="L53" s="2237"/>
      <c r="M53" s="2237"/>
      <c r="N53" s="2237"/>
      <c r="O53" s="2237"/>
      <c r="P53" s="2238"/>
      <c r="Q53" s="969">
        <f>SUM(E53:P53)</f>
        <v>0</v>
      </c>
      <c r="R53" s="957">
        <f t="shared" si="0"/>
        <v>0</v>
      </c>
      <c r="S53" s="958">
        <f t="shared" si="19"/>
        <v>0</v>
      </c>
      <c r="T53" s="452"/>
      <c r="U53" s="1724"/>
      <c r="V53" s="1724"/>
      <c r="W53" s="1724" t="str">
        <f t="shared" si="1"/>
        <v/>
      </c>
      <c r="X53" s="1724" t="str">
        <f t="shared" si="2"/>
        <v/>
      </c>
      <c r="Y53" t="str">
        <f t="shared" si="3"/>
        <v/>
      </c>
      <c r="Z53" t="str">
        <f t="shared" si="4"/>
        <v/>
      </c>
      <c r="AA53" t="str">
        <f t="shared" si="5"/>
        <v/>
      </c>
      <c r="AB53" t="str">
        <f t="shared" si="6"/>
        <v/>
      </c>
      <c r="AC53" t="str">
        <f t="shared" si="7"/>
        <v/>
      </c>
      <c r="AD53" t="str">
        <f t="shared" si="8"/>
        <v/>
      </c>
      <c r="AE53" t="str">
        <f t="shared" si="9"/>
        <v/>
      </c>
      <c r="AF53" t="str">
        <f t="shared" si="10"/>
        <v/>
      </c>
      <c r="AG53" t="str">
        <f t="shared" si="11"/>
        <v/>
      </c>
      <c r="AH53" t="str">
        <f t="shared" si="12"/>
        <v/>
      </c>
      <c r="AI53"/>
      <c r="AJ53"/>
      <c r="AK53"/>
      <c r="AL53"/>
    </row>
    <row r="54" spans="1:80" ht="70.150000000000006" customHeight="1" thickBot="1">
      <c r="A54" s="2257"/>
      <c r="D54" s="953" t="s">
        <v>38</v>
      </c>
      <c r="E54" s="2135">
        <f t="shared" ref="E54:S54" si="22">SUM(E6:E53)</f>
        <v>0</v>
      </c>
      <c r="F54" s="2136">
        <f t="shared" si="22"/>
        <v>0</v>
      </c>
      <c r="G54" s="2136">
        <f t="shared" si="22"/>
        <v>0</v>
      </c>
      <c r="H54" s="2136">
        <f t="shared" si="22"/>
        <v>0</v>
      </c>
      <c r="I54" s="2136">
        <f t="shared" si="22"/>
        <v>0</v>
      </c>
      <c r="J54" s="2136">
        <f t="shared" si="22"/>
        <v>0</v>
      </c>
      <c r="K54" s="2136">
        <f t="shared" si="22"/>
        <v>0</v>
      </c>
      <c r="L54" s="2136">
        <f t="shared" si="22"/>
        <v>0</v>
      </c>
      <c r="M54" s="2136">
        <f t="shared" si="22"/>
        <v>0</v>
      </c>
      <c r="N54" s="2136">
        <f t="shared" si="22"/>
        <v>0</v>
      </c>
      <c r="O54" s="2136">
        <f t="shared" si="22"/>
        <v>0</v>
      </c>
      <c r="P54" s="2136">
        <f t="shared" si="22"/>
        <v>0</v>
      </c>
      <c r="Q54" s="2901">
        <f t="shared" si="22"/>
        <v>0</v>
      </c>
      <c r="R54" s="2906">
        <f t="shared" si="22"/>
        <v>0</v>
      </c>
      <c r="S54" s="2902">
        <f t="shared" si="22"/>
        <v>0</v>
      </c>
      <c r="T54" s="452"/>
      <c r="U54" s="1724"/>
      <c r="V54" s="1724"/>
      <c r="W54" s="1724"/>
      <c r="X54" s="172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80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R55" s="452"/>
      <c r="S55" s="452"/>
      <c r="T55" s="452"/>
      <c r="U55" s="452"/>
      <c r="V55" s="452"/>
      <c r="W55" s="452"/>
      <c r="X55" s="452"/>
    </row>
    <row r="56" spans="1:80" ht="46.5" thickBot="1">
      <c r="D56" s="46" t="s">
        <v>117</v>
      </c>
      <c r="E56" s="2258" t="s">
        <v>114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535"/>
      <c r="R56" s="452"/>
      <c r="S56" s="452"/>
      <c r="T56" s="452"/>
      <c r="U56" s="452"/>
      <c r="V56" s="452"/>
      <c r="W56" s="452"/>
      <c r="X56" s="452"/>
      <c r="CA56" s="33" t="s">
        <v>77</v>
      </c>
      <c r="CB56" s="31" t="str">
        <f>IFERROR(IF(PP!K20="","",S54/PP!K20*100),"")</f>
        <v/>
      </c>
    </row>
    <row r="57" spans="1:80" ht="30.75" thickBot="1">
      <c r="H57" s="30"/>
      <c r="I57" s="30"/>
      <c r="J57" s="30"/>
      <c r="K57" s="30"/>
      <c r="L57" s="30"/>
      <c r="M57" s="30" t="s">
        <v>367</v>
      </c>
      <c r="N57" s="30"/>
      <c r="O57" s="30"/>
      <c r="R57" s="452"/>
      <c r="S57" s="452"/>
      <c r="T57" s="452"/>
      <c r="U57" s="452"/>
      <c r="V57" s="452"/>
      <c r="W57" s="452"/>
      <c r="X57" s="452"/>
    </row>
    <row r="58" spans="1:80" ht="46.5" thickBot="1">
      <c r="D58" s="46" t="s">
        <v>374</v>
      </c>
      <c r="E58" s="2536">
        <v>0.51736111111111116</v>
      </c>
      <c r="F58" s="2259"/>
      <c r="G58" s="2259"/>
      <c r="H58" s="2259"/>
      <c r="I58" s="2259"/>
      <c r="J58" s="2259"/>
      <c r="K58" s="2259"/>
      <c r="L58" s="2259"/>
      <c r="M58" s="2259"/>
      <c r="N58" s="2259"/>
      <c r="O58" s="2259"/>
      <c r="P58" s="2535"/>
      <c r="R58" s="452"/>
      <c r="S58" s="452"/>
      <c r="T58" s="452"/>
      <c r="U58" s="452"/>
      <c r="V58" s="452"/>
      <c r="W58" s="452"/>
      <c r="X58" s="452"/>
      <c r="CA58" s="33"/>
      <c r="CB58" s="31"/>
    </row>
    <row r="59" spans="1:80" ht="30.75" thickBot="1">
      <c r="H59" s="30"/>
      <c r="I59" s="30"/>
      <c r="J59" s="30"/>
      <c r="K59" s="30"/>
      <c r="L59" s="30"/>
      <c r="M59" s="30"/>
      <c r="N59" s="30"/>
      <c r="O59" s="30"/>
      <c r="P59" s="30"/>
      <c r="R59" s="452"/>
      <c r="S59" s="452"/>
      <c r="T59" s="452"/>
      <c r="U59" s="452"/>
      <c r="V59" s="452"/>
      <c r="W59" s="452"/>
      <c r="X59" s="452"/>
    </row>
    <row r="60" spans="1:80" ht="33.950000000000003" customHeight="1" thickTop="1" thickBot="1">
      <c r="D60" s="2529" t="s">
        <v>657</v>
      </c>
      <c r="E60" s="2530"/>
      <c r="F60" s="2530"/>
      <c r="G60" s="2530"/>
      <c r="H60" s="2530"/>
      <c r="I60" s="2530"/>
      <c r="J60" s="2530"/>
      <c r="K60" s="2531"/>
      <c r="L60"/>
      <c r="M60" s="2529" t="s">
        <v>604</v>
      </c>
      <c r="N60" s="2530"/>
      <c r="O60" s="2531"/>
      <c r="P60" s="30"/>
      <c r="R60" s="452"/>
      <c r="S60" s="452"/>
      <c r="T60" s="452"/>
      <c r="U60" s="452"/>
      <c r="V60" s="452"/>
      <c r="W60" s="452"/>
      <c r="X60" s="452"/>
    </row>
    <row r="61" spans="1:80" ht="30.95" customHeight="1" thickTop="1">
      <c r="D61" s="2546" t="s">
        <v>15</v>
      </c>
      <c r="E61" s="2546"/>
      <c r="F61" s="2546"/>
      <c r="G61" s="2546"/>
      <c r="H61" s="1447" t="s">
        <v>186</v>
      </c>
      <c r="I61" s="1447" t="s">
        <v>666</v>
      </c>
      <c r="J61" s="1447" t="s">
        <v>667</v>
      </c>
      <c r="K61" s="1462" t="s">
        <v>502</v>
      </c>
      <c r="L61"/>
      <c r="M61" s="2534" t="s">
        <v>658</v>
      </c>
      <c r="N61" s="2534"/>
      <c r="O61" s="1448">
        <v>6000</v>
      </c>
      <c r="P61" s="30"/>
      <c r="Q61" s="30"/>
      <c r="R61" s="452"/>
      <c r="S61" s="452"/>
      <c r="T61" s="452"/>
      <c r="U61" s="452"/>
      <c r="V61" s="452"/>
      <c r="W61" s="452"/>
      <c r="X61" s="452"/>
    </row>
    <row r="62" spans="1:80" ht="30.95" customHeight="1">
      <c r="D62" s="2522">
        <v>1</v>
      </c>
      <c r="E62" s="2522"/>
      <c r="F62" s="2522"/>
      <c r="G62" s="2522"/>
      <c r="H62" s="1449" t="str">
        <f>+'T1'!E62</f>
        <v xml:space="preserve">ANDRES </v>
      </c>
      <c r="I62" s="1443"/>
      <c r="J62" s="1443"/>
      <c r="K62" s="1484">
        <f>SUM(I62:J62)</f>
        <v>0</v>
      </c>
      <c r="L62"/>
      <c r="M62" s="2525" t="s">
        <v>8</v>
      </c>
      <c r="N62" s="2525"/>
      <c r="O62" s="1445">
        <f>K73</f>
        <v>0</v>
      </c>
      <c r="R62" s="452"/>
      <c r="S62" s="452"/>
      <c r="T62" s="452"/>
      <c r="U62" s="452"/>
      <c r="V62" s="452"/>
      <c r="W62" s="452"/>
      <c r="X62" s="452"/>
    </row>
    <row r="63" spans="1:80" ht="30.95" customHeight="1">
      <c r="D63" s="2522">
        <v>2</v>
      </c>
      <c r="E63" s="2522"/>
      <c r="F63" s="2522"/>
      <c r="G63" s="2522"/>
      <c r="H63" s="1449" t="str">
        <f>+'T1'!E63</f>
        <v xml:space="preserve">FLOR </v>
      </c>
      <c r="I63" s="1444"/>
      <c r="J63" s="1444"/>
      <c r="K63" s="1484">
        <f>SUM(I63:J63)</f>
        <v>0</v>
      </c>
      <c r="L63"/>
      <c r="M63" s="2525" t="s">
        <v>659</v>
      </c>
      <c r="N63" s="2525"/>
      <c r="O63" s="1445">
        <f>O61-O62</f>
        <v>6000</v>
      </c>
    </row>
    <row r="64" spans="1:80" ht="30.95" customHeight="1">
      <c r="D64" s="2522">
        <v>3</v>
      </c>
      <c r="E64" s="2522"/>
      <c r="F64" s="2522"/>
      <c r="G64" s="2522"/>
      <c r="H64" s="1449" t="str">
        <f>+'T1'!E64</f>
        <v>HANNOY</v>
      </c>
      <c r="I64" s="1443"/>
      <c r="J64" s="1443"/>
      <c r="K64" s="1484">
        <f t="shared" ref="K64:K72" si="23">SUM(I64:J64)</f>
        <v>0</v>
      </c>
      <c r="L64"/>
      <c r="M64" s="2525" t="s">
        <v>449</v>
      </c>
      <c r="N64" s="2525"/>
      <c r="O64" s="1446" t="str">
        <f>IF(O63&lt;0,"SOBRA",IF(O63&gt;0,"FALTA","OK"))</f>
        <v>FALTA</v>
      </c>
    </row>
    <row r="65" spans="4:15" ht="30.95" customHeight="1">
      <c r="D65" s="2522">
        <v>4</v>
      </c>
      <c r="E65" s="2522"/>
      <c r="F65" s="2522"/>
      <c r="G65" s="2522"/>
      <c r="H65" s="1449" t="str">
        <f>+'T1'!E65</f>
        <v>CHERLITA</v>
      </c>
      <c r="I65" s="1443"/>
      <c r="J65" s="1443"/>
      <c r="K65" s="1484">
        <f t="shared" si="23"/>
        <v>0</v>
      </c>
      <c r="L65"/>
      <c r="M65" s="28"/>
      <c r="N65" s="28"/>
      <c r="O65" s="28"/>
    </row>
    <row r="66" spans="4:15" ht="33.950000000000003" customHeight="1">
      <c r="D66" s="2522">
        <v>5</v>
      </c>
      <c r="E66" s="2522"/>
      <c r="F66" s="2522"/>
      <c r="G66" s="2522"/>
      <c r="H66" s="1449" t="str">
        <f>+'T1'!E66</f>
        <v>CHARLY</v>
      </c>
      <c r="I66" s="1443"/>
      <c r="J66" s="1443"/>
      <c r="K66" s="1484">
        <f t="shared" si="23"/>
        <v>0</v>
      </c>
      <c r="L66"/>
      <c r="M66" s="2249" t="s">
        <v>660</v>
      </c>
      <c r="N66" s="2250"/>
      <c r="O66" s="2250"/>
    </row>
    <row r="67" spans="4:15" ht="33.950000000000003" customHeight="1">
      <c r="D67" s="2522">
        <v>6</v>
      </c>
      <c r="E67" s="2522"/>
      <c r="F67" s="2522"/>
      <c r="G67" s="2522"/>
      <c r="H67" s="1449" t="str">
        <f>+'T1'!E67</f>
        <v>POLANCO</v>
      </c>
      <c r="I67" s="1443"/>
      <c r="J67" s="1443"/>
      <c r="K67" s="1484">
        <f t="shared" si="23"/>
        <v>0</v>
      </c>
      <c r="L67"/>
      <c r="M67" s="2250" t="s">
        <v>665</v>
      </c>
      <c r="N67" s="2250"/>
      <c r="O67" s="2250"/>
    </row>
    <row r="68" spans="4:15" ht="33.950000000000003" customHeight="1">
      <c r="D68" s="2522">
        <v>7</v>
      </c>
      <c r="E68" s="2522"/>
      <c r="F68" s="2522"/>
      <c r="G68" s="2522"/>
      <c r="H68" s="1449" t="str">
        <f>+'T1'!E68</f>
        <v>ELIANA</v>
      </c>
      <c r="I68" s="1443"/>
      <c r="J68" s="1443"/>
      <c r="K68" s="1484">
        <f t="shared" si="23"/>
        <v>0</v>
      </c>
      <c r="L68"/>
      <c r="M68" s="1461"/>
      <c r="N68" s="1461"/>
      <c r="O68" s="1461"/>
    </row>
    <row r="69" spans="4:15" ht="33.950000000000003" customHeight="1">
      <c r="D69" s="2522">
        <v>8</v>
      </c>
      <c r="E69" s="2522"/>
      <c r="F69" s="2522"/>
      <c r="G69" s="2522"/>
      <c r="H69" s="1449" t="str">
        <f>+'T1'!E69</f>
        <v>ALENET</v>
      </c>
      <c r="I69" s="1443"/>
      <c r="J69" s="1443"/>
      <c r="K69" s="1484">
        <f t="shared" si="23"/>
        <v>0</v>
      </c>
      <c r="L69"/>
      <c r="M69" s="1461"/>
      <c r="N69" s="1461"/>
      <c r="O69" s="1461"/>
    </row>
    <row r="70" spans="4:15" ht="30.95" customHeight="1">
      <c r="D70" s="2522">
        <v>9</v>
      </c>
      <c r="E70" s="2522"/>
      <c r="F70" s="2522"/>
      <c r="G70" s="2522"/>
      <c r="H70" s="1449" t="str">
        <f>+'T1'!E70</f>
        <v>ERIKA</v>
      </c>
      <c r="I70" s="1443"/>
      <c r="J70" s="1443"/>
      <c r="K70" s="1484">
        <f t="shared" si="23"/>
        <v>0</v>
      </c>
      <c r="L70" s="28"/>
      <c r="M70" s="28"/>
      <c r="N70" s="28"/>
      <c r="O70" s="28"/>
    </row>
    <row r="71" spans="4:15" ht="30.95" customHeight="1">
      <c r="D71" s="2522">
        <v>10</v>
      </c>
      <c r="E71" s="2522"/>
      <c r="F71" s="2522"/>
      <c r="G71" s="2522"/>
      <c r="H71" s="1449" t="str">
        <f>+'T1'!E71</f>
        <v>MARILU</v>
      </c>
      <c r="I71" s="1443"/>
      <c r="J71" s="1443"/>
      <c r="K71" s="1484">
        <f t="shared" si="23"/>
        <v>0</v>
      </c>
      <c r="L71" s="28"/>
      <c r="M71" s="28"/>
      <c r="N71" s="28"/>
      <c r="O71" s="28"/>
    </row>
    <row r="72" spans="4:15" ht="30.95" customHeight="1">
      <c r="D72" s="2049"/>
      <c r="E72" s="2049"/>
      <c r="F72" s="2049"/>
      <c r="G72" s="2049"/>
      <c r="H72" s="1449" t="str">
        <f>+'T1'!E72</f>
        <v>WALLDO</v>
      </c>
      <c r="I72" s="1443"/>
      <c r="J72" s="1443"/>
      <c r="K72" s="1484">
        <f t="shared" si="23"/>
        <v>0</v>
      </c>
      <c r="L72" s="28"/>
      <c r="M72" s="28"/>
      <c r="N72" s="28"/>
      <c r="O72" s="28"/>
    </row>
    <row r="73" spans="4:15" ht="30.95" customHeight="1">
      <c r="D73" s="2545" t="s">
        <v>3</v>
      </c>
      <c r="E73" s="2545"/>
      <c r="F73" s="2545"/>
      <c r="G73" s="2545"/>
      <c r="H73" s="2545"/>
      <c r="I73" s="1445">
        <f>SUM(I62:I72)</f>
        <v>0</v>
      </c>
      <c r="J73" s="1445">
        <f>SUM(J62:J72)</f>
        <v>0</v>
      </c>
      <c r="K73" s="1445">
        <f>SUM(K62:K72)</f>
        <v>0</v>
      </c>
      <c r="L73" s="28"/>
      <c r="M73" s="28"/>
      <c r="N73" s="28"/>
      <c r="O73" s="28"/>
    </row>
    <row r="74" spans="4:15"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</row>
    <row r="75" spans="4:15"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</row>
    <row r="76" spans="4:15"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</row>
    <row r="77" spans="4:15"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</row>
  </sheetData>
  <sheetProtection autoFilter="0"/>
  <autoFilter ref="D5:D54" xr:uid="{007A3EE8-6A7E-471D-9AFB-4C05B4280418}"/>
  <mergeCells count="30">
    <mergeCell ref="D69:G69"/>
    <mergeCell ref="D70:G70"/>
    <mergeCell ref="D71:G71"/>
    <mergeCell ref="D73:H73"/>
    <mergeCell ref="D65:G65"/>
    <mergeCell ref="D66:G66"/>
    <mergeCell ref="M66:O66"/>
    <mergeCell ref="D67:G67"/>
    <mergeCell ref="M67:O67"/>
    <mergeCell ref="D68:G68"/>
    <mergeCell ref="D62:G62"/>
    <mergeCell ref="M62:N62"/>
    <mergeCell ref="D63:G63"/>
    <mergeCell ref="M63:N63"/>
    <mergeCell ref="D64:G64"/>
    <mergeCell ref="M64:N64"/>
    <mergeCell ref="E56:P56"/>
    <mergeCell ref="E58:P58"/>
    <mergeCell ref="D60:K60"/>
    <mergeCell ref="M60:O60"/>
    <mergeCell ref="D61:G61"/>
    <mergeCell ref="M61:N61"/>
    <mergeCell ref="C2:D2"/>
    <mergeCell ref="E2:P2"/>
    <mergeCell ref="E4:P4"/>
    <mergeCell ref="U4:AM4"/>
    <mergeCell ref="AP4:AS4"/>
    <mergeCell ref="A5:A54"/>
    <mergeCell ref="AP28:AQ28"/>
    <mergeCell ref="AR28:AS28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6" fitToWidth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82661-9E98-4F2A-94F8-AE794D9FCC2D}">
  <sheetPr codeName="Hoja8">
    <tabColor theme="0"/>
    <pageSetUpPr fitToPage="1"/>
  </sheetPr>
  <dimension ref="A1:CZ79"/>
  <sheetViews>
    <sheetView topLeftCell="B1" zoomScale="70" zoomScaleNormal="70" workbookViewId="0">
      <selection activeCell="Q12" sqref="Q12:Q13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6.7109375" style="26" bestFit="1" customWidth="1"/>
    <col min="4" max="4" width="61.5703125" style="26" bestFit="1" customWidth="1"/>
    <col min="5" max="7" width="7.28515625" style="26" customWidth="1"/>
    <col min="8" max="9" width="15.5703125" style="26" customWidth="1"/>
    <col min="10" max="10" width="13.28515625" style="26" customWidth="1"/>
    <col min="11" max="11" width="15.42578125" style="26" customWidth="1"/>
    <col min="12" max="13" width="15.5703125" style="26" customWidth="1"/>
    <col min="14" max="14" width="13.7109375" style="26" customWidth="1"/>
    <col min="15" max="16" width="8.28515625" style="26" customWidth="1"/>
    <col min="17" max="17" width="10" style="26" customWidth="1"/>
    <col min="18" max="18" width="10.140625" style="26" bestFit="1" customWidth="1"/>
    <col min="19" max="23" width="8.28515625" style="26" customWidth="1"/>
    <col min="24" max="24" width="8.28515625" style="26" bestFit="1" customWidth="1"/>
    <col min="25" max="25" width="20.7109375" style="26" bestFit="1" customWidth="1"/>
    <col min="26" max="26" width="16" style="26" bestFit="1" customWidth="1"/>
    <col min="27" max="27" width="16.42578125" style="26" bestFit="1" customWidth="1"/>
    <col min="28" max="28" width="13.28515625" style="26" customWidth="1"/>
    <col min="29" max="29" width="4.5703125" style="26" bestFit="1" customWidth="1"/>
    <col min="30" max="30" width="63" style="26" customWidth="1"/>
    <col min="31" max="39" width="4.42578125" style="26" hidden="1" customWidth="1"/>
    <col min="40" max="49" width="4.85546875" style="26" hidden="1" customWidth="1"/>
    <col min="50" max="50" width="4.85546875" style="26" bestFit="1" customWidth="1"/>
    <col min="51" max="54" width="24.140625" style="26" customWidth="1"/>
    <col min="55" max="55" width="20.7109375" style="26" customWidth="1"/>
    <col min="56" max="57" width="11.85546875" style="26" customWidth="1"/>
    <col min="58" max="58" width="6.42578125" style="26" customWidth="1"/>
    <col min="59" max="59" width="43.5703125" style="26" customWidth="1"/>
    <col min="60" max="60" width="26.85546875" style="26" customWidth="1"/>
    <col min="61" max="61" width="20.140625" style="26" customWidth="1"/>
    <col min="62" max="100" width="13.85546875" style="26" customWidth="1"/>
    <col min="101" max="101" width="12.140625" style="26" bestFit="1" customWidth="1"/>
    <col min="102" max="104" width="28.28515625" style="26" customWidth="1"/>
    <col min="105" max="16384" width="11.42578125" style="26"/>
  </cols>
  <sheetData>
    <row r="1" spans="1:74" ht="45.75" customHeight="1" thickBot="1">
      <c r="B1" s="37"/>
      <c r="C1" s="37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</row>
    <row r="2" spans="1:74" ht="46.5" thickBot="1">
      <c r="B2" s="38"/>
      <c r="C2" s="2266" t="s">
        <v>41</v>
      </c>
      <c r="D2" s="2267"/>
      <c r="E2" s="2502" t="str">
        <f>+PP!E13</f>
        <v>1055PPF26062026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69"/>
      <c r="Q2" s="2269"/>
      <c r="R2" s="2503"/>
      <c r="S2" s="2503"/>
      <c r="T2" s="2503"/>
      <c r="U2" s="2503"/>
      <c r="V2" s="2503"/>
      <c r="W2" s="2503"/>
      <c r="X2" s="2503"/>
      <c r="Y2" s="2269"/>
      <c r="Z2" s="2269"/>
      <c r="AA2" s="2270"/>
      <c r="AB2" s="62"/>
      <c r="AC2" s="62"/>
      <c r="AD2" s="62"/>
      <c r="AE2" s="62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</row>
    <row r="3" spans="1:74" ht="17.25" thickBot="1">
      <c r="C3" s="28"/>
      <c r="R3" s="452"/>
      <c r="S3" s="452"/>
      <c r="T3" s="452"/>
      <c r="U3" s="452"/>
      <c r="V3" s="452"/>
      <c r="W3" s="452"/>
      <c r="X3" s="452"/>
      <c r="BT3" s="28"/>
      <c r="BU3" s="28"/>
      <c r="BV3" s="28"/>
    </row>
    <row r="4" spans="1:74" ht="30.75" thickBot="1">
      <c r="C4" s="28"/>
      <c r="E4" s="2567" t="s">
        <v>112</v>
      </c>
      <c r="F4" s="2568"/>
      <c r="G4" s="2568"/>
      <c r="H4" s="2568"/>
      <c r="I4" s="2568"/>
      <c r="J4" s="2568"/>
      <c r="K4" s="2568"/>
      <c r="L4" s="2568"/>
      <c r="M4" s="2568"/>
      <c r="N4" s="2568"/>
      <c r="O4" s="2568"/>
      <c r="P4" s="2568"/>
      <c r="Q4" s="2568"/>
      <c r="R4" s="2568"/>
      <c r="S4" s="2568"/>
      <c r="T4" s="2568"/>
      <c r="U4" s="2568"/>
      <c r="V4" s="2568"/>
      <c r="W4" s="2568"/>
      <c r="X4" s="2568"/>
      <c r="Y4" s="2568"/>
      <c r="Z4" s="2568"/>
      <c r="AA4" s="2569"/>
      <c r="AC4" s="2564" t="s">
        <v>611</v>
      </c>
      <c r="AD4" s="2565"/>
      <c r="AE4" s="2565"/>
      <c r="AF4" s="2565"/>
      <c r="AG4" s="2565"/>
      <c r="AH4" s="2565"/>
      <c r="AI4" s="2565"/>
      <c r="AJ4" s="2565"/>
      <c r="AK4" s="2565"/>
      <c r="AL4" s="2565"/>
      <c r="AM4" s="2565"/>
      <c r="AN4" s="2565"/>
      <c r="AO4" s="2565"/>
      <c r="AP4" s="2565"/>
      <c r="AQ4" s="2565"/>
      <c r="AR4" s="2565"/>
      <c r="AS4" s="2565"/>
      <c r="AT4" s="2565"/>
      <c r="AU4" s="2565"/>
      <c r="AV4" s="2565"/>
      <c r="AW4" s="2565"/>
      <c r="AX4" s="2565"/>
      <c r="AY4" s="2565"/>
      <c r="AZ4" s="2565"/>
      <c r="BA4" s="2565"/>
      <c r="BB4" s="2565"/>
      <c r="BC4" s="2566"/>
      <c r="BD4" s="542"/>
      <c r="BE4" s="542"/>
      <c r="BF4" s="2552" t="s">
        <v>511</v>
      </c>
      <c r="BG4" s="2553"/>
      <c r="BH4" s="2553"/>
      <c r="BI4" s="2554"/>
      <c r="BT4" s="28"/>
      <c r="BU4" s="28"/>
      <c r="BV4" s="28"/>
    </row>
    <row r="5" spans="1:74" ht="49.5" customHeight="1" thickBot="1">
      <c r="A5" s="2257"/>
      <c r="C5" s="1315" t="s">
        <v>15</v>
      </c>
      <c r="D5" s="1316" t="s">
        <v>6</v>
      </c>
      <c r="E5" s="1363" t="s">
        <v>316</v>
      </c>
      <c r="F5" s="1363" t="s">
        <v>317</v>
      </c>
      <c r="G5" s="1363" t="s">
        <v>318</v>
      </c>
      <c r="H5" s="1363" t="s">
        <v>319</v>
      </c>
      <c r="I5" s="1363" t="s">
        <v>320</v>
      </c>
      <c r="J5" s="1363" t="s">
        <v>321</v>
      </c>
      <c r="K5" s="1363" t="s">
        <v>322</v>
      </c>
      <c r="L5" s="1363" t="s">
        <v>323</v>
      </c>
      <c r="M5" s="1363" t="s">
        <v>324</v>
      </c>
      <c r="N5" s="1363" t="s">
        <v>325</v>
      </c>
      <c r="O5" s="1363" t="s">
        <v>326</v>
      </c>
      <c r="P5" s="1363" t="s">
        <v>327</v>
      </c>
      <c r="Q5" s="1364" t="s">
        <v>328</v>
      </c>
      <c r="R5" s="1364" t="s">
        <v>329</v>
      </c>
      <c r="S5" s="1364" t="s">
        <v>330</v>
      </c>
      <c r="T5" s="1364" t="s">
        <v>331</v>
      </c>
      <c r="U5" s="1364" t="s">
        <v>332</v>
      </c>
      <c r="V5" s="1364" t="s">
        <v>333</v>
      </c>
      <c r="W5" s="1364" t="s">
        <v>334</v>
      </c>
      <c r="X5" s="1364" t="s">
        <v>343</v>
      </c>
      <c r="Y5" s="2930" t="s">
        <v>108</v>
      </c>
      <c r="Z5" s="2931" t="s">
        <v>107</v>
      </c>
      <c r="AA5" s="2932" t="s">
        <v>3</v>
      </c>
      <c r="AB5" s="546"/>
      <c r="AC5" s="1335" t="s">
        <v>15</v>
      </c>
      <c r="AD5" s="1336" t="s">
        <v>6</v>
      </c>
      <c r="AE5" s="1336" t="s">
        <v>316</v>
      </c>
      <c r="AF5" s="1336" t="s">
        <v>317</v>
      </c>
      <c r="AG5" s="1336" t="s">
        <v>318</v>
      </c>
      <c r="AH5" s="1336" t="s">
        <v>319</v>
      </c>
      <c r="AI5" s="1336" t="s">
        <v>320</v>
      </c>
      <c r="AJ5" s="1336" t="s">
        <v>321</v>
      </c>
      <c r="AK5" s="1336" t="s">
        <v>322</v>
      </c>
      <c r="AL5" s="1336" t="s">
        <v>323</v>
      </c>
      <c r="AM5" s="1336" t="s">
        <v>324</v>
      </c>
      <c r="AN5" s="1336" t="s">
        <v>325</v>
      </c>
      <c r="AO5" s="1336" t="s">
        <v>326</v>
      </c>
      <c r="AP5" s="1336" t="s">
        <v>327</v>
      </c>
      <c r="AQ5" s="1336" t="s">
        <v>328</v>
      </c>
      <c r="AR5" s="1336" t="s">
        <v>329</v>
      </c>
      <c r="AS5" s="1336" t="s">
        <v>330</v>
      </c>
      <c r="AT5" s="1336" t="s">
        <v>331</v>
      </c>
      <c r="AU5" s="1336" t="s">
        <v>332</v>
      </c>
      <c r="AV5" s="1336" t="s">
        <v>333</v>
      </c>
      <c r="AW5" s="1336" t="s">
        <v>334</v>
      </c>
      <c r="AX5" s="1336" t="s">
        <v>343</v>
      </c>
      <c r="AY5" s="1336" t="s">
        <v>502</v>
      </c>
      <c r="AZ5" s="1336" t="s">
        <v>503</v>
      </c>
      <c r="BA5" s="1336" t="s">
        <v>8</v>
      </c>
      <c r="BB5" s="1336" t="s">
        <v>505</v>
      </c>
      <c r="BC5" s="1337" t="s">
        <v>511</v>
      </c>
      <c r="BD5" s="547"/>
      <c r="BE5" s="547"/>
      <c r="BF5" s="534" t="s">
        <v>15</v>
      </c>
      <c r="BG5" s="535" t="s">
        <v>6</v>
      </c>
      <c r="BH5" s="535" t="s">
        <v>8</v>
      </c>
      <c r="BI5" s="536" t="s">
        <v>513</v>
      </c>
    </row>
    <row r="6" spans="1:74" ht="27" customHeight="1">
      <c r="A6" s="2257"/>
      <c r="C6" s="1313">
        <f>+PP!B24</f>
        <v>1</v>
      </c>
      <c r="D6" s="1305" t="str">
        <f>+PP!C24</f>
        <v>ANILLAS BLANCAS SM ST</v>
      </c>
      <c r="E6" s="1291"/>
      <c r="F6" s="1292"/>
      <c r="G6" s="1292"/>
      <c r="H6" s="1292"/>
      <c r="I6" s="1292"/>
      <c r="J6" s="1292"/>
      <c r="K6" s="1292"/>
      <c r="L6" s="1292"/>
      <c r="M6" s="1292"/>
      <c r="N6" s="1292"/>
      <c r="O6" s="1292"/>
      <c r="P6" s="1292"/>
      <c r="Q6" s="1292"/>
      <c r="R6" s="1732"/>
      <c r="S6" s="1732"/>
      <c r="T6" s="1732"/>
      <c r="U6" s="1732"/>
      <c r="V6" s="1732"/>
      <c r="W6" s="1732"/>
      <c r="X6" s="2089"/>
      <c r="Y6" s="2098">
        <f t="shared" ref="Y6:Y53" si="0">SUM(E6:X6)</f>
        <v>0</v>
      </c>
      <c r="Z6" s="1319">
        <f t="shared" ref="Z6:Z53" si="1">Y6/2</f>
        <v>0</v>
      </c>
      <c r="AA6" s="1320">
        <f t="shared" ref="AA6:AA53" si="2">+Y6*10</f>
        <v>0</v>
      </c>
      <c r="AB6" s="549"/>
      <c r="AC6" s="1338" t="str">
        <f>IFERROR(INDEX($C$6:$C$53,_xlfn.AGGREGATE(15,6,(ROW($C$6:$C$53)-ROW($C$6)+1)/($Y$6:$Y$53&gt;0),ROWS($AC$6:AC6))),"")</f>
        <v/>
      </c>
      <c r="AD6" s="1339" t="str">
        <f t="shared" ref="AD6:AD31" si="3">IF($AC6="","",IFERROR(INDEX($D$6:$D$53,MATCH($AC6,$C$6:$C$53,0)),""))</f>
        <v/>
      </c>
      <c r="AE6" s="1340" t="str">
        <f t="shared" ref="AE6:AE31" si="4">IF($AC6="","",IFERROR(IF(INDEX($E$6:$E$53,MATCH($AC6,$C$6:$C$53,0))&gt;0,INDEX($E$6:$E$53,MATCH($AC6,$C$6:$C$53,0)),""),""))</f>
        <v/>
      </c>
      <c r="AF6" s="1340" t="str">
        <f t="shared" ref="AF6:AF31" si="5">IF($AC6="","",IFERROR(IF(INDEX($F$6:$F$53,MATCH($AC6,$C$6:$C$53,0))&gt;0,INDEX($F$6:$F$53,MATCH($AC6,$C$6:$C$53,0)),""),""))</f>
        <v/>
      </c>
      <c r="AG6" s="1340" t="str">
        <f t="shared" ref="AG6:AG31" si="6">IF($AC6="","",IFERROR(IF(INDEX($G$6:$G$53,MATCH($AC6,$C$6:$C$53,0))&gt;0,INDEX($G$6:$G$53,MATCH($AC6,$C$6:$C$53,0)),""),""))</f>
        <v/>
      </c>
      <c r="AH6" s="1340" t="str">
        <f t="shared" ref="AH6:AH31" si="7">IF($AC6="","",IFERROR(IF(INDEX($H$6:$H$53,MATCH($AC6,$C$6:$C$53,0))&gt;0,INDEX($H$6:$H$53,MATCH($AC6,$C$6:$C$53,0)),""),""))</f>
        <v/>
      </c>
      <c r="AI6" s="1340" t="str">
        <f t="shared" ref="AI6:AI31" si="8">IF($AC6="","",IFERROR(IF(INDEX($I$6:$I$53,MATCH($AC6,$C$6:$C$53,0))&gt;0,INDEX($I$6:$I$53,MATCH($AC6,$C$6:$C$53,0)),""),""))</f>
        <v/>
      </c>
      <c r="AJ6" s="1340" t="str">
        <f t="shared" ref="AJ6:AJ31" si="9">IF($AC6="","",IFERROR(IF(INDEX($J$6:$J$53,MATCH($AC6,$C$6:$C$53,0))&gt;0,INDEX($J$6:$J$53,MATCH($AC6,$C$6:$C$53,0)),""),""))</f>
        <v/>
      </c>
      <c r="AK6" s="1340" t="str">
        <f t="shared" ref="AK6:AK31" si="10">IF($AC6="","",IFERROR(IF(INDEX($K$6:$K$53,MATCH($AC6,$C$6:$C$53,0))&gt;0,INDEX($K$6:$K$53,MATCH($AC6,$C$6:$C$53,0)),""),""))</f>
        <v/>
      </c>
      <c r="AL6" s="1340" t="str">
        <f t="shared" ref="AL6:AL31" si="11">IF($AC6="","",IFERROR(IF(INDEX($L$6:$L$53,MATCH($AC6,$C$6:$C$53,0))&gt;0,INDEX($L$6:$L$53,MATCH($AC6,$C$6:$C$53,0)),""),""))</f>
        <v/>
      </c>
      <c r="AM6" s="1340" t="str">
        <f t="shared" ref="AM6:AM31" si="12">IF($AC6="","",IFERROR(IF(INDEX($M$6:$M$53,MATCH($AC6,$C$6:$C$53,0))&gt;0,INDEX($M$6:$M$53,MATCH($AC6,$C$6:$C$53,0)),""),""))</f>
        <v/>
      </c>
      <c r="AN6" s="1340" t="str">
        <f t="shared" ref="AN6:AN31" si="13">IF($AC6="","",IFERROR(IF(INDEX($N$6:$N$53,MATCH($AC6,$C$6:$C$53,0))&gt;0,INDEX($N$6:$N$53,MATCH($AC6,$C$6:$C$53,0)),""),""))</f>
        <v/>
      </c>
      <c r="AO6" s="1340" t="str">
        <f t="shared" ref="AO6:AO31" si="14">IF($AC6="","",IFERROR(IF(INDEX($O$6:$O$53,MATCH($AC6,$C$6:$C$53,0))&gt;0,INDEX($O$6:$O$53,MATCH($AC6,$C$6:$C$53,0)),""),""))</f>
        <v/>
      </c>
      <c r="AP6" s="1340" t="str">
        <f t="shared" ref="AP6:AP31" si="15">IF($AC6="","",IFERROR(IF(INDEX($P$6:$P$53,MATCH($AC6,$C$6:$C$53,0))&gt;0,INDEX($P$6:$P$53,MATCH($AC6,$C$6:$C$53,0)),""),""))</f>
        <v/>
      </c>
      <c r="AQ6" s="1340" t="str">
        <f t="shared" ref="AQ6:AQ31" si="16">IF($AC6="","",IFERROR(IF(INDEX($Q$6:$Q$53,MATCH($AC6,$C$6:$C$53,0))&gt;0,INDEX($Q$6:$Q$53,MATCH($AC6,$C$6:$C$53,0)),""),""))</f>
        <v/>
      </c>
      <c r="AR6" s="1340" t="str">
        <f t="shared" ref="AR6:AR31" si="17">IF($AC6="","",IFERROR(IF(INDEX($R$6:$R$53,MATCH($AC6,$C$6:$C$53,0))&gt;0,INDEX($R$6:$R$53,MATCH($AC6,$C$6:$C$53,0)),""),""))</f>
        <v/>
      </c>
      <c r="AS6" s="1340" t="str">
        <f t="shared" ref="AS6:AS31" si="18">IF($AC6="","",IFERROR(IF(INDEX($S$6:$S$53,MATCH($AC6,$C$6:$C$53,0))&gt;0,INDEX($S$6:$S$53,MATCH($AC6,$C$6:$C$53,0)),""),""))</f>
        <v/>
      </c>
      <c r="AT6" s="1340" t="str">
        <f t="shared" ref="AT6:AT31" si="19">IF($AC6="","",IFERROR(IF(INDEX($T$6:$T$53,MATCH($AC6,$C$6:$C$53,0))&gt;0,INDEX($T$6:$T$53,MATCH($AC6,$C$6:$C$53,0)),""),""))</f>
        <v/>
      </c>
      <c r="AU6" s="1366" t="str">
        <f t="shared" ref="AU6:AU31" si="20">IF($AC6="","",IFERROR(IF(INDEX($U$6:$U$53,MATCH($AC6,$C$6:$C$53,0))&gt;0,INDEX($U$6:$U$53,MATCH($AC6,$C$6:$C$53,0)),""),""))</f>
        <v/>
      </c>
      <c r="AV6" s="1340" t="str">
        <f t="shared" ref="AV6:AV31" si="21">IF($AC6="","",IFERROR(IF(INDEX($V$6:$V$53,MATCH($AC6,$C$6:$C$53,0))&gt;0,INDEX($V$6:$V$53,MATCH($AC6,$C$6:$C$53,0)),""),""))</f>
        <v/>
      </c>
      <c r="AW6" s="1340" t="str">
        <f t="shared" ref="AW6:AW31" si="22">IF($AC6="","",IFERROR(IF(INDEX($W$6:$W$53,MATCH($AC6,$C$6:$C$53,0))&gt;0,INDEX($W$6:$W$53,MATCH($AC6,$C$6:$C$53,0)),""),""))</f>
        <v/>
      </c>
      <c r="AX6" s="1340" t="str">
        <f t="shared" ref="AX6:AX31" si="23">IF($AC6="","",IFERROR(IF(INDEX($X$6:$X$53,MATCH($AC6,$C$6:$C$53,0))&gt;0,INDEX($X$6:$X$53,MATCH($AC6,$C$6:$C$53,0)),""),""))</f>
        <v/>
      </c>
      <c r="AY6" s="1340" t="str">
        <f t="shared" ref="AY6:AY31" si="24">IF($AC6="","",SUM($AE6:$AX6))</f>
        <v/>
      </c>
      <c r="AZ6" s="1340" t="str">
        <f t="shared" ref="AZ6:AZ31" si="25">IF($AC6="","",$AY6/2)</f>
        <v/>
      </c>
      <c r="BA6" s="1340" t="str">
        <f t="shared" ref="BA6:BA31" si="26">IF($AC6="","",$AY6*10)</f>
        <v/>
      </c>
      <c r="BB6" s="1340" t="str">
        <f t="shared" ref="BB6:BB31" si="27">IF($AC6="","",IF(MAX($AE6:$AX6)&gt;50,"REVISIÓN: EXCEDE 50","OK"))</f>
        <v/>
      </c>
      <c r="BC6" s="1341" t="str">
        <f t="shared" ref="BC6:BC31" si="28">IF($AC6="","",IF(MOD($BA6,20)=10,"SÍ","NO"))</f>
        <v/>
      </c>
      <c r="BD6" s="550"/>
      <c r="BE6" s="550"/>
      <c r="BF6" s="499" t="str">
        <f>IFERROR(INDEX($AC$6:$AC$31,_xlfn.AGGREGATE(15,6,(ROW($AC$6:$AC$31)-ROW($AC$6)+1)/($BC$6:$BC$31="SÍ"),ROWS($BF$6:BF6))),"")</f>
        <v/>
      </c>
      <c r="BG6" s="500" t="str">
        <f t="shared" ref="BG6:BG27" si="29">IF($BF6="","",IFERROR(INDEX($AD$6:$AD$31,MATCH($BF6,$AC$6:$AC$31,0)),""))</f>
        <v/>
      </c>
      <c r="BH6" s="458" t="str">
        <f t="shared" ref="BH6:BH27" si="30">IF($BF6="","",IFERROR(INDEX($BA$6:$BA$31,MATCH($BF6,$AC$6:$AC$31,0)),""))</f>
        <v/>
      </c>
      <c r="BI6" s="501" t="str">
        <f t="shared" ref="BI6:BI27" si="31">IF($BF6="","","10 KG")</f>
        <v/>
      </c>
    </row>
    <row r="7" spans="1:74" ht="31.5" customHeight="1">
      <c r="A7" s="2257"/>
      <c r="C7" s="1314">
        <f>+PP!B25</f>
        <v>2</v>
      </c>
      <c r="D7" s="1306" t="str">
        <f>+PP!C25</f>
        <v>ANILLAS AMARILLAS SM ST</v>
      </c>
      <c r="E7" s="1293"/>
      <c r="F7" s="1294"/>
      <c r="G7" s="1294"/>
      <c r="H7" s="1294"/>
      <c r="I7" s="1294"/>
      <c r="J7" s="1294"/>
      <c r="K7" s="1294"/>
      <c r="L7" s="1294"/>
      <c r="M7" s="1294"/>
      <c r="N7" s="1294"/>
      <c r="O7" s="1294"/>
      <c r="P7" s="1294"/>
      <c r="Q7" s="1294"/>
      <c r="R7" s="1731"/>
      <c r="S7" s="1731"/>
      <c r="T7" s="1731"/>
      <c r="U7" s="1731"/>
      <c r="V7" s="1731"/>
      <c r="W7" s="1731"/>
      <c r="X7" s="2090"/>
      <c r="Y7" s="2099">
        <f t="shared" si="0"/>
        <v>0</v>
      </c>
      <c r="Z7" s="1321">
        <f t="shared" si="1"/>
        <v>0</v>
      </c>
      <c r="AA7" s="1322">
        <f t="shared" si="2"/>
        <v>0</v>
      </c>
      <c r="AB7" s="549"/>
      <c r="AC7" s="1342" t="str">
        <f>IFERROR(INDEX($C$6:$C$53,_xlfn.AGGREGATE(15,6,(ROW($C$6:$C$53)-ROW($C$6)+1)/($Y$6:$Y$53&gt;0),ROWS($AC$6:AC7))),"")</f>
        <v/>
      </c>
      <c r="AD7" s="1343" t="str">
        <f t="shared" si="3"/>
        <v/>
      </c>
      <c r="AE7" s="1344" t="str">
        <f t="shared" si="4"/>
        <v/>
      </c>
      <c r="AF7" s="1344" t="str">
        <f t="shared" si="5"/>
        <v/>
      </c>
      <c r="AG7" s="1344" t="str">
        <f t="shared" si="6"/>
        <v/>
      </c>
      <c r="AH7" s="1344" t="str">
        <f t="shared" si="7"/>
        <v/>
      </c>
      <c r="AI7" s="1344" t="str">
        <f t="shared" si="8"/>
        <v/>
      </c>
      <c r="AJ7" s="1344" t="str">
        <f t="shared" si="9"/>
        <v/>
      </c>
      <c r="AK7" s="1344" t="str">
        <f t="shared" si="10"/>
        <v/>
      </c>
      <c r="AL7" s="1344" t="str">
        <f t="shared" si="11"/>
        <v/>
      </c>
      <c r="AM7" s="1344" t="str">
        <f t="shared" si="12"/>
        <v/>
      </c>
      <c r="AN7" s="1344" t="str">
        <f t="shared" si="13"/>
        <v/>
      </c>
      <c r="AO7" s="1344" t="str">
        <f t="shared" si="14"/>
        <v/>
      </c>
      <c r="AP7" s="1344" t="str">
        <f t="shared" si="15"/>
        <v/>
      </c>
      <c r="AQ7" s="1344" t="str">
        <f t="shared" si="16"/>
        <v/>
      </c>
      <c r="AR7" s="1344" t="str">
        <f t="shared" si="17"/>
        <v/>
      </c>
      <c r="AS7" s="1344" t="str">
        <f t="shared" si="18"/>
        <v/>
      </c>
      <c r="AT7" s="1344" t="str">
        <f t="shared" si="19"/>
        <v/>
      </c>
      <c r="AU7" s="1365" t="str">
        <f t="shared" si="20"/>
        <v/>
      </c>
      <c r="AV7" s="1344" t="str">
        <f t="shared" si="21"/>
        <v/>
      </c>
      <c r="AW7" s="1344" t="str">
        <f t="shared" si="22"/>
        <v/>
      </c>
      <c r="AX7" s="1344" t="str">
        <f t="shared" si="23"/>
        <v/>
      </c>
      <c r="AY7" s="1344" t="str">
        <f t="shared" si="24"/>
        <v/>
      </c>
      <c r="AZ7" s="1344" t="str">
        <f t="shared" si="25"/>
        <v/>
      </c>
      <c r="BA7" s="1344" t="str">
        <f t="shared" si="26"/>
        <v/>
      </c>
      <c r="BB7" s="1344" t="str">
        <f t="shared" si="27"/>
        <v/>
      </c>
      <c r="BC7" s="1345" t="str">
        <f t="shared" si="28"/>
        <v/>
      </c>
      <c r="BD7" s="553"/>
      <c r="BE7" s="553"/>
      <c r="BF7" s="499" t="str">
        <f>IFERROR(INDEX($AC$6:$AC$31,_xlfn.AGGREGATE(15,6,(ROW($AC$6:$AC$31)-ROW($AC$6)+1)/($BC$6:$BC$31="SÍ"),ROWS($BF$6:BF7))),"")</f>
        <v/>
      </c>
      <c r="BG7" s="500" t="str">
        <f t="shared" si="29"/>
        <v/>
      </c>
      <c r="BH7" s="458" t="str">
        <f t="shared" si="30"/>
        <v/>
      </c>
      <c r="BI7" s="501" t="str">
        <f t="shared" si="31"/>
        <v/>
      </c>
    </row>
    <row r="8" spans="1:74" ht="32.25" customHeight="1" thickBot="1">
      <c r="A8" s="2257"/>
      <c r="C8" s="2934">
        <f>+PP!B26</f>
        <v>3</v>
      </c>
      <c r="D8" s="1307" t="str">
        <f>+PP!C26</f>
        <v>ANILLAS BLANCAS SM ST MEDIANA</v>
      </c>
      <c r="E8" s="1295"/>
      <c r="F8" s="1296"/>
      <c r="G8" s="1296"/>
      <c r="H8" s="1296"/>
      <c r="I8" s="1296"/>
      <c r="J8" s="1296"/>
      <c r="K8" s="1296"/>
      <c r="L8" s="1296"/>
      <c r="M8" s="1296"/>
      <c r="N8" s="1296"/>
      <c r="O8" s="1296"/>
      <c r="P8" s="1296"/>
      <c r="Q8" s="1296"/>
      <c r="R8" s="2935"/>
      <c r="S8" s="2935"/>
      <c r="T8" s="2935"/>
      <c r="U8" s="2935"/>
      <c r="V8" s="2935"/>
      <c r="W8" s="2935"/>
      <c r="X8" s="2936"/>
      <c r="Y8" s="2100">
        <f t="shared" si="0"/>
        <v>0</v>
      </c>
      <c r="Z8" s="1324">
        <f t="shared" si="1"/>
        <v>0</v>
      </c>
      <c r="AA8" s="1323">
        <f t="shared" si="2"/>
        <v>0</v>
      </c>
      <c r="AB8" s="549"/>
      <c r="AC8" s="1342" t="str">
        <f>IFERROR(INDEX($C$6:$C$53,_xlfn.AGGREGATE(15,6,(ROW($C$6:$C$53)-ROW($C$6)+1)/($Y$6:$Y$53&gt;0),ROWS($AC$6:AC8))),"")</f>
        <v/>
      </c>
      <c r="AD8" s="1343" t="str">
        <f t="shared" si="3"/>
        <v/>
      </c>
      <c r="AE8" s="1344" t="str">
        <f t="shared" si="4"/>
        <v/>
      </c>
      <c r="AF8" s="1344" t="str">
        <f t="shared" si="5"/>
        <v/>
      </c>
      <c r="AG8" s="1344" t="str">
        <f t="shared" si="6"/>
        <v/>
      </c>
      <c r="AH8" s="1344" t="str">
        <f t="shared" si="7"/>
        <v/>
      </c>
      <c r="AI8" s="1344" t="str">
        <f t="shared" si="8"/>
        <v/>
      </c>
      <c r="AJ8" s="1344" t="str">
        <f t="shared" si="9"/>
        <v/>
      </c>
      <c r="AK8" s="1344" t="str">
        <f t="shared" si="10"/>
        <v/>
      </c>
      <c r="AL8" s="1344" t="str">
        <f t="shared" si="11"/>
        <v/>
      </c>
      <c r="AM8" s="1344" t="str">
        <f t="shared" si="12"/>
        <v/>
      </c>
      <c r="AN8" s="1344" t="str">
        <f t="shared" si="13"/>
        <v/>
      </c>
      <c r="AO8" s="1365" t="str">
        <f t="shared" si="14"/>
        <v/>
      </c>
      <c r="AP8" s="1344" t="str">
        <f t="shared" si="15"/>
        <v/>
      </c>
      <c r="AQ8" s="1344" t="str">
        <f t="shared" si="16"/>
        <v/>
      </c>
      <c r="AR8" s="1344" t="str">
        <f t="shared" si="17"/>
        <v/>
      </c>
      <c r="AS8" s="1344" t="str">
        <f t="shared" si="18"/>
        <v/>
      </c>
      <c r="AT8" s="1344" t="str">
        <f t="shared" si="19"/>
        <v/>
      </c>
      <c r="AU8" s="1365" t="str">
        <f t="shared" si="20"/>
        <v/>
      </c>
      <c r="AV8" s="1344" t="str">
        <f t="shared" si="21"/>
        <v/>
      </c>
      <c r="AW8" s="1344" t="str">
        <f t="shared" si="22"/>
        <v/>
      </c>
      <c r="AX8" s="1344" t="str">
        <f t="shared" si="23"/>
        <v/>
      </c>
      <c r="AY8" s="1344" t="str">
        <f t="shared" si="24"/>
        <v/>
      </c>
      <c r="AZ8" s="1344" t="str">
        <f t="shared" si="25"/>
        <v/>
      </c>
      <c r="BA8" s="1344" t="str">
        <f t="shared" si="26"/>
        <v/>
      </c>
      <c r="BB8" s="1344" t="str">
        <f t="shared" si="27"/>
        <v/>
      </c>
      <c r="BC8" s="1345" t="str">
        <f t="shared" si="28"/>
        <v/>
      </c>
      <c r="BD8" s="553"/>
      <c r="BE8" s="553"/>
      <c r="BF8" s="499" t="str">
        <f>IFERROR(INDEX($AC$6:$AC$31,_xlfn.AGGREGATE(15,6,(ROW($AC$6:$AC$31)-ROW($AC$6)+1)/($BC$6:$BC$31="SÍ"),ROWS($BF$6:BF8))),"")</f>
        <v/>
      </c>
      <c r="BG8" s="500" t="str">
        <f t="shared" si="29"/>
        <v/>
      </c>
      <c r="BH8" s="458" t="str">
        <f t="shared" si="30"/>
        <v/>
      </c>
      <c r="BI8" s="501" t="str">
        <f t="shared" si="31"/>
        <v/>
      </c>
    </row>
    <row r="9" spans="1:74" ht="30.75" customHeight="1">
      <c r="A9" s="2257"/>
      <c r="C9" s="1313">
        <f>+PP!B27</f>
        <v>4</v>
      </c>
      <c r="D9" s="1305" t="str">
        <f>+PP!C27</f>
        <v>ALETA FRESCA CORTE CRUZ</v>
      </c>
      <c r="E9" s="1291"/>
      <c r="F9" s="1292"/>
      <c r="G9" s="1292"/>
      <c r="H9" s="1292"/>
      <c r="I9" s="1292"/>
      <c r="J9" s="1292"/>
      <c r="K9" s="1292"/>
      <c r="L9" s="1292"/>
      <c r="M9" s="1292"/>
      <c r="N9" s="1292"/>
      <c r="O9" s="1292"/>
      <c r="P9" s="1292"/>
      <c r="Q9" s="1292"/>
      <c r="R9" s="1732"/>
      <c r="S9" s="1732"/>
      <c r="T9" s="1732"/>
      <c r="U9" s="1732"/>
      <c r="V9" s="1732"/>
      <c r="W9" s="1732"/>
      <c r="X9" s="2089"/>
      <c r="Y9" s="2098">
        <f t="shared" si="0"/>
        <v>0</v>
      </c>
      <c r="Z9" s="1319">
        <f t="shared" si="1"/>
        <v>0</v>
      </c>
      <c r="AA9" s="1320">
        <f t="shared" si="2"/>
        <v>0</v>
      </c>
      <c r="AB9" s="549"/>
      <c r="AC9" s="1342" t="str">
        <f>IFERROR(INDEX($C$6:$C$53,_xlfn.AGGREGATE(15,6,(ROW($C$6:$C$53)-ROW($C$6)+1)/($Y$6:$Y$53&gt;0),ROWS($AC$6:AC9))),"")</f>
        <v/>
      </c>
      <c r="AD9" s="1343" t="str">
        <f t="shared" si="3"/>
        <v/>
      </c>
      <c r="AE9" s="1344" t="str">
        <f t="shared" si="4"/>
        <v/>
      </c>
      <c r="AF9" s="1344" t="str">
        <f t="shared" si="5"/>
        <v/>
      </c>
      <c r="AG9" s="1344" t="str">
        <f t="shared" si="6"/>
        <v/>
      </c>
      <c r="AH9" s="1344" t="str">
        <f t="shared" si="7"/>
        <v/>
      </c>
      <c r="AI9" s="1344" t="str">
        <f t="shared" si="8"/>
        <v/>
      </c>
      <c r="AJ9" s="1344" t="str">
        <f t="shared" si="9"/>
        <v/>
      </c>
      <c r="AK9" s="1344" t="str">
        <f t="shared" si="10"/>
        <v/>
      </c>
      <c r="AL9" s="1344" t="str">
        <f t="shared" si="11"/>
        <v/>
      </c>
      <c r="AM9" s="1344" t="str">
        <f t="shared" si="12"/>
        <v/>
      </c>
      <c r="AN9" s="1344" t="str">
        <f t="shared" si="13"/>
        <v/>
      </c>
      <c r="AO9" s="1344" t="str">
        <f t="shared" si="14"/>
        <v/>
      </c>
      <c r="AP9" s="1344" t="str">
        <f t="shared" si="15"/>
        <v/>
      </c>
      <c r="AQ9" s="1365" t="str">
        <f t="shared" si="16"/>
        <v/>
      </c>
      <c r="AR9" s="1344" t="str">
        <f t="shared" si="17"/>
        <v/>
      </c>
      <c r="AS9" s="1344" t="str">
        <f t="shared" si="18"/>
        <v/>
      </c>
      <c r="AT9" s="1344" t="str">
        <f t="shared" si="19"/>
        <v/>
      </c>
      <c r="AU9" s="1344" t="str">
        <f t="shared" si="20"/>
        <v/>
      </c>
      <c r="AV9" s="1344" t="str">
        <f t="shared" si="21"/>
        <v/>
      </c>
      <c r="AW9" s="1344" t="str">
        <f t="shared" si="22"/>
        <v/>
      </c>
      <c r="AX9" s="1344" t="str">
        <f t="shared" si="23"/>
        <v/>
      </c>
      <c r="AY9" s="1344" t="str">
        <f t="shared" si="24"/>
        <v/>
      </c>
      <c r="AZ9" s="1344" t="str">
        <f t="shared" si="25"/>
        <v/>
      </c>
      <c r="BA9" s="1344" t="str">
        <f t="shared" si="26"/>
        <v/>
      </c>
      <c r="BB9" s="1344" t="str">
        <f t="shared" si="27"/>
        <v/>
      </c>
      <c r="BC9" s="1345" t="str">
        <f t="shared" si="28"/>
        <v/>
      </c>
      <c r="BD9" s="553"/>
      <c r="BE9" s="553"/>
      <c r="BF9" s="499" t="str">
        <f>IFERROR(INDEX($AC$6:$AC$31,_xlfn.AGGREGATE(15,6,(ROW($AC$6:$AC$31)-ROW($AC$6)+1)/($BC$6:$BC$31="SÍ"),ROWS($BF$6:BF9))),"")</f>
        <v/>
      </c>
      <c r="BG9" s="500" t="str">
        <f t="shared" si="29"/>
        <v/>
      </c>
      <c r="BH9" s="458" t="str">
        <f t="shared" si="30"/>
        <v/>
      </c>
      <c r="BI9" s="501" t="str">
        <f t="shared" si="31"/>
        <v/>
      </c>
    </row>
    <row r="10" spans="1:74" ht="33" customHeight="1">
      <c r="A10" s="2257"/>
      <c r="C10" s="1314">
        <f>+PP!B28</f>
        <v>5</v>
      </c>
      <c r="D10" s="1306" t="str">
        <f>+PP!C28</f>
        <v>ALETA ENTERA 100-500 g/pza</v>
      </c>
      <c r="E10" s="1293"/>
      <c r="F10" s="1294"/>
      <c r="G10" s="1294"/>
      <c r="H10" s="1294"/>
      <c r="I10" s="1294"/>
      <c r="J10" s="1294"/>
      <c r="K10" s="1294"/>
      <c r="L10" s="1294"/>
      <c r="M10" s="1294"/>
      <c r="N10" s="1294"/>
      <c r="O10" s="1294"/>
      <c r="P10" s="1294"/>
      <c r="Q10" s="1294"/>
      <c r="R10" s="1731"/>
      <c r="S10" s="1731"/>
      <c r="T10" s="1731"/>
      <c r="U10" s="1731"/>
      <c r="V10" s="1731"/>
      <c r="W10" s="1731"/>
      <c r="X10" s="2090"/>
      <c r="Y10" s="2099">
        <f t="shared" si="0"/>
        <v>0</v>
      </c>
      <c r="Z10" s="1321">
        <f t="shared" si="1"/>
        <v>0</v>
      </c>
      <c r="AA10" s="1322">
        <f t="shared" si="2"/>
        <v>0</v>
      </c>
      <c r="AB10" s="549"/>
      <c r="AC10" s="1342" t="str">
        <f>IFERROR(INDEX($C$6:$C$53,_xlfn.AGGREGATE(15,6,(ROW($C$6:$C$53)-ROW($C$6)+1)/($Y$6:$Y$53&gt;0),ROWS($AC$6:AC10))),"")</f>
        <v/>
      </c>
      <c r="AD10" s="1343" t="str">
        <f t="shared" si="3"/>
        <v/>
      </c>
      <c r="AE10" s="1344" t="str">
        <f t="shared" si="4"/>
        <v/>
      </c>
      <c r="AF10" s="1344" t="str">
        <f t="shared" si="5"/>
        <v/>
      </c>
      <c r="AG10" s="1344" t="str">
        <f t="shared" si="6"/>
        <v/>
      </c>
      <c r="AH10" s="1344" t="str">
        <f t="shared" si="7"/>
        <v/>
      </c>
      <c r="AI10" s="1344" t="str">
        <f t="shared" si="8"/>
        <v/>
      </c>
      <c r="AJ10" s="1365" t="str">
        <f t="shared" si="9"/>
        <v/>
      </c>
      <c r="AK10" s="1365" t="str">
        <f t="shared" si="10"/>
        <v/>
      </c>
      <c r="AL10" s="1344" t="str">
        <f t="shared" si="11"/>
        <v/>
      </c>
      <c r="AM10" s="1365" t="str">
        <f t="shared" si="12"/>
        <v/>
      </c>
      <c r="AN10" s="1365" t="str">
        <f t="shared" si="13"/>
        <v/>
      </c>
      <c r="AO10" s="1365" t="str">
        <f t="shared" si="14"/>
        <v/>
      </c>
      <c r="AP10" s="1344" t="str">
        <f t="shared" si="15"/>
        <v/>
      </c>
      <c r="AQ10" s="1344" t="str">
        <f t="shared" si="16"/>
        <v/>
      </c>
      <c r="AR10" s="1344" t="str">
        <f t="shared" si="17"/>
        <v/>
      </c>
      <c r="AS10" s="1365" t="str">
        <f t="shared" si="18"/>
        <v/>
      </c>
      <c r="AT10" s="1365" t="str">
        <f t="shared" si="19"/>
        <v/>
      </c>
      <c r="AU10" s="1365" t="str">
        <f t="shared" si="20"/>
        <v/>
      </c>
      <c r="AV10" s="1365" t="str">
        <f t="shared" si="21"/>
        <v/>
      </c>
      <c r="AW10" s="1365" t="str">
        <f t="shared" si="22"/>
        <v/>
      </c>
      <c r="AX10" s="1344" t="str">
        <f t="shared" si="23"/>
        <v/>
      </c>
      <c r="AY10" s="1344" t="str">
        <f t="shared" si="24"/>
        <v/>
      </c>
      <c r="AZ10" s="1344" t="str">
        <f t="shared" si="25"/>
        <v/>
      </c>
      <c r="BA10" s="1344" t="str">
        <f t="shared" si="26"/>
        <v/>
      </c>
      <c r="BB10" s="1344" t="str">
        <f t="shared" si="27"/>
        <v/>
      </c>
      <c r="BC10" s="1346" t="str">
        <f t="shared" si="28"/>
        <v/>
      </c>
      <c r="BD10" s="553"/>
      <c r="BE10" s="553"/>
      <c r="BF10" s="499" t="str">
        <f>IFERROR(INDEX($AC$6:$AC$31,_xlfn.AGGREGATE(15,6,(ROW($AC$6:$AC$31)-ROW($AC$6)+1)/($BC$6:$BC$31="SÍ"),ROWS($BF$6:BF10))),"")</f>
        <v/>
      </c>
      <c r="BG10" s="500" t="str">
        <f t="shared" si="29"/>
        <v/>
      </c>
      <c r="BH10" s="458" t="str">
        <f t="shared" si="30"/>
        <v/>
      </c>
      <c r="BI10" s="501" t="str">
        <f t="shared" si="31"/>
        <v/>
      </c>
    </row>
    <row r="11" spans="1:74" ht="33.75" customHeight="1">
      <c r="A11" s="2257"/>
      <c r="C11" s="1314">
        <f>+PP!B29</f>
        <v>6</v>
      </c>
      <c r="D11" s="1306" t="str">
        <f>+PP!C29</f>
        <v>ALETA ENTERA 500-1000 g/pza</v>
      </c>
      <c r="E11" s="1293"/>
      <c r="F11" s="1294"/>
      <c r="G11" s="1294"/>
      <c r="H11" s="1294"/>
      <c r="I11" s="1294"/>
      <c r="J11" s="1294"/>
      <c r="K11" s="1294"/>
      <c r="L11" s="1294"/>
      <c r="M11" s="1294"/>
      <c r="N11" s="1294"/>
      <c r="O11" s="1294"/>
      <c r="P11" s="1294"/>
      <c r="Q11" s="1294"/>
      <c r="R11" s="1731"/>
      <c r="S11" s="1731"/>
      <c r="T11" s="1731"/>
      <c r="U11" s="1731"/>
      <c r="V11" s="1731"/>
      <c r="W11" s="1731"/>
      <c r="X11" s="2090"/>
      <c r="Y11" s="2099">
        <f t="shared" si="0"/>
        <v>0</v>
      </c>
      <c r="Z11" s="1321">
        <f t="shared" si="1"/>
        <v>0</v>
      </c>
      <c r="AA11" s="1322">
        <f t="shared" si="2"/>
        <v>0</v>
      </c>
      <c r="AB11" s="549"/>
      <c r="AC11" s="1342" t="str">
        <f>IFERROR(INDEX($C$6:$C$53,_xlfn.AGGREGATE(15,6,(ROW($C$6:$C$53)-ROW($C$6)+1)/($Y$6:$Y$53&gt;0),ROWS($AC$6:AC11))),"")</f>
        <v/>
      </c>
      <c r="AD11" s="1343" t="str">
        <f t="shared" si="3"/>
        <v/>
      </c>
      <c r="AE11" s="1344" t="str">
        <f t="shared" si="4"/>
        <v/>
      </c>
      <c r="AF11" s="1344" t="str">
        <f t="shared" si="5"/>
        <v/>
      </c>
      <c r="AG11" s="1344" t="str">
        <f t="shared" si="6"/>
        <v/>
      </c>
      <c r="AH11" s="1344" t="str">
        <f t="shared" si="7"/>
        <v/>
      </c>
      <c r="AI11" s="1344" t="str">
        <f t="shared" si="8"/>
        <v/>
      </c>
      <c r="AJ11" s="1344" t="str">
        <f t="shared" si="9"/>
        <v/>
      </c>
      <c r="AK11" s="1344" t="str">
        <f t="shared" si="10"/>
        <v/>
      </c>
      <c r="AL11" s="1344" t="str">
        <f t="shared" si="11"/>
        <v/>
      </c>
      <c r="AM11" s="1365" t="str">
        <f t="shared" si="12"/>
        <v/>
      </c>
      <c r="AN11" s="1344" t="str">
        <f t="shared" si="13"/>
        <v/>
      </c>
      <c r="AO11" s="1344" t="str">
        <f t="shared" si="14"/>
        <v/>
      </c>
      <c r="AP11" s="1344" t="str">
        <f t="shared" si="15"/>
        <v/>
      </c>
      <c r="AQ11" s="1344" t="str">
        <f t="shared" si="16"/>
        <v/>
      </c>
      <c r="AR11" s="1344" t="str">
        <f t="shared" si="17"/>
        <v/>
      </c>
      <c r="AS11" s="1344" t="str">
        <f t="shared" si="18"/>
        <v/>
      </c>
      <c r="AT11" s="1365" t="str">
        <f t="shared" si="19"/>
        <v/>
      </c>
      <c r="AU11" s="1365" t="str">
        <f t="shared" si="20"/>
        <v/>
      </c>
      <c r="AV11" s="1344" t="str">
        <f t="shared" si="21"/>
        <v/>
      </c>
      <c r="AW11" s="1344" t="str">
        <f t="shared" si="22"/>
        <v/>
      </c>
      <c r="AX11" s="1344" t="str">
        <f t="shared" si="23"/>
        <v/>
      </c>
      <c r="AY11" s="1344" t="str">
        <f t="shared" si="24"/>
        <v/>
      </c>
      <c r="AZ11" s="1344" t="str">
        <f t="shared" si="25"/>
        <v/>
      </c>
      <c r="BA11" s="1344" t="str">
        <f t="shared" si="26"/>
        <v/>
      </c>
      <c r="BB11" s="1344" t="str">
        <f t="shared" si="27"/>
        <v/>
      </c>
      <c r="BC11" s="1346" t="str">
        <f t="shared" si="28"/>
        <v/>
      </c>
      <c r="BD11" s="553"/>
      <c r="BE11" s="553"/>
      <c r="BF11" s="499" t="str">
        <f>IFERROR(INDEX($AC$6:$AC$31,_xlfn.AGGREGATE(15,6,(ROW($AC$6:$AC$31)-ROW($AC$6)+1)/($BC$6:$BC$31="SÍ"),ROWS($BF$6:BF11))),"")</f>
        <v/>
      </c>
      <c r="BG11" s="500" t="str">
        <f t="shared" si="29"/>
        <v/>
      </c>
      <c r="BH11" s="458" t="str">
        <f t="shared" si="30"/>
        <v/>
      </c>
      <c r="BI11" s="501" t="str">
        <f t="shared" si="31"/>
        <v/>
      </c>
    </row>
    <row r="12" spans="1:74" ht="33.75" customHeight="1">
      <c r="A12" s="2257"/>
      <c r="C12" s="1314">
        <f>+PP!B30</f>
        <v>7</v>
      </c>
      <c r="D12" s="1306" t="str">
        <f>+PP!C30</f>
        <v>ALETA ENTERA 1.0-2.0 kg/pza</v>
      </c>
      <c r="E12" s="1293"/>
      <c r="F12" s="1294"/>
      <c r="G12" s="1294"/>
      <c r="H12" s="1294"/>
      <c r="I12" s="1294"/>
      <c r="J12" s="1294"/>
      <c r="K12" s="1294"/>
      <c r="L12" s="1294"/>
      <c r="M12" s="1294"/>
      <c r="N12" s="1294"/>
      <c r="O12" s="1294"/>
      <c r="P12" s="1294"/>
      <c r="Q12" s="1294"/>
      <c r="R12" s="1731"/>
      <c r="S12" s="1731"/>
      <c r="T12" s="1731"/>
      <c r="U12" s="1731"/>
      <c r="V12" s="1731"/>
      <c r="W12" s="1731"/>
      <c r="X12" s="2090"/>
      <c r="Y12" s="2099">
        <f t="shared" si="0"/>
        <v>0</v>
      </c>
      <c r="Z12" s="1321">
        <f t="shared" si="1"/>
        <v>0</v>
      </c>
      <c r="AA12" s="1322">
        <f t="shared" si="2"/>
        <v>0</v>
      </c>
      <c r="AB12" s="549"/>
      <c r="AC12" s="1342" t="str">
        <f>IFERROR(INDEX($C$6:$C$53,_xlfn.AGGREGATE(15,6,(ROW($C$6:$C$53)-ROW($C$6)+1)/($Y$6:$Y$53&gt;0),ROWS($AC$6:AC12))),"")</f>
        <v/>
      </c>
      <c r="AD12" s="1343" t="str">
        <f t="shared" si="3"/>
        <v/>
      </c>
      <c r="AE12" s="1344" t="str">
        <f t="shared" si="4"/>
        <v/>
      </c>
      <c r="AF12" s="1344" t="str">
        <f t="shared" si="5"/>
        <v/>
      </c>
      <c r="AG12" s="1344" t="str">
        <f t="shared" si="6"/>
        <v/>
      </c>
      <c r="AH12" s="1344" t="str">
        <f t="shared" si="7"/>
        <v/>
      </c>
      <c r="AI12" s="1344" t="str">
        <f t="shared" si="8"/>
        <v/>
      </c>
      <c r="AJ12" s="1365" t="str">
        <f t="shared" si="9"/>
        <v/>
      </c>
      <c r="AK12" s="1344" t="str">
        <f t="shared" si="10"/>
        <v/>
      </c>
      <c r="AL12" s="1344" t="str">
        <f t="shared" si="11"/>
        <v/>
      </c>
      <c r="AM12" s="1344" t="str">
        <f t="shared" si="12"/>
        <v/>
      </c>
      <c r="AN12" s="1344" t="str">
        <f t="shared" si="13"/>
        <v/>
      </c>
      <c r="AO12" s="1344" t="str">
        <f t="shared" si="14"/>
        <v/>
      </c>
      <c r="AP12" s="1365" t="str">
        <f t="shared" si="15"/>
        <v/>
      </c>
      <c r="AQ12" s="1344" t="str">
        <f t="shared" si="16"/>
        <v/>
      </c>
      <c r="AR12" s="1344" t="str">
        <f t="shared" si="17"/>
        <v/>
      </c>
      <c r="AS12" s="1344" t="str">
        <f t="shared" si="18"/>
        <v/>
      </c>
      <c r="AT12" s="1344" t="str">
        <f t="shared" si="19"/>
        <v/>
      </c>
      <c r="AU12" s="1344" t="str">
        <f t="shared" si="20"/>
        <v/>
      </c>
      <c r="AV12" s="1344" t="str">
        <f t="shared" si="21"/>
        <v/>
      </c>
      <c r="AW12" s="1344" t="str">
        <f t="shared" si="22"/>
        <v/>
      </c>
      <c r="AX12" s="1344" t="str">
        <f t="shared" si="23"/>
        <v/>
      </c>
      <c r="AY12" s="1344" t="str">
        <f t="shared" si="24"/>
        <v/>
      </c>
      <c r="AZ12" s="1344" t="str">
        <f t="shared" si="25"/>
        <v/>
      </c>
      <c r="BA12" s="1344" t="str">
        <f t="shared" si="26"/>
        <v/>
      </c>
      <c r="BB12" s="1344" t="str">
        <f t="shared" si="27"/>
        <v/>
      </c>
      <c r="BC12" s="1346" t="str">
        <f t="shared" si="28"/>
        <v/>
      </c>
      <c r="BD12" s="553"/>
      <c r="BE12" s="553"/>
      <c r="BF12" s="499" t="str">
        <f>IFERROR(INDEX($AC$6:$AC$31,_xlfn.AGGREGATE(15,6,(ROW($AC$6:$AC$31)-ROW($AC$6)+1)/($BC$6:$BC$31="SÍ"),ROWS($BF$6:BF12))),"")</f>
        <v/>
      </c>
      <c r="BG12" s="500" t="str">
        <f t="shared" si="29"/>
        <v/>
      </c>
      <c r="BH12" s="458" t="str">
        <f t="shared" si="30"/>
        <v/>
      </c>
      <c r="BI12" s="501" t="str">
        <f t="shared" si="31"/>
        <v/>
      </c>
    </row>
    <row r="13" spans="1:74" ht="37.5" customHeight="1">
      <c r="A13" s="2257"/>
      <c r="C13" s="1314">
        <f>+PP!B31</f>
        <v>8</v>
      </c>
      <c r="D13" s="1306" t="str">
        <f>+PP!C31</f>
        <v>ALETA FRESCA PARTIDA 2.0-4.0 kg/pza</v>
      </c>
      <c r="E13" s="1293"/>
      <c r="F13" s="1294"/>
      <c r="G13" s="1294"/>
      <c r="H13" s="1294"/>
      <c r="I13" s="1294"/>
      <c r="J13" s="1294"/>
      <c r="K13" s="1294"/>
      <c r="L13" s="1294"/>
      <c r="M13" s="1294"/>
      <c r="N13" s="1294"/>
      <c r="O13" s="1294"/>
      <c r="P13" s="1294"/>
      <c r="Q13" s="1294"/>
      <c r="R13" s="1731"/>
      <c r="S13" s="1731"/>
      <c r="T13" s="1731"/>
      <c r="U13" s="1731"/>
      <c r="V13" s="1731"/>
      <c r="W13" s="1731"/>
      <c r="X13" s="2090"/>
      <c r="Y13" s="2099">
        <f t="shared" si="0"/>
        <v>0</v>
      </c>
      <c r="Z13" s="1321">
        <f t="shared" si="1"/>
        <v>0</v>
      </c>
      <c r="AA13" s="1322">
        <f t="shared" si="2"/>
        <v>0</v>
      </c>
      <c r="AB13" s="549"/>
      <c r="AC13" s="1342" t="str">
        <f>IFERROR(INDEX($C$6:$C$53,_xlfn.AGGREGATE(15,6,(ROW($C$6:$C$53)-ROW($C$6)+1)/($Y$6:$Y$53&gt;0),ROWS($AC$6:AC13))),"")</f>
        <v/>
      </c>
      <c r="AD13" s="1343" t="str">
        <f t="shared" si="3"/>
        <v/>
      </c>
      <c r="AE13" s="1344" t="str">
        <f t="shared" si="4"/>
        <v/>
      </c>
      <c r="AF13" s="1344" t="str">
        <f t="shared" si="5"/>
        <v/>
      </c>
      <c r="AG13" s="1344" t="str">
        <f t="shared" si="6"/>
        <v/>
      </c>
      <c r="AH13" s="1344" t="str">
        <f t="shared" si="7"/>
        <v/>
      </c>
      <c r="AI13" s="1344" t="str">
        <f t="shared" si="8"/>
        <v/>
      </c>
      <c r="AJ13" s="1365" t="str">
        <f t="shared" si="9"/>
        <v/>
      </c>
      <c r="AK13" s="1344" t="str">
        <f t="shared" si="10"/>
        <v/>
      </c>
      <c r="AL13" s="1344" t="str">
        <f t="shared" si="11"/>
        <v/>
      </c>
      <c r="AM13" s="1344" t="str">
        <f t="shared" si="12"/>
        <v/>
      </c>
      <c r="AN13" s="1344" t="str">
        <f t="shared" si="13"/>
        <v/>
      </c>
      <c r="AO13" s="1344" t="str">
        <f t="shared" si="14"/>
        <v/>
      </c>
      <c r="AP13" s="1344" t="str">
        <f t="shared" si="15"/>
        <v/>
      </c>
      <c r="AQ13" s="1344" t="str">
        <f t="shared" si="16"/>
        <v/>
      </c>
      <c r="AR13" s="1365" t="str">
        <f t="shared" si="17"/>
        <v/>
      </c>
      <c r="AS13" s="1344" t="str">
        <f t="shared" si="18"/>
        <v/>
      </c>
      <c r="AT13" s="1344" t="str">
        <f t="shared" si="19"/>
        <v/>
      </c>
      <c r="AU13" s="1344" t="str">
        <f t="shared" si="20"/>
        <v/>
      </c>
      <c r="AV13" s="1344" t="str">
        <f t="shared" si="21"/>
        <v/>
      </c>
      <c r="AW13" s="1344" t="str">
        <f t="shared" si="22"/>
        <v/>
      </c>
      <c r="AX13" s="1344" t="str">
        <f t="shared" si="23"/>
        <v/>
      </c>
      <c r="AY13" s="1344" t="str">
        <f t="shared" si="24"/>
        <v/>
      </c>
      <c r="AZ13" s="1344" t="str">
        <f t="shared" si="25"/>
        <v/>
      </c>
      <c r="BA13" s="1344" t="str">
        <f t="shared" si="26"/>
        <v/>
      </c>
      <c r="BB13" s="1344" t="str">
        <f t="shared" si="27"/>
        <v/>
      </c>
      <c r="BC13" s="1346" t="str">
        <f t="shared" si="28"/>
        <v/>
      </c>
      <c r="BD13" s="553"/>
      <c r="BE13" s="553"/>
      <c r="BF13" s="499" t="str">
        <f>IFERROR(INDEX($AC$6:$AC$31,_xlfn.AGGREGATE(15,6,(ROW($AC$6:$AC$31)-ROW($AC$6)+1)/($BC$6:$BC$31="SÍ"),ROWS($BF$6:BF13))),"")</f>
        <v/>
      </c>
      <c r="BG13" s="500" t="str">
        <f t="shared" si="29"/>
        <v/>
      </c>
      <c r="BH13" s="458" t="str">
        <f t="shared" si="30"/>
        <v/>
      </c>
      <c r="BI13" s="501" t="str">
        <f t="shared" si="31"/>
        <v/>
      </c>
    </row>
    <row r="14" spans="1:74" ht="33" customHeight="1">
      <c r="A14" s="2257"/>
      <c r="C14" s="1314">
        <f>+PP!B32</f>
        <v>9</v>
      </c>
      <c r="D14" s="1306" t="str">
        <f>+PP!C32</f>
        <v>ALETA PRECOCIDA ENTERA 300-UP g/pza</v>
      </c>
      <c r="E14" s="1293"/>
      <c r="F14" s="1294"/>
      <c r="G14" s="1294"/>
      <c r="H14" s="1294"/>
      <c r="I14" s="1294"/>
      <c r="J14" s="1294"/>
      <c r="K14" s="1294"/>
      <c r="L14" s="1294"/>
      <c r="M14" s="1294"/>
      <c r="N14" s="1294"/>
      <c r="O14" s="1294"/>
      <c r="P14" s="1294"/>
      <c r="Q14" s="1294"/>
      <c r="R14" s="1731"/>
      <c r="S14" s="1731"/>
      <c r="T14" s="1731"/>
      <c r="U14" s="1731"/>
      <c r="V14" s="1731"/>
      <c r="W14" s="1731"/>
      <c r="X14" s="2090"/>
      <c r="Y14" s="2099">
        <f t="shared" si="0"/>
        <v>0</v>
      </c>
      <c r="Z14" s="1321">
        <f t="shared" si="1"/>
        <v>0</v>
      </c>
      <c r="AA14" s="1322">
        <f t="shared" si="2"/>
        <v>0</v>
      </c>
      <c r="AB14" s="549"/>
      <c r="AC14" s="1342" t="str">
        <f>IFERROR(INDEX($C$6:$C$53,_xlfn.AGGREGATE(15,6,(ROW($C$6:$C$53)-ROW($C$6)+1)/($Y$6:$Y$53&gt;0),ROWS($AC$6:AC14))),"")</f>
        <v/>
      </c>
      <c r="AD14" s="1343" t="str">
        <f t="shared" si="3"/>
        <v/>
      </c>
      <c r="AE14" s="1344" t="str">
        <f t="shared" si="4"/>
        <v/>
      </c>
      <c r="AF14" s="1344" t="str">
        <f t="shared" si="5"/>
        <v/>
      </c>
      <c r="AG14" s="1344" t="str">
        <f t="shared" si="6"/>
        <v/>
      </c>
      <c r="AH14" s="1344" t="str">
        <f t="shared" si="7"/>
        <v/>
      </c>
      <c r="AI14" s="1344" t="str">
        <f t="shared" si="8"/>
        <v/>
      </c>
      <c r="AJ14" s="1365" t="str">
        <f t="shared" si="9"/>
        <v/>
      </c>
      <c r="AK14" s="1344" t="str">
        <f t="shared" si="10"/>
        <v/>
      </c>
      <c r="AL14" s="1344" t="str">
        <f t="shared" si="11"/>
        <v/>
      </c>
      <c r="AM14" s="1344" t="str">
        <f t="shared" si="12"/>
        <v/>
      </c>
      <c r="AN14" s="1344" t="str">
        <f t="shared" si="13"/>
        <v/>
      </c>
      <c r="AO14" s="1344" t="str">
        <f t="shared" si="14"/>
        <v/>
      </c>
      <c r="AP14" s="1344" t="str">
        <f t="shared" si="15"/>
        <v/>
      </c>
      <c r="AQ14" s="1344" t="str">
        <f t="shared" si="16"/>
        <v/>
      </c>
      <c r="AR14" s="1365" t="str">
        <f t="shared" si="17"/>
        <v/>
      </c>
      <c r="AS14" s="1344" t="str">
        <f t="shared" si="18"/>
        <v/>
      </c>
      <c r="AT14" s="1344" t="str">
        <f t="shared" si="19"/>
        <v/>
      </c>
      <c r="AU14" s="1344" t="str">
        <f t="shared" si="20"/>
        <v/>
      </c>
      <c r="AV14" s="1344" t="str">
        <f t="shared" si="21"/>
        <v/>
      </c>
      <c r="AW14" s="1344" t="str">
        <f t="shared" si="22"/>
        <v/>
      </c>
      <c r="AX14" s="1344" t="str">
        <f t="shared" si="23"/>
        <v/>
      </c>
      <c r="AY14" s="1344" t="str">
        <f t="shared" si="24"/>
        <v/>
      </c>
      <c r="AZ14" s="1344" t="str">
        <f t="shared" si="25"/>
        <v/>
      </c>
      <c r="BA14" s="1344" t="str">
        <f t="shared" si="26"/>
        <v/>
      </c>
      <c r="BB14" s="1344" t="str">
        <f t="shared" si="27"/>
        <v/>
      </c>
      <c r="BC14" s="1346" t="str">
        <f t="shared" si="28"/>
        <v/>
      </c>
      <c r="BD14" s="553"/>
      <c r="BE14" s="553"/>
      <c r="BF14" s="499" t="str">
        <f>IFERROR(INDEX($AC$6:$AC$31,_xlfn.AGGREGATE(15,6,(ROW($AC$6:$AC$31)-ROW($AC$6)+1)/($BC$6:$BC$31="SÍ"),ROWS($BF$6:BF14))),"")</f>
        <v/>
      </c>
      <c r="BG14" s="500" t="str">
        <f t="shared" si="29"/>
        <v/>
      </c>
      <c r="BH14" s="458" t="str">
        <f t="shared" si="30"/>
        <v/>
      </c>
      <c r="BI14" s="501" t="str">
        <f t="shared" si="31"/>
        <v/>
      </c>
    </row>
    <row r="15" spans="1:74" ht="31.5" customHeight="1" thickBot="1">
      <c r="A15" s="2257"/>
      <c r="C15" s="2934">
        <f>+PP!B33</f>
        <v>10</v>
      </c>
      <c r="D15" s="1307" t="str">
        <f>+PP!C33</f>
        <v>ALETA PRECOCIDA PARTIDA 300-UP g/pza</v>
      </c>
      <c r="E15" s="1295"/>
      <c r="F15" s="1296"/>
      <c r="G15" s="1296"/>
      <c r="H15" s="1296"/>
      <c r="I15" s="1296"/>
      <c r="J15" s="1296"/>
      <c r="K15" s="1296"/>
      <c r="L15" s="1296"/>
      <c r="M15" s="1296"/>
      <c r="N15" s="1296"/>
      <c r="O15" s="1296"/>
      <c r="P15" s="1296"/>
      <c r="Q15" s="1296"/>
      <c r="R15" s="2935"/>
      <c r="S15" s="2935"/>
      <c r="T15" s="2935"/>
      <c r="U15" s="2935"/>
      <c r="V15" s="2935"/>
      <c r="W15" s="2935"/>
      <c r="X15" s="2936"/>
      <c r="Y15" s="2100">
        <f t="shared" si="0"/>
        <v>0</v>
      </c>
      <c r="Z15" s="1324">
        <f t="shared" si="1"/>
        <v>0</v>
      </c>
      <c r="AA15" s="1323">
        <f t="shared" si="2"/>
        <v>0</v>
      </c>
      <c r="AB15" s="549"/>
      <c r="AC15" s="1342" t="str">
        <f>IFERROR(INDEX($C$6:$C$53,_xlfn.AGGREGATE(15,6,(ROW($C$6:$C$53)-ROW($C$6)+1)/($Y$6:$Y$53&gt;0),ROWS($AC$6:AC15))),"")</f>
        <v/>
      </c>
      <c r="AD15" s="1343" t="str">
        <f t="shared" si="3"/>
        <v/>
      </c>
      <c r="AE15" s="1344" t="str">
        <f t="shared" si="4"/>
        <v/>
      </c>
      <c r="AF15" s="1344" t="str">
        <f t="shared" si="5"/>
        <v/>
      </c>
      <c r="AG15" s="1344" t="str">
        <f t="shared" si="6"/>
        <v/>
      </c>
      <c r="AH15" s="1344" t="str">
        <f t="shared" si="7"/>
        <v/>
      </c>
      <c r="AI15" s="1344" t="str">
        <f t="shared" si="8"/>
        <v/>
      </c>
      <c r="AJ15" s="1344" t="str">
        <f t="shared" si="9"/>
        <v/>
      </c>
      <c r="AK15" s="1344" t="str">
        <f t="shared" si="10"/>
        <v/>
      </c>
      <c r="AL15" s="1365" t="str">
        <f t="shared" si="11"/>
        <v/>
      </c>
      <c r="AM15" s="1344" t="str">
        <f t="shared" si="12"/>
        <v/>
      </c>
      <c r="AN15" s="1344" t="str">
        <f t="shared" si="13"/>
        <v/>
      </c>
      <c r="AO15" s="1344" t="str">
        <f t="shared" si="14"/>
        <v/>
      </c>
      <c r="AP15" s="1344" t="str">
        <f t="shared" si="15"/>
        <v/>
      </c>
      <c r="AQ15" s="1344" t="str">
        <f t="shared" si="16"/>
        <v/>
      </c>
      <c r="AR15" s="1344" t="str">
        <f t="shared" si="17"/>
        <v/>
      </c>
      <c r="AS15" s="1344" t="str">
        <f t="shared" si="18"/>
        <v/>
      </c>
      <c r="AT15" s="1344" t="str">
        <f t="shared" si="19"/>
        <v/>
      </c>
      <c r="AU15" s="1344" t="str">
        <f t="shared" si="20"/>
        <v/>
      </c>
      <c r="AV15" s="1344" t="str">
        <f t="shared" si="21"/>
        <v/>
      </c>
      <c r="AW15" s="1344" t="str">
        <f t="shared" si="22"/>
        <v/>
      </c>
      <c r="AX15" s="1344" t="str">
        <f t="shared" si="23"/>
        <v/>
      </c>
      <c r="AY15" s="1344" t="str">
        <f t="shared" si="24"/>
        <v/>
      </c>
      <c r="AZ15" s="1344" t="str">
        <f t="shared" si="25"/>
        <v/>
      </c>
      <c r="BA15" s="1344" t="str">
        <f t="shared" si="26"/>
        <v/>
      </c>
      <c r="BB15" s="1344" t="str">
        <f t="shared" si="27"/>
        <v/>
      </c>
      <c r="BC15" s="1346" t="str">
        <f t="shared" si="28"/>
        <v/>
      </c>
      <c r="BD15" s="553"/>
      <c r="BE15" s="553"/>
      <c r="BF15" s="499" t="str">
        <f>IFERROR(INDEX($AC$6:$AC$31,_xlfn.AGGREGATE(15,6,(ROW($AC$6:$AC$31)-ROW($AC$6)+1)/($BC$6:$BC$31="SÍ"),ROWS($BF$6:BF15))),"")</f>
        <v/>
      </c>
      <c r="BG15" s="500" t="str">
        <f t="shared" si="29"/>
        <v/>
      </c>
      <c r="BH15" s="458" t="str">
        <f t="shared" si="30"/>
        <v/>
      </c>
      <c r="BI15" s="501" t="str">
        <f t="shared" si="31"/>
        <v/>
      </c>
    </row>
    <row r="16" spans="1:74" ht="26.25" customHeight="1">
      <c r="A16" s="2257"/>
      <c r="C16" s="1313">
        <f>+PP!B34</f>
        <v>11</v>
      </c>
      <c r="D16" s="1305" t="str">
        <f>+PP!C34</f>
        <v>BOTON BLANCO SM ST</v>
      </c>
      <c r="E16" s="1291"/>
      <c r="F16" s="1292"/>
      <c r="G16" s="1292"/>
      <c r="H16" s="1292"/>
      <c r="I16" s="1292"/>
      <c r="J16" s="1292"/>
      <c r="K16" s="1292"/>
      <c r="L16" s="1292"/>
      <c r="M16" s="1292"/>
      <c r="N16" s="1292"/>
      <c r="O16" s="1292"/>
      <c r="P16" s="1292"/>
      <c r="Q16" s="1292"/>
      <c r="R16" s="1732"/>
      <c r="S16" s="1732"/>
      <c r="T16" s="1732"/>
      <c r="U16" s="1732"/>
      <c r="V16" s="1732"/>
      <c r="W16" s="1732"/>
      <c r="X16" s="2089"/>
      <c r="Y16" s="2098">
        <f t="shared" si="0"/>
        <v>0</v>
      </c>
      <c r="Z16" s="1319">
        <f t="shared" si="1"/>
        <v>0</v>
      </c>
      <c r="AA16" s="1320">
        <f t="shared" si="2"/>
        <v>0</v>
      </c>
      <c r="AB16" s="549"/>
      <c r="AC16" s="1342" t="str">
        <f>IFERROR(INDEX($C$6:$C$53,_xlfn.AGGREGATE(15,6,(ROW($C$6:$C$53)-ROW($C$6)+1)/($Y$6:$Y$53&gt;0),ROWS($AC$6:AC16))),"")</f>
        <v/>
      </c>
      <c r="AD16" s="1343" t="str">
        <f t="shared" si="3"/>
        <v/>
      </c>
      <c r="AE16" s="1344" t="str">
        <f t="shared" si="4"/>
        <v/>
      </c>
      <c r="AF16" s="1344" t="str">
        <f t="shared" si="5"/>
        <v/>
      </c>
      <c r="AG16" s="1344" t="str">
        <f t="shared" si="6"/>
        <v/>
      </c>
      <c r="AH16" s="1344" t="str">
        <f t="shared" si="7"/>
        <v/>
      </c>
      <c r="AI16" s="1344" t="str">
        <f t="shared" si="8"/>
        <v/>
      </c>
      <c r="AJ16" s="1344" t="str">
        <f t="shared" si="9"/>
        <v/>
      </c>
      <c r="AK16" s="1344" t="str">
        <f t="shared" si="10"/>
        <v/>
      </c>
      <c r="AL16" s="1365" t="str">
        <f t="shared" si="11"/>
        <v/>
      </c>
      <c r="AM16" s="1344" t="str">
        <f t="shared" si="12"/>
        <v/>
      </c>
      <c r="AN16" s="1344" t="str">
        <f t="shared" si="13"/>
        <v/>
      </c>
      <c r="AO16" s="1344" t="str">
        <f t="shared" si="14"/>
        <v/>
      </c>
      <c r="AP16" s="1344" t="str">
        <f t="shared" si="15"/>
        <v/>
      </c>
      <c r="AQ16" s="1365" t="str">
        <f t="shared" si="16"/>
        <v/>
      </c>
      <c r="AR16" s="1344" t="str">
        <f t="shared" si="17"/>
        <v/>
      </c>
      <c r="AS16" s="1344" t="str">
        <f t="shared" si="18"/>
        <v/>
      </c>
      <c r="AT16" s="1344" t="str">
        <f t="shared" si="19"/>
        <v/>
      </c>
      <c r="AU16" s="1344" t="str">
        <f t="shared" si="20"/>
        <v/>
      </c>
      <c r="AV16" s="1365" t="str">
        <f t="shared" si="21"/>
        <v/>
      </c>
      <c r="AW16" s="1344" t="str">
        <f t="shared" si="22"/>
        <v/>
      </c>
      <c r="AX16" s="1344" t="str">
        <f t="shared" si="23"/>
        <v/>
      </c>
      <c r="AY16" s="1344" t="str">
        <f t="shared" si="24"/>
        <v/>
      </c>
      <c r="AZ16" s="1344" t="str">
        <f t="shared" si="25"/>
        <v/>
      </c>
      <c r="BA16" s="1344" t="str">
        <f t="shared" si="26"/>
        <v/>
      </c>
      <c r="BB16" s="1344" t="str">
        <f t="shared" si="27"/>
        <v/>
      </c>
      <c r="BC16" s="1346" t="str">
        <f t="shared" si="28"/>
        <v/>
      </c>
      <c r="BD16" s="553"/>
      <c r="BE16" s="553"/>
      <c r="BF16" s="499" t="str">
        <f>IFERROR(INDEX($AC$6:$AC$31,_xlfn.AGGREGATE(15,6,(ROW($AC$6:$AC$31)-ROW($AC$6)+1)/($BC$6:$BC$31="SÍ"),ROWS($BF$6:BF16))),"")</f>
        <v/>
      </c>
      <c r="BG16" s="500" t="str">
        <f t="shared" si="29"/>
        <v/>
      </c>
      <c r="BH16" s="458" t="str">
        <f t="shared" si="30"/>
        <v/>
      </c>
      <c r="BI16" s="501" t="str">
        <f t="shared" si="31"/>
        <v/>
      </c>
    </row>
    <row r="17" spans="1:61" ht="27" customHeight="1" thickBot="1">
      <c r="A17" s="2257"/>
      <c r="C17" s="2934">
        <f>+PP!B35</f>
        <v>12</v>
      </c>
      <c r="D17" s="1307" t="str">
        <f>+PP!C35</f>
        <v>BOTON AMARILLO SM ST</v>
      </c>
      <c r="E17" s="1295"/>
      <c r="F17" s="1296"/>
      <c r="G17" s="1296"/>
      <c r="H17" s="1296"/>
      <c r="I17" s="1296"/>
      <c r="J17" s="1296"/>
      <c r="K17" s="1296"/>
      <c r="L17" s="1296"/>
      <c r="M17" s="1296"/>
      <c r="N17" s="1296"/>
      <c r="O17" s="1296"/>
      <c r="P17" s="1296"/>
      <c r="Q17" s="1296"/>
      <c r="R17" s="2935"/>
      <c r="S17" s="2935"/>
      <c r="T17" s="2935"/>
      <c r="U17" s="2935"/>
      <c r="V17" s="2935"/>
      <c r="W17" s="2935"/>
      <c r="X17" s="2936"/>
      <c r="Y17" s="2100">
        <f t="shared" si="0"/>
        <v>0</v>
      </c>
      <c r="Z17" s="1324">
        <f t="shared" si="1"/>
        <v>0</v>
      </c>
      <c r="AA17" s="1323">
        <f t="shared" si="2"/>
        <v>0</v>
      </c>
      <c r="AB17" s="549"/>
      <c r="AC17" s="1342" t="str">
        <f>IFERROR(INDEX($C$6:$C$53,_xlfn.AGGREGATE(15,6,(ROW($C$6:$C$53)-ROW($C$6)+1)/($Y$6:$Y$53&gt;0),ROWS($AC$6:AC17))),"")</f>
        <v/>
      </c>
      <c r="AD17" s="1343" t="str">
        <f t="shared" si="3"/>
        <v/>
      </c>
      <c r="AE17" s="1344" t="str">
        <f t="shared" si="4"/>
        <v/>
      </c>
      <c r="AF17" s="1344" t="str">
        <f t="shared" si="5"/>
        <v/>
      </c>
      <c r="AG17" s="1344" t="str">
        <f t="shared" si="6"/>
        <v/>
      </c>
      <c r="AH17" s="1344" t="str">
        <f t="shared" si="7"/>
        <v/>
      </c>
      <c r="AI17" s="1344" t="str">
        <f t="shared" si="8"/>
        <v/>
      </c>
      <c r="AJ17" s="1344" t="str">
        <f t="shared" si="9"/>
        <v/>
      </c>
      <c r="AK17" s="1344" t="str">
        <f t="shared" si="10"/>
        <v/>
      </c>
      <c r="AL17" s="1344" t="str">
        <f t="shared" si="11"/>
        <v/>
      </c>
      <c r="AM17" s="1344" t="str">
        <f t="shared" si="12"/>
        <v/>
      </c>
      <c r="AN17" s="1344" t="str">
        <f t="shared" si="13"/>
        <v/>
      </c>
      <c r="AO17" s="1344" t="str">
        <f t="shared" si="14"/>
        <v/>
      </c>
      <c r="AP17" s="1344" t="str">
        <f t="shared" si="15"/>
        <v/>
      </c>
      <c r="AQ17" s="1344" t="str">
        <f t="shared" si="16"/>
        <v/>
      </c>
      <c r="AR17" s="1344" t="str">
        <f t="shared" si="17"/>
        <v/>
      </c>
      <c r="AS17" s="1344" t="str">
        <f t="shared" si="18"/>
        <v/>
      </c>
      <c r="AT17" s="1344" t="str">
        <f t="shared" si="19"/>
        <v/>
      </c>
      <c r="AU17" s="1344" t="str">
        <f t="shared" si="20"/>
        <v/>
      </c>
      <c r="AV17" s="1365" t="str">
        <f t="shared" si="21"/>
        <v/>
      </c>
      <c r="AW17" s="1344" t="str">
        <f t="shared" si="22"/>
        <v/>
      </c>
      <c r="AX17" s="1344" t="str">
        <f t="shared" si="23"/>
        <v/>
      </c>
      <c r="AY17" s="1344" t="str">
        <f t="shared" si="24"/>
        <v/>
      </c>
      <c r="AZ17" s="1344" t="str">
        <f t="shared" si="25"/>
        <v/>
      </c>
      <c r="BA17" s="1344" t="str">
        <f t="shared" si="26"/>
        <v/>
      </c>
      <c r="BB17" s="1344" t="str">
        <f t="shared" si="27"/>
        <v/>
      </c>
      <c r="BC17" s="1346" t="str">
        <f t="shared" si="28"/>
        <v/>
      </c>
      <c r="BD17" s="553"/>
      <c r="BE17" s="553"/>
      <c r="BF17" s="499" t="str">
        <f>IFERROR(INDEX($AC$6:$AC$31,_xlfn.AGGREGATE(15,6,(ROW($AC$6:$AC$31)-ROW($AC$6)+1)/($BC$6:$BC$31="SÍ"),ROWS($BF$6:BF17))),"")</f>
        <v/>
      </c>
      <c r="BG17" s="500" t="str">
        <f t="shared" si="29"/>
        <v/>
      </c>
      <c r="BH17" s="458" t="str">
        <f t="shared" si="30"/>
        <v/>
      </c>
      <c r="BI17" s="501" t="str">
        <f t="shared" si="31"/>
        <v/>
      </c>
    </row>
    <row r="18" spans="1:61" ht="33" customHeight="1" thickBot="1">
      <c r="A18" s="2257"/>
      <c r="C18" s="2937">
        <f>+PP!B36</f>
        <v>13</v>
      </c>
      <c r="D18" s="1308" t="str">
        <f>+PP!C36</f>
        <v>CONOS DE POTA</v>
      </c>
      <c r="E18" s="1297"/>
      <c r="F18" s="1298"/>
      <c r="G18" s="1298"/>
      <c r="H18" s="1298"/>
      <c r="I18" s="1298"/>
      <c r="J18" s="1298"/>
      <c r="K18" s="1298"/>
      <c r="L18" s="1298"/>
      <c r="M18" s="1298"/>
      <c r="N18" s="1298"/>
      <c r="O18" s="1298"/>
      <c r="P18" s="1298"/>
      <c r="Q18" s="1298"/>
      <c r="R18" s="2938"/>
      <c r="S18" s="2938"/>
      <c r="T18" s="2938"/>
      <c r="U18" s="2938"/>
      <c r="V18" s="2938"/>
      <c r="W18" s="2938"/>
      <c r="X18" s="2939"/>
      <c r="Y18" s="2088">
        <f t="shared" si="0"/>
        <v>0</v>
      </c>
      <c r="Z18" s="1329">
        <f t="shared" si="1"/>
        <v>0</v>
      </c>
      <c r="AA18" s="1330">
        <f t="shared" si="2"/>
        <v>0</v>
      </c>
      <c r="AB18" s="549"/>
      <c r="AC18" s="1342" t="str">
        <f>IFERROR(INDEX($C$6:$C$53,_xlfn.AGGREGATE(15,6,(ROW($C$6:$C$53)-ROW($C$6)+1)/($Y$6:$Y$53&gt;0),ROWS($AC$6:AC18))),"")</f>
        <v/>
      </c>
      <c r="AD18" s="1343" t="str">
        <f t="shared" si="3"/>
        <v/>
      </c>
      <c r="AE18" s="1344" t="str">
        <f t="shared" si="4"/>
        <v/>
      </c>
      <c r="AF18" s="1344" t="str">
        <f t="shared" si="5"/>
        <v/>
      </c>
      <c r="AG18" s="1344" t="str">
        <f t="shared" si="6"/>
        <v/>
      </c>
      <c r="AH18" s="1344" t="str">
        <f t="shared" si="7"/>
        <v/>
      </c>
      <c r="AI18" s="1344" t="str">
        <f t="shared" si="8"/>
        <v/>
      </c>
      <c r="AJ18" s="1344" t="str">
        <f t="shared" si="9"/>
        <v/>
      </c>
      <c r="AK18" s="1344" t="str">
        <f t="shared" si="10"/>
        <v/>
      </c>
      <c r="AL18" s="1365" t="str">
        <f t="shared" si="11"/>
        <v/>
      </c>
      <c r="AM18" s="1344" t="str">
        <f t="shared" si="12"/>
        <v/>
      </c>
      <c r="AN18" s="1344" t="str">
        <f t="shared" si="13"/>
        <v/>
      </c>
      <c r="AO18" s="1344" t="str">
        <f t="shared" si="14"/>
        <v/>
      </c>
      <c r="AP18" s="1344" t="str">
        <f t="shared" si="15"/>
        <v/>
      </c>
      <c r="AQ18" s="1365" t="str">
        <f t="shared" si="16"/>
        <v/>
      </c>
      <c r="AR18" s="1344" t="str">
        <f t="shared" si="17"/>
        <v/>
      </c>
      <c r="AS18" s="1344" t="str">
        <f t="shared" si="18"/>
        <v/>
      </c>
      <c r="AT18" s="1344" t="str">
        <f t="shared" si="19"/>
        <v/>
      </c>
      <c r="AU18" s="1344" t="str">
        <f t="shared" si="20"/>
        <v/>
      </c>
      <c r="AV18" s="1344" t="str">
        <f t="shared" si="21"/>
        <v/>
      </c>
      <c r="AW18" s="1344" t="str">
        <f t="shared" si="22"/>
        <v/>
      </c>
      <c r="AX18" s="1344" t="str">
        <f t="shared" si="23"/>
        <v/>
      </c>
      <c r="AY18" s="1344" t="str">
        <f t="shared" si="24"/>
        <v/>
      </c>
      <c r="AZ18" s="1344" t="str">
        <f t="shared" si="25"/>
        <v/>
      </c>
      <c r="BA18" s="1344" t="str">
        <f t="shared" si="26"/>
        <v/>
      </c>
      <c r="BB18" s="1344" t="str">
        <f t="shared" si="27"/>
        <v/>
      </c>
      <c r="BC18" s="1346" t="str">
        <f t="shared" si="28"/>
        <v/>
      </c>
      <c r="BD18" s="553"/>
      <c r="BE18" s="553"/>
      <c r="BF18" s="499" t="str">
        <f>IFERROR(INDEX($AC$6:$AC$31,_xlfn.AGGREGATE(15,6,(ROW($AC$6:$AC$31)-ROW($AC$6)+1)/($BC$6:$BC$31="SÍ"),ROWS($BF$6:BF18))),"")</f>
        <v/>
      </c>
      <c r="BG18" s="500" t="str">
        <f t="shared" si="29"/>
        <v/>
      </c>
      <c r="BH18" s="458" t="str">
        <f t="shared" si="30"/>
        <v/>
      </c>
      <c r="BI18" s="501" t="str">
        <f t="shared" si="31"/>
        <v/>
      </c>
    </row>
    <row r="19" spans="1:61" ht="35.25" customHeight="1">
      <c r="A19" s="2257"/>
      <c r="C19" s="1313">
        <f>+PP!B37</f>
        <v>14</v>
      </c>
      <c r="D19" s="1305" t="str">
        <f>+PP!C37</f>
        <v>FILETE C/TT DARUMA</v>
      </c>
      <c r="E19" s="1291"/>
      <c r="F19" s="1292"/>
      <c r="G19" s="1292"/>
      <c r="H19" s="1292"/>
      <c r="I19" s="1292"/>
      <c r="J19" s="1292"/>
      <c r="K19" s="1292"/>
      <c r="L19" s="1292"/>
      <c r="M19" s="1292"/>
      <c r="N19" s="1292"/>
      <c r="O19" s="1292"/>
      <c r="P19" s="1292"/>
      <c r="Q19" s="1292"/>
      <c r="R19" s="1732"/>
      <c r="S19" s="1732"/>
      <c r="T19" s="1732"/>
      <c r="U19" s="1732"/>
      <c r="V19" s="1732"/>
      <c r="W19" s="1732"/>
      <c r="X19" s="2089"/>
      <c r="Y19" s="2098">
        <f t="shared" si="0"/>
        <v>0</v>
      </c>
      <c r="Z19" s="1319">
        <f t="shared" si="1"/>
        <v>0</v>
      </c>
      <c r="AA19" s="1320">
        <f t="shared" si="2"/>
        <v>0</v>
      </c>
      <c r="AB19" s="549"/>
      <c r="AC19" s="1342" t="str">
        <f>IFERROR(INDEX($C$6:$C$53,_xlfn.AGGREGATE(15,6,(ROW($C$6:$C$53)-ROW($C$6)+1)/($Y$6:$Y$53&gt;0),ROWS($AC$6:AC19))),"")</f>
        <v/>
      </c>
      <c r="AD19" s="1343" t="str">
        <f t="shared" si="3"/>
        <v/>
      </c>
      <c r="AE19" s="1344" t="str">
        <f t="shared" si="4"/>
        <v/>
      </c>
      <c r="AF19" s="1344" t="str">
        <f t="shared" si="5"/>
        <v/>
      </c>
      <c r="AG19" s="1344" t="str">
        <f t="shared" si="6"/>
        <v/>
      </c>
      <c r="AH19" s="1344" t="str">
        <f t="shared" si="7"/>
        <v/>
      </c>
      <c r="AI19" s="1344" t="str">
        <f t="shared" si="8"/>
        <v/>
      </c>
      <c r="AJ19" s="1344" t="str">
        <f t="shared" si="9"/>
        <v/>
      </c>
      <c r="AK19" s="1344" t="str">
        <f t="shared" si="10"/>
        <v/>
      </c>
      <c r="AL19" s="1365" t="str">
        <f t="shared" si="11"/>
        <v/>
      </c>
      <c r="AM19" s="1344" t="str">
        <f t="shared" si="12"/>
        <v/>
      </c>
      <c r="AN19" s="1344" t="str">
        <f t="shared" si="13"/>
        <v/>
      </c>
      <c r="AO19" s="1344" t="str">
        <f t="shared" si="14"/>
        <v/>
      </c>
      <c r="AP19" s="1344" t="str">
        <f t="shared" si="15"/>
        <v/>
      </c>
      <c r="AQ19" s="1344" t="str">
        <f t="shared" si="16"/>
        <v/>
      </c>
      <c r="AR19" s="1344" t="str">
        <f t="shared" si="17"/>
        <v/>
      </c>
      <c r="AS19" s="1344" t="str">
        <f t="shared" si="18"/>
        <v/>
      </c>
      <c r="AT19" s="1344" t="str">
        <f t="shared" si="19"/>
        <v/>
      </c>
      <c r="AU19" s="1344" t="str">
        <f t="shared" si="20"/>
        <v/>
      </c>
      <c r="AV19" s="1344" t="str">
        <f t="shared" si="21"/>
        <v/>
      </c>
      <c r="AW19" s="1344" t="str">
        <f t="shared" si="22"/>
        <v/>
      </c>
      <c r="AX19" s="1344" t="str">
        <f t="shared" si="23"/>
        <v/>
      </c>
      <c r="AY19" s="1344" t="str">
        <f t="shared" si="24"/>
        <v/>
      </c>
      <c r="AZ19" s="1344" t="str">
        <f t="shared" si="25"/>
        <v/>
      </c>
      <c r="BA19" s="1344" t="str">
        <f t="shared" si="26"/>
        <v/>
      </c>
      <c r="BB19" s="1344" t="str">
        <f t="shared" si="27"/>
        <v/>
      </c>
      <c r="BC19" s="1346" t="str">
        <f t="shared" si="28"/>
        <v/>
      </c>
      <c r="BD19" s="553"/>
      <c r="BE19" s="553"/>
      <c r="BF19" s="499" t="str">
        <f>IFERROR(INDEX($AC$6:$AC$31,_xlfn.AGGREGATE(15,6,(ROW($AC$6:$AC$31)-ROW($AC$6)+1)/($BC$6:$BC$31="SÍ"),ROWS($BF$6:BF19))),"")</f>
        <v/>
      </c>
      <c r="BG19" s="500" t="str">
        <f t="shared" si="29"/>
        <v/>
      </c>
      <c r="BH19" s="458" t="str">
        <f t="shared" si="30"/>
        <v/>
      </c>
      <c r="BI19" s="501" t="str">
        <f t="shared" si="31"/>
        <v/>
      </c>
    </row>
    <row r="20" spans="1:61" ht="38.25" customHeight="1">
      <c r="A20" s="2257"/>
      <c r="C20" s="1314">
        <f>+PP!B38</f>
        <v>15</v>
      </c>
      <c r="D20" s="1306" t="str">
        <f>+PP!C38</f>
        <v>FILETE C/M C/T TRES PIELES 1.0-2.0 kg/pza</v>
      </c>
      <c r="E20" s="1293"/>
      <c r="F20" s="1294"/>
      <c r="G20" s="1294"/>
      <c r="H20" s="1294"/>
      <c r="I20" s="1294"/>
      <c r="J20" s="1294"/>
      <c r="K20" s="1294"/>
      <c r="L20" s="1294"/>
      <c r="M20" s="1294"/>
      <c r="N20" s="1294"/>
      <c r="O20" s="1294"/>
      <c r="P20" s="1294"/>
      <c r="Q20" s="1294"/>
      <c r="R20" s="1731"/>
      <c r="S20" s="1731"/>
      <c r="T20" s="1731"/>
      <c r="U20" s="1731"/>
      <c r="V20" s="1731"/>
      <c r="W20" s="1731"/>
      <c r="X20" s="2090"/>
      <c r="Y20" s="2099">
        <f t="shared" si="0"/>
        <v>0</v>
      </c>
      <c r="Z20" s="1321">
        <f t="shared" si="1"/>
        <v>0</v>
      </c>
      <c r="AA20" s="1322">
        <f t="shared" si="2"/>
        <v>0</v>
      </c>
      <c r="AB20" s="549"/>
      <c r="AC20" s="1342" t="str">
        <f>IFERROR(INDEX($C$6:$C$53,_xlfn.AGGREGATE(15,6,(ROW($C$6:$C$53)-ROW($C$6)+1)/($Y$6:$Y$53&gt;0),ROWS($AC$6:AC20))),"")</f>
        <v/>
      </c>
      <c r="AD20" s="1343" t="str">
        <f t="shared" si="3"/>
        <v/>
      </c>
      <c r="AE20" s="1344" t="str">
        <f t="shared" si="4"/>
        <v/>
      </c>
      <c r="AF20" s="1344" t="str">
        <f t="shared" si="5"/>
        <v/>
      </c>
      <c r="AG20" s="1344" t="str">
        <f t="shared" si="6"/>
        <v/>
      </c>
      <c r="AH20" s="1344" t="str">
        <f t="shared" si="7"/>
        <v/>
      </c>
      <c r="AI20" s="1344" t="str">
        <f t="shared" si="8"/>
        <v/>
      </c>
      <c r="AJ20" s="1344" t="str">
        <f t="shared" si="9"/>
        <v/>
      </c>
      <c r="AK20" s="1344" t="str">
        <f t="shared" si="10"/>
        <v/>
      </c>
      <c r="AL20" s="1365" t="str">
        <f t="shared" si="11"/>
        <v/>
      </c>
      <c r="AM20" s="1344" t="str">
        <f t="shared" si="12"/>
        <v/>
      </c>
      <c r="AN20" s="1344" t="str">
        <f t="shared" si="13"/>
        <v/>
      </c>
      <c r="AO20" s="1344" t="str">
        <f t="shared" si="14"/>
        <v/>
      </c>
      <c r="AP20" s="1344" t="str">
        <f t="shared" si="15"/>
        <v/>
      </c>
      <c r="AQ20" s="1344" t="str">
        <f t="shared" si="16"/>
        <v/>
      </c>
      <c r="AR20" s="1344" t="str">
        <f t="shared" si="17"/>
        <v/>
      </c>
      <c r="AS20" s="1344" t="str">
        <f t="shared" si="18"/>
        <v/>
      </c>
      <c r="AT20" s="1344" t="str">
        <f t="shared" si="19"/>
        <v/>
      </c>
      <c r="AU20" s="1344" t="str">
        <f t="shared" si="20"/>
        <v/>
      </c>
      <c r="AV20" s="1344" t="str">
        <f t="shared" si="21"/>
        <v/>
      </c>
      <c r="AW20" s="1344" t="str">
        <f t="shared" si="22"/>
        <v/>
      </c>
      <c r="AX20" s="1344" t="str">
        <f t="shared" si="23"/>
        <v/>
      </c>
      <c r="AY20" s="1344" t="str">
        <f t="shared" si="24"/>
        <v/>
      </c>
      <c r="AZ20" s="1344" t="str">
        <f t="shared" si="25"/>
        <v/>
      </c>
      <c r="BA20" s="1344" t="str">
        <f t="shared" si="26"/>
        <v/>
      </c>
      <c r="BB20" s="1344" t="str">
        <f t="shared" si="27"/>
        <v/>
      </c>
      <c r="BC20" s="1346" t="str">
        <f t="shared" si="28"/>
        <v/>
      </c>
      <c r="BD20" s="553"/>
      <c r="BE20" s="553"/>
      <c r="BF20" s="499" t="str">
        <f>IFERROR(INDEX($AC$6:$AC$31,_xlfn.AGGREGATE(15,6,(ROW($AC$6:$AC$31)-ROW($AC$6)+1)/($BC$6:$BC$31="SÍ"),ROWS($BF$6:BF20))),"")</f>
        <v/>
      </c>
      <c r="BG20" s="500" t="str">
        <f t="shared" si="29"/>
        <v/>
      </c>
      <c r="BH20" s="458" t="str">
        <f t="shared" si="30"/>
        <v/>
      </c>
      <c r="BI20" s="501" t="str">
        <f t="shared" si="31"/>
        <v/>
      </c>
    </row>
    <row r="21" spans="1:61" ht="33.75" customHeight="1">
      <c r="A21" s="2257"/>
      <c r="C21" s="1314">
        <f>+PP!B39</f>
        <v>16</v>
      </c>
      <c r="D21" s="1306" t="str">
        <f>+PP!C39</f>
        <v>FILETE C/M C/T TRES PIELES 2.0-4.0 kg/pza</v>
      </c>
      <c r="E21" s="1293"/>
      <c r="F21" s="1294"/>
      <c r="G21" s="1294"/>
      <c r="H21" s="1294"/>
      <c r="I21" s="1294"/>
      <c r="J21" s="1294"/>
      <c r="K21" s="1294"/>
      <c r="L21" s="1294"/>
      <c r="M21" s="1294"/>
      <c r="N21" s="1294"/>
      <c r="O21" s="1294"/>
      <c r="P21" s="1294"/>
      <c r="Q21" s="1294"/>
      <c r="R21" s="1731"/>
      <c r="S21" s="1731"/>
      <c r="T21" s="1731"/>
      <c r="U21" s="1731"/>
      <c r="V21" s="1731"/>
      <c r="W21" s="1731"/>
      <c r="X21" s="2090"/>
      <c r="Y21" s="2099">
        <f t="shared" si="0"/>
        <v>0</v>
      </c>
      <c r="Z21" s="1321">
        <f t="shared" si="1"/>
        <v>0</v>
      </c>
      <c r="AA21" s="1322">
        <f t="shared" si="2"/>
        <v>0</v>
      </c>
      <c r="AB21" s="549"/>
      <c r="AC21" s="1342" t="str">
        <f>IFERROR(INDEX($C$6:$C$53,_xlfn.AGGREGATE(15,6,(ROW($C$6:$C$53)-ROW($C$6)+1)/($Y$6:$Y$53&gt;0),ROWS($AC$6:AC21))),"")</f>
        <v/>
      </c>
      <c r="AD21" s="1343" t="str">
        <f t="shared" si="3"/>
        <v/>
      </c>
      <c r="AE21" s="1344" t="str">
        <f t="shared" si="4"/>
        <v/>
      </c>
      <c r="AF21" s="1344" t="str">
        <f t="shared" si="5"/>
        <v/>
      </c>
      <c r="AG21" s="1344" t="str">
        <f t="shared" si="6"/>
        <v/>
      </c>
      <c r="AH21" s="1344" t="str">
        <f t="shared" si="7"/>
        <v/>
      </c>
      <c r="AI21" s="1344" t="str">
        <f t="shared" si="8"/>
        <v/>
      </c>
      <c r="AJ21" s="1344" t="str">
        <f t="shared" si="9"/>
        <v/>
      </c>
      <c r="AK21" s="1344" t="str">
        <f t="shared" si="10"/>
        <v/>
      </c>
      <c r="AL21" s="1365" t="str">
        <f t="shared" si="11"/>
        <v/>
      </c>
      <c r="AM21" s="1344" t="str">
        <f t="shared" si="12"/>
        <v/>
      </c>
      <c r="AN21" s="1344" t="str">
        <f t="shared" si="13"/>
        <v/>
      </c>
      <c r="AO21" s="1344" t="str">
        <f t="shared" si="14"/>
        <v/>
      </c>
      <c r="AP21" s="1344" t="str">
        <f t="shared" si="15"/>
        <v/>
      </c>
      <c r="AQ21" s="1365" t="str">
        <f t="shared" si="16"/>
        <v/>
      </c>
      <c r="AR21" s="1344" t="str">
        <f t="shared" si="17"/>
        <v/>
      </c>
      <c r="AS21" s="1344" t="str">
        <f t="shared" si="18"/>
        <v/>
      </c>
      <c r="AT21" s="1344" t="str">
        <f t="shared" si="19"/>
        <v/>
      </c>
      <c r="AU21" s="1344" t="str">
        <f t="shared" si="20"/>
        <v/>
      </c>
      <c r="AV21" s="1344" t="str">
        <f t="shared" si="21"/>
        <v/>
      </c>
      <c r="AW21" s="1344" t="str">
        <f t="shared" si="22"/>
        <v/>
      </c>
      <c r="AX21" s="1344" t="str">
        <f t="shared" si="23"/>
        <v/>
      </c>
      <c r="AY21" s="1344" t="str">
        <f t="shared" si="24"/>
        <v/>
      </c>
      <c r="AZ21" s="1344" t="str">
        <f t="shared" si="25"/>
        <v/>
      </c>
      <c r="BA21" s="1344" t="str">
        <f t="shared" si="26"/>
        <v/>
      </c>
      <c r="BB21" s="1344" t="str">
        <f t="shared" si="27"/>
        <v/>
      </c>
      <c r="BC21" s="1346" t="str">
        <f t="shared" si="28"/>
        <v/>
      </c>
      <c r="BD21" s="553"/>
      <c r="BE21" s="553"/>
      <c r="BF21" s="499" t="str">
        <f>IFERROR(INDEX($AC$6:$AC$31,_xlfn.AGGREGATE(15,6,(ROW($AC$6:$AC$31)-ROW($AC$6)+1)/($BC$6:$BC$31="SÍ"),ROWS($BF$6:BF21))),"")</f>
        <v/>
      </c>
      <c r="BG21" s="500" t="str">
        <f t="shared" si="29"/>
        <v/>
      </c>
      <c r="BH21" s="458" t="str">
        <f t="shared" si="30"/>
        <v/>
      </c>
      <c r="BI21" s="501" t="str">
        <f t="shared" si="31"/>
        <v/>
      </c>
    </row>
    <row r="22" spans="1:61" ht="35.25" customHeight="1">
      <c r="A22" s="2257"/>
      <c r="C22" s="1314">
        <f>+PP!B40</f>
        <v>17</v>
      </c>
      <c r="D22" s="1306" t="str">
        <f>+PP!C40</f>
        <v>FILETE C/M C/T ENTERO BLANCO 1.0-2.0 kg/pza</v>
      </c>
      <c r="E22" s="1293"/>
      <c r="F22" s="1294"/>
      <c r="G22" s="1294"/>
      <c r="H22" s="1294"/>
      <c r="I22" s="1294"/>
      <c r="J22" s="1294"/>
      <c r="K22" s="1294"/>
      <c r="L22" s="1294"/>
      <c r="M22" s="1294"/>
      <c r="N22" s="1294"/>
      <c r="O22" s="1294"/>
      <c r="P22" s="1294"/>
      <c r="Q22" s="1294"/>
      <c r="R22" s="1731"/>
      <c r="S22" s="1731"/>
      <c r="T22" s="1731"/>
      <c r="U22" s="1731"/>
      <c r="V22" s="1731"/>
      <c r="W22" s="1731"/>
      <c r="X22" s="2090"/>
      <c r="Y22" s="2099">
        <f t="shared" si="0"/>
        <v>0</v>
      </c>
      <c r="Z22" s="1321">
        <f t="shared" si="1"/>
        <v>0</v>
      </c>
      <c r="AA22" s="1322">
        <f t="shared" si="2"/>
        <v>0</v>
      </c>
      <c r="AB22" s="549"/>
      <c r="AC22" s="1342" t="str">
        <f>IFERROR(INDEX($C$6:$C$53,_xlfn.AGGREGATE(15,6,(ROW($C$6:$C$53)-ROW($C$6)+1)/($Y$6:$Y$53&gt;0),ROWS($AC$6:AC22))),"")</f>
        <v/>
      </c>
      <c r="AD22" s="1343" t="str">
        <f t="shared" si="3"/>
        <v/>
      </c>
      <c r="AE22" s="1344" t="str">
        <f t="shared" si="4"/>
        <v/>
      </c>
      <c r="AF22" s="1344" t="str">
        <f t="shared" si="5"/>
        <v/>
      </c>
      <c r="AG22" s="1344" t="str">
        <f t="shared" si="6"/>
        <v/>
      </c>
      <c r="AH22" s="1344" t="str">
        <f t="shared" si="7"/>
        <v/>
      </c>
      <c r="AI22" s="1344" t="str">
        <f t="shared" si="8"/>
        <v/>
      </c>
      <c r="AJ22" s="1344" t="str">
        <f t="shared" si="9"/>
        <v/>
      </c>
      <c r="AK22" s="1344" t="str">
        <f t="shared" si="10"/>
        <v/>
      </c>
      <c r="AL22" s="1344" t="str">
        <f t="shared" si="11"/>
        <v/>
      </c>
      <c r="AM22" s="1344" t="str">
        <f t="shared" si="12"/>
        <v/>
      </c>
      <c r="AN22" s="1344" t="str">
        <f t="shared" si="13"/>
        <v/>
      </c>
      <c r="AO22" s="1344" t="str">
        <f t="shared" si="14"/>
        <v/>
      </c>
      <c r="AP22" s="1344" t="str">
        <f t="shared" si="15"/>
        <v/>
      </c>
      <c r="AQ22" s="1344" t="str">
        <f t="shared" si="16"/>
        <v/>
      </c>
      <c r="AR22" s="1344" t="str">
        <f t="shared" si="17"/>
        <v/>
      </c>
      <c r="AS22" s="1344" t="str">
        <f t="shared" si="18"/>
        <v/>
      </c>
      <c r="AT22" s="1344" t="str">
        <f t="shared" si="19"/>
        <v/>
      </c>
      <c r="AU22" s="1344" t="str">
        <f t="shared" si="20"/>
        <v/>
      </c>
      <c r="AV22" s="1344" t="str">
        <f t="shared" si="21"/>
        <v/>
      </c>
      <c r="AW22" s="1344" t="str">
        <f t="shared" si="22"/>
        <v/>
      </c>
      <c r="AX22" s="1344" t="str">
        <f t="shared" si="23"/>
        <v/>
      </c>
      <c r="AY22" s="1344" t="str">
        <f t="shared" si="24"/>
        <v/>
      </c>
      <c r="AZ22" s="1344" t="str">
        <f t="shared" si="25"/>
        <v/>
      </c>
      <c r="BA22" s="1344" t="str">
        <f t="shared" si="26"/>
        <v/>
      </c>
      <c r="BB22" s="1344" t="str">
        <f t="shared" si="27"/>
        <v/>
      </c>
      <c r="BC22" s="1346" t="str">
        <f t="shared" si="28"/>
        <v/>
      </c>
      <c r="BD22" s="553"/>
      <c r="BE22" s="553"/>
      <c r="BF22" s="499" t="str">
        <f>IFERROR(INDEX($AC$6:$AC$31,_xlfn.AGGREGATE(15,6,(ROW($AC$6:$AC$31)-ROW($AC$6)+1)/($BC$6:$BC$31="SÍ"),ROWS($BF$6:BF22))),"")</f>
        <v/>
      </c>
      <c r="BG22" s="500" t="str">
        <f t="shared" si="29"/>
        <v/>
      </c>
      <c r="BH22" s="458" t="str">
        <f t="shared" si="30"/>
        <v/>
      </c>
      <c r="BI22" s="501" t="str">
        <f t="shared" si="31"/>
        <v/>
      </c>
    </row>
    <row r="23" spans="1:61" ht="33.75" customHeight="1">
      <c r="A23" s="2257"/>
      <c r="C23" s="1314">
        <f>+PP!B41</f>
        <v>18</v>
      </c>
      <c r="D23" s="1306" t="str">
        <f>+PP!C41</f>
        <v>FILETE C/M C/T ENTERO BLANCO 2.0-4.0 kg/pza</v>
      </c>
      <c r="E23" s="1293"/>
      <c r="F23" s="1294"/>
      <c r="G23" s="1294"/>
      <c r="H23" s="1294"/>
      <c r="I23" s="1294"/>
      <c r="J23" s="1294"/>
      <c r="K23" s="1294"/>
      <c r="L23" s="1294"/>
      <c r="M23" s="1294"/>
      <c r="N23" s="1294"/>
      <c r="O23" s="1294"/>
      <c r="P23" s="1294"/>
      <c r="Q23" s="1294"/>
      <c r="R23" s="1731"/>
      <c r="S23" s="1731"/>
      <c r="T23" s="1731"/>
      <c r="U23" s="1731"/>
      <c r="V23" s="1731"/>
      <c r="W23" s="1731"/>
      <c r="X23" s="2090"/>
      <c r="Y23" s="2099">
        <f t="shared" si="0"/>
        <v>0</v>
      </c>
      <c r="Z23" s="1321">
        <f t="shared" si="1"/>
        <v>0</v>
      </c>
      <c r="AA23" s="1322">
        <f t="shared" si="2"/>
        <v>0</v>
      </c>
      <c r="AB23" s="549"/>
      <c r="AC23" s="1342" t="str">
        <f>IFERROR(INDEX($C$6:$C$53,_xlfn.AGGREGATE(15,6,(ROW($C$6:$C$53)-ROW($C$6)+1)/($Y$6:$Y$53&gt;0),ROWS($AC$6:AC23))),"")</f>
        <v/>
      </c>
      <c r="AD23" s="1343" t="str">
        <f t="shared" si="3"/>
        <v/>
      </c>
      <c r="AE23" s="1344" t="str">
        <f t="shared" si="4"/>
        <v/>
      </c>
      <c r="AF23" s="1344" t="str">
        <f t="shared" si="5"/>
        <v/>
      </c>
      <c r="AG23" s="1344" t="str">
        <f t="shared" si="6"/>
        <v/>
      </c>
      <c r="AH23" s="1344" t="str">
        <f t="shared" si="7"/>
        <v/>
      </c>
      <c r="AI23" s="1344" t="str">
        <f t="shared" si="8"/>
        <v/>
      </c>
      <c r="AJ23" s="1344" t="str">
        <f t="shared" si="9"/>
        <v/>
      </c>
      <c r="AK23" s="1344" t="str">
        <f t="shared" si="10"/>
        <v/>
      </c>
      <c r="AL23" s="1344" t="str">
        <f t="shared" si="11"/>
        <v/>
      </c>
      <c r="AM23" s="1344" t="str">
        <f t="shared" si="12"/>
        <v/>
      </c>
      <c r="AN23" s="1344" t="str">
        <f t="shared" si="13"/>
        <v/>
      </c>
      <c r="AO23" s="1344" t="str">
        <f t="shared" si="14"/>
        <v/>
      </c>
      <c r="AP23" s="1344" t="str">
        <f t="shared" si="15"/>
        <v/>
      </c>
      <c r="AQ23" s="1344" t="str">
        <f t="shared" si="16"/>
        <v/>
      </c>
      <c r="AR23" s="1344" t="str">
        <f t="shared" si="17"/>
        <v/>
      </c>
      <c r="AS23" s="1344" t="str">
        <f t="shared" si="18"/>
        <v/>
      </c>
      <c r="AT23" s="1344" t="str">
        <f t="shared" si="19"/>
        <v/>
      </c>
      <c r="AU23" s="1344" t="str">
        <f t="shared" si="20"/>
        <v/>
      </c>
      <c r="AV23" s="1344" t="str">
        <f t="shared" si="21"/>
        <v/>
      </c>
      <c r="AW23" s="1344" t="str">
        <f t="shared" si="22"/>
        <v/>
      </c>
      <c r="AX23" s="1344" t="str">
        <f t="shared" si="23"/>
        <v/>
      </c>
      <c r="AY23" s="1344" t="str">
        <f t="shared" si="24"/>
        <v/>
      </c>
      <c r="AZ23" s="1344" t="str">
        <f t="shared" si="25"/>
        <v/>
      </c>
      <c r="BA23" s="1344" t="str">
        <f t="shared" si="26"/>
        <v/>
      </c>
      <c r="BB23" s="1344" t="str">
        <f t="shared" si="27"/>
        <v/>
      </c>
      <c r="BC23" s="1346" t="str">
        <f t="shared" si="28"/>
        <v/>
      </c>
      <c r="BD23" s="553"/>
      <c r="BE23" s="553"/>
      <c r="BF23" s="499" t="str">
        <f>IFERROR(INDEX($AC$6:$AC$31,_xlfn.AGGREGATE(15,6,(ROW($AC$6:$AC$31)-ROW($AC$6)+1)/($BC$6:$BC$31="SÍ"),ROWS($BF$6:BF23))),"")</f>
        <v/>
      </c>
      <c r="BG23" s="500" t="str">
        <f t="shared" si="29"/>
        <v/>
      </c>
      <c r="BH23" s="458" t="str">
        <f t="shared" si="30"/>
        <v/>
      </c>
      <c r="BI23" s="501" t="str">
        <f t="shared" si="31"/>
        <v/>
      </c>
    </row>
    <row r="24" spans="1:61" ht="34.5" customHeight="1" thickBot="1">
      <c r="A24" s="2257"/>
      <c r="C24" s="2934">
        <f>+PP!B42</f>
        <v>19</v>
      </c>
      <c r="D24" s="1307" t="str">
        <f>+PP!C42</f>
        <v>FILETE LP C/M C/T ENTERO 2.0-4.0 kg/pza</v>
      </c>
      <c r="E24" s="1295"/>
      <c r="F24" s="1296"/>
      <c r="G24" s="1296"/>
      <c r="H24" s="1296"/>
      <c r="I24" s="1296"/>
      <c r="J24" s="1296"/>
      <c r="K24" s="1296"/>
      <c r="L24" s="1296"/>
      <c r="M24" s="1296"/>
      <c r="N24" s="1296"/>
      <c r="O24" s="1296"/>
      <c r="P24" s="1296"/>
      <c r="Q24" s="1296"/>
      <c r="R24" s="2935"/>
      <c r="S24" s="2935"/>
      <c r="T24" s="2935"/>
      <c r="U24" s="2935"/>
      <c r="V24" s="2935"/>
      <c r="W24" s="2935"/>
      <c r="X24" s="2936"/>
      <c r="Y24" s="2100">
        <f t="shared" si="0"/>
        <v>0</v>
      </c>
      <c r="Z24" s="1324">
        <f t="shared" si="1"/>
        <v>0</v>
      </c>
      <c r="AA24" s="1323">
        <f t="shared" si="2"/>
        <v>0</v>
      </c>
      <c r="AB24" s="549"/>
      <c r="AC24" s="1342" t="str">
        <f>IFERROR(INDEX($C$6:$C$53,_xlfn.AGGREGATE(15,6,(ROW($C$6:$C$53)-ROW($C$6)+1)/($Y$6:$Y$53&gt;0),ROWS($AC$6:AC24))),"")</f>
        <v/>
      </c>
      <c r="AD24" s="1343" t="str">
        <f t="shared" si="3"/>
        <v/>
      </c>
      <c r="AE24" s="1344" t="str">
        <f t="shared" si="4"/>
        <v/>
      </c>
      <c r="AF24" s="1344" t="str">
        <f t="shared" si="5"/>
        <v/>
      </c>
      <c r="AG24" s="1344" t="str">
        <f t="shared" si="6"/>
        <v/>
      </c>
      <c r="AH24" s="1344" t="str">
        <f t="shared" si="7"/>
        <v/>
      </c>
      <c r="AI24" s="1344" t="str">
        <f t="shared" si="8"/>
        <v/>
      </c>
      <c r="AJ24" s="1344" t="str">
        <f t="shared" si="9"/>
        <v/>
      </c>
      <c r="AK24" s="1344" t="str">
        <f t="shared" si="10"/>
        <v/>
      </c>
      <c r="AL24" s="1344" t="str">
        <f t="shared" si="11"/>
        <v/>
      </c>
      <c r="AM24" s="1344" t="str">
        <f t="shared" si="12"/>
        <v/>
      </c>
      <c r="AN24" s="1344" t="str">
        <f t="shared" si="13"/>
        <v/>
      </c>
      <c r="AO24" s="1344" t="str">
        <f t="shared" si="14"/>
        <v/>
      </c>
      <c r="AP24" s="1344" t="str">
        <f t="shared" si="15"/>
        <v/>
      </c>
      <c r="AQ24" s="1344" t="str">
        <f t="shared" si="16"/>
        <v/>
      </c>
      <c r="AR24" s="1344" t="str">
        <f t="shared" si="17"/>
        <v/>
      </c>
      <c r="AS24" s="1344" t="str">
        <f t="shared" si="18"/>
        <v/>
      </c>
      <c r="AT24" s="1344" t="str">
        <f t="shared" si="19"/>
        <v/>
      </c>
      <c r="AU24" s="1344" t="str">
        <f t="shared" si="20"/>
        <v/>
      </c>
      <c r="AV24" s="1344" t="str">
        <f t="shared" si="21"/>
        <v/>
      </c>
      <c r="AW24" s="1344" t="str">
        <f t="shared" si="22"/>
        <v/>
      </c>
      <c r="AX24" s="1344" t="str">
        <f t="shared" si="23"/>
        <v/>
      </c>
      <c r="AY24" s="1344" t="str">
        <f t="shared" si="24"/>
        <v/>
      </c>
      <c r="AZ24" s="1344" t="str">
        <f t="shared" si="25"/>
        <v/>
      </c>
      <c r="BA24" s="1344" t="str">
        <f t="shared" si="26"/>
        <v/>
      </c>
      <c r="BB24" s="1344" t="str">
        <f t="shared" si="27"/>
        <v/>
      </c>
      <c r="BC24" s="1346" t="str">
        <f t="shared" si="28"/>
        <v/>
      </c>
      <c r="BD24" s="553"/>
      <c r="BE24" s="553"/>
      <c r="BF24" s="499" t="str">
        <f>IFERROR(INDEX($AC$6:$AC$31,_xlfn.AGGREGATE(15,6,(ROW($AC$6:$AC$31)-ROW($AC$6)+1)/($BC$6:$BC$31="SÍ"),ROWS($BF$6:BF24))),"")</f>
        <v/>
      </c>
      <c r="BG24" s="500" t="str">
        <f t="shared" si="29"/>
        <v/>
      </c>
      <c r="BH24" s="458" t="str">
        <f t="shared" si="30"/>
        <v/>
      </c>
      <c r="BI24" s="501" t="str">
        <f t="shared" si="31"/>
        <v/>
      </c>
    </row>
    <row r="25" spans="1:61" ht="36" customHeight="1">
      <c r="A25" s="2257"/>
      <c r="C25" s="1313">
        <f>+PP!B43</f>
        <v>20</v>
      </c>
      <c r="D25" s="1309" t="str">
        <f>+PP!C43</f>
        <v>MANTO BLANCO C/M C/T 500-1000 g/pza</v>
      </c>
      <c r="E25" s="1291"/>
      <c r="F25" s="1292"/>
      <c r="G25" s="1292"/>
      <c r="H25" s="1292"/>
      <c r="I25" s="1292"/>
      <c r="J25" s="1292"/>
      <c r="K25" s="1292"/>
      <c r="L25" s="1292"/>
      <c r="M25" s="1292"/>
      <c r="N25" s="1292"/>
      <c r="O25" s="1292"/>
      <c r="P25" s="1292"/>
      <c r="Q25" s="1292"/>
      <c r="R25" s="1732"/>
      <c r="S25" s="1732"/>
      <c r="T25" s="1732"/>
      <c r="U25" s="1732"/>
      <c r="V25" s="1732"/>
      <c r="W25" s="1732"/>
      <c r="X25" s="2089"/>
      <c r="Y25" s="2098">
        <f t="shared" si="0"/>
        <v>0</v>
      </c>
      <c r="Z25" s="1319">
        <f t="shared" si="1"/>
        <v>0</v>
      </c>
      <c r="AA25" s="1320">
        <f t="shared" si="2"/>
        <v>0</v>
      </c>
      <c r="AB25" s="549"/>
      <c r="AC25" s="1342" t="str">
        <f>IFERROR(INDEX($C$6:$C$53,_xlfn.AGGREGATE(15,6,(ROW($C$6:$C$53)-ROW($C$6)+1)/($Y$6:$Y$53&gt;0),ROWS($AC$6:AC25))),"")</f>
        <v/>
      </c>
      <c r="AD25" s="1343" t="str">
        <f t="shared" si="3"/>
        <v/>
      </c>
      <c r="AE25" s="1344" t="str">
        <f t="shared" si="4"/>
        <v/>
      </c>
      <c r="AF25" s="1344" t="str">
        <f t="shared" si="5"/>
        <v/>
      </c>
      <c r="AG25" s="1344" t="str">
        <f t="shared" si="6"/>
        <v/>
      </c>
      <c r="AH25" s="1344" t="str">
        <f t="shared" si="7"/>
        <v/>
      </c>
      <c r="AI25" s="1344" t="str">
        <f t="shared" si="8"/>
        <v/>
      </c>
      <c r="AJ25" s="1344" t="str">
        <f t="shared" si="9"/>
        <v/>
      </c>
      <c r="AK25" s="1344" t="str">
        <f t="shared" si="10"/>
        <v/>
      </c>
      <c r="AL25" s="1344" t="str">
        <f t="shared" si="11"/>
        <v/>
      </c>
      <c r="AM25" s="1344" t="str">
        <f t="shared" si="12"/>
        <v/>
      </c>
      <c r="AN25" s="1344" t="str">
        <f t="shared" si="13"/>
        <v/>
      </c>
      <c r="AO25" s="1344" t="str">
        <f t="shared" si="14"/>
        <v/>
      </c>
      <c r="AP25" s="1344" t="str">
        <f t="shared" si="15"/>
        <v/>
      </c>
      <c r="AQ25" s="1344" t="str">
        <f t="shared" si="16"/>
        <v/>
      </c>
      <c r="AR25" s="1344" t="str">
        <f t="shared" si="17"/>
        <v/>
      </c>
      <c r="AS25" s="1344" t="str">
        <f t="shared" si="18"/>
        <v/>
      </c>
      <c r="AT25" s="1344" t="str">
        <f t="shared" si="19"/>
        <v/>
      </c>
      <c r="AU25" s="1344" t="str">
        <f t="shared" si="20"/>
        <v/>
      </c>
      <c r="AV25" s="1344" t="str">
        <f t="shared" si="21"/>
        <v/>
      </c>
      <c r="AW25" s="1344" t="str">
        <f t="shared" si="22"/>
        <v/>
      </c>
      <c r="AX25" s="1344" t="str">
        <f t="shared" si="23"/>
        <v/>
      </c>
      <c r="AY25" s="1344" t="str">
        <f t="shared" si="24"/>
        <v/>
      </c>
      <c r="AZ25" s="1344" t="str">
        <f t="shared" si="25"/>
        <v/>
      </c>
      <c r="BA25" s="1344" t="str">
        <f t="shared" si="26"/>
        <v/>
      </c>
      <c r="BB25" s="1344" t="str">
        <f t="shared" si="27"/>
        <v/>
      </c>
      <c r="BC25" s="1346" t="str">
        <f t="shared" si="28"/>
        <v/>
      </c>
      <c r="BD25" s="553"/>
      <c r="BE25" s="553"/>
      <c r="BF25" s="499" t="str">
        <f>IFERROR(INDEX($AC$6:$AC$31,_xlfn.AGGREGATE(15,6,(ROW($AC$6:$AC$31)-ROW($AC$6)+1)/($BC$6:$BC$31="SÍ"),ROWS($BF$6:BF25))),"")</f>
        <v/>
      </c>
      <c r="BG25" s="500" t="str">
        <f t="shared" si="29"/>
        <v/>
      </c>
      <c r="BH25" s="458" t="str">
        <f t="shared" si="30"/>
        <v/>
      </c>
      <c r="BI25" s="501" t="str">
        <f t="shared" si="31"/>
        <v/>
      </c>
    </row>
    <row r="26" spans="1:61" ht="33.75" customHeight="1">
      <c r="A26" s="2257"/>
      <c r="C26" s="1314">
        <f>+PP!B44</f>
        <v>21</v>
      </c>
      <c r="D26" s="1310" t="str">
        <f>+PP!C44</f>
        <v>MANTO BLANCO C/M C/T 1.0-2.0 kg/pza</v>
      </c>
      <c r="E26" s="1293"/>
      <c r="F26" s="1294"/>
      <c r="G26" s="1294"/>
      <c r="H26" s="1294"/>
      <c r="I26" s="1294"/>
      <c r="J26" s="1294"/>
      <c r="K26" s="1294"/>
      <c r="L26" s="1294"/>
      <c r="M26" s="1294"/>
      <c r="N26" s="1294"/>
      <c r="O26" s="1294"/>
      <c r="P26" s="1294"/>
      <c r="Q26" s="1294"/>
      <c r="R26" s="1731"/>
      <c r="S26" s="1731"/>
      <c r="T26" s="1731"/>
      <c r="U26" s="1731"/>
      <c r="V26" s="1731"/>
      <c r="W26" s="1731"/>
      <c r="X26" s="2090"/>
      <c r="Y26" s="2099">
        <f t="shared" si="0"/>
        <v>0</v>
      </c>
      <c r="Z26" s="1321">
        <f t="shared" si="1"/>
        <v>0</v>
      </c>
      <c r="AA26" s="1322">
        <f t="shared" si="2"/>
        <v>0</v>
      </c>
      <c r="AB26" s="549"/>
      <c r="AC26" s="1342" t="str">
        <f>IFERROR(INDEX($C$6:$C$53,_xlfn.AGGREGATE(15,6,(ROW($C$6:$C$53)-ROW($C$6)+1)/($Y$6:$Y$53&gt;0),ROWS($AC$6:AC26))),"")</f>
        <v/>
      </c>
      <c r="AD26" s="1343" t="str">
        <f t="shared" si="3"/>
        <v/>
      </c>
      <c r="AE26" s="1344" t="str">
        <f t="shared" si="4"/>
        <v/>
      </c>
      <c r="AF26" s="1344" t="str">
        <f t="shared" si="5"/>
        <v/>
      </c>
      <c r="AG26" s="1344" t="str">
        <f t="shared" si="6"/>
        <v/>
      </c>
      <c r="AH26" s="1344" t="str">
        <f t="shared" si="7"/>
        <v/>
      </c>
      <c r="AI26" s="1344" t="str">
        <f t="shared" si="8"/>
        <v/>
      </c>
      <c r="AJ26" s="1344" t="str">
        <f t="shared" si="9"/>
        <v/>
      </c>
      <c r="AK26" s="1344" t="str">
        <f t="shared" si="10"/>
        <v/>
      </c>
      <c r="AL26" s="1344" t="str">
        <f t="shared" si="11"/>
        <v/>
      </c>
      <c r="AM26" s="1344" t="str">
        <f t="shared" si="12"/>
        <v/>
      </c>
      <c r="AN26" s="1344" t="str">
        <f t="shared" si="13"/>
        <v/>
      </c>
      <c r="AO26" s="1344" t="str">
        <f t="shared" si="14"/>
        <v/>
      </c>
      <c r="AP26" s="1344" t="str">
        <f t="shared" si="15"/>
        <v/>
      </c>
      <c r="AQ26" s="1344" t="str">
        <f t="shared" si="16"/>
        <v/>
      </c>
      <c r="AR26" s="1344" t="str">
        <f t="shared" si="17"/>
        <v/>
      </c>
      <c r="AS26" s="1344" t="str">
        <f t="shared" si="18"/>
        <v/>
      </c>
      <c r="AT26" s="1344" t="str">
        <f t="shared" si="19"/>
        <v/>
      </c>
      <c r="AU26" s="1344" t="str">
        <f t="shared" si="20"/>
        <v/>
      </c>
      <c r="AV26" s="1344" t="str">
        <f t="shared" si="21"/>
        <v/>
      </c>
      <c r="AW26" s="1344" t="str">
        <f t="shared" si="22"/>
        <v/>
      </c>
      <c r="AX26" s="1344" t="str">
        <f t="shared" si="23"/>
        <v/>
      </c>
      <c r="AY26" s="1344" t="str">
        <f t="shared" si="24"/>
        <v/>
      </c>
      <c r="AZ26" s="1344" t="str">
        <f t="shared" si="25"/>
        <v/>
      </c>
      <c r="BA26" s="1344" t="str">
        <f t="shared" si="26"/>
        <v/>
      </c>
      <c r="BB26" s="1344" t="str">
        <f t="shared" si="27"/>
        <v/>
      </c>
      <c r="BC26" s="1346" t="str">
        <f t="shared" si="28"/>
        <v/>
      </c>
      <c r="BD26" s="553"/>
      <c r="BE26" s="553"/>
      <c r="BF26" s="499" t="str">
        <f>IFERROR(INDEX($AC$6:$AC$31,_xlfn.AGGREGATE(15,6,(ROW($AC$6:$AC$31)-ROW($AC$6)+1)/($BC$6:$BC$31="SÍ"),ROWS($BF$6:BF26))),"")</f>
        <v/>
      </c>
      <c r="BG26" s="500" t="str">
        <f t="shared" si="29"/>
        <v/>
      </c>
      <c r="BH26" s="458" t="str">
        <f t="shared" si="30"/>
        <v/>
      </c>
      <c r="BI26" s="501" t="str">
        <f t="shared" si="31"/>
        <v/>
      </c>
    </row>
    <row r="27" spans="1:61" ht="36.75" customHeight="1" thickBot="1">
      <c r="A27" s="2257"/>
      <c r="C27" s="1314">
        <f>+PP!B45</f>
        <v>22</v>
      </c>
      <c r="D27" s="1310" t="str">
        <f>+PP!C45</f>
        <v>MANTO BLANCO C/M C/T 2.0-4.0 kg/pza</v>
      </c>
      <c r="E27" s="1293"/>
      <c r="F27" s="1294"/>
      <c r="G27" s="1294"/>
      <c r="H27" s="1294"/>
      <c r="I27" s="1294"/>
      <c r="J27" s="1294"/>
      <c r="K27" s="1294"/>
      <c r="L27" s="1294"/>
      <c r="M27" s="1294"/>
      <c r="N27" s="1294"/>
      <c r="O27" s="1294"/>
      <c r="P27" s="1294"/>
      <c r="Q27" s="1294"/>
      <c r="R27" s="1731"/>
      <c r="S27" s="1731"/>
      <c r="T27" s="1731"/>
      <c r="U27" s="1731"/>
      <c r="V27" s="1731"/>
      <c r="W27" s="1731"/>
      <c r="X27" s="2090"/>
      <c r="Y27" s="2099">
        <f t="shared" si="0"/>
        <v>0</v>
      </c>
      <c r="Z27" s="1321">
        <f t="shared" si="1"/>
        <v>0</v>
      </c>
      <c r="AA27" s="1322">
        <f t="shared" si="2"/>
        <v>0</v>
      </c>
      <c r="AB27" s="549"/>
      <c r="AC27" s="1347" t="str">
        <f>IFERROR(INDEX($C$6:$C$53,_xlfn.AGGREGATE(15,6,(ROW($C$6:$C$53)-ROW($C$6)+1)/($Y$6:$Y$53&gt;0),ROWS($AC$6:AC27))),"")</f>
        <v/>
      </c>
      <c r="AD27" s="1348" t="str">
        <f t="shared" si="3"/>
        <v/>
      </c>
      <c r="AE27" s="1349" t="str">
        <f t="shared" si="4"/>
        <v/>
      </c>
      <c r="AF27" s="1349" t="str">
        <f t="shared" si="5"/>
        <v/>
      </c>
      <c r="AG27" s="1349" t="str">
        <f t="shared" si="6"/>
        <v/>
      </c>
      <c r="AH27" s="1349" t="str">
        <f t="shared" si="7"/>
        <v/>
      </c>
      <c r="AI27" s="1349" t="str">
        <f t="shared" si="8"/>
        <v/>
      </c>
      <c r="AJ27" s="1349" t="str">
        <f t="shared" si="9"/>
        <v/>
      </c>
      <c r="AK27" s="1349" t="str">
        <f t="shared" si="10"/>
        <v/>
      </c>
      <c r="AL27" s="1349" t="str">
        <f t="shared" si="11"/>
        <v/>
      </c>
      <c r="AM27" s="1349" t="str">
        <f t="shared" si="12"/>
        <v/>
      </c>
      <c r="AN27" s="1349" t="str">
        <f t="shared" si="13"/>
        <v/>
      </c>
      <c r="AO27" s="1349" t="str">
        <f t="shared" si="14"/>
        <v/>
      </c>
      <c r="AP27" s="1349" t="str">
        <f t="shared" si="15"/>
        <v/>
      </c>
      <c r="AQ27" s="1349" t="str">
        <f t="shared" si="16"/>
        <v/>
      </c>
      <c r="AR27" s="1349" t="str">
        <f t="shared" si="17"/>
        <v/>
      </c>
      <c r="AS27" s="1349" t="str">
        <f t="shared" si="18"/>
        <v/>
      </c>
      <c r="AT27" s="1349" t="str">
        <f t="shared" si="19"/>
        <v/>
      </c>
      <c r="AU27" s="1349" t="str">
        <f t="shared" si="20"/>
        <v/>
      </c>
      <c r="AV27" s="1349" t="str">
        <f t="shared" si="21"/>
        <v/>
      </c>
      <c r="AW27" s="1349" t="str">
        <f t="shared" si="22"/>
        <v/>
      </c>
      <c r="AX27" s="1349" t="str">
        <f t="shared" si="23"/>
        <v/>
      </c>
      <c r="AY27" s="1349" t="str">
        <f t="shared" si="24"/>
        <v/>
      </c>
      <c r="AZ27" s="1349" t="str">
        <f t="shared" si="25"/>
        <v/>
      </c>
      <c r="BA27" s="1349" t="str">
        <f t="shared" si="26"/>
        <v/>
      </c>
      <c r="BB27" s="1349" t="str">
        <f t="shared" si="27"/>
        <v/>
      </c>
      <c r="BC27" s="1346" t="str">
        <f t="shared" si="28"/>
        <v/>
      </c>
      <c r="BD27" s="553"/>
      <c r="BE27" s="553"/>
      <c r="BF27" s="515" t="str">
        <f>IFERROR(INDEX($AC$6:$AC$31,_xlfn.AGGREGATE(15,6,(ROW($AC$6:$AC$31)-ROW($AC$6)+1)/($BC$6:$BC$31="SÍ"),ROWS($BF$6:BF27))),"")</f>
        <v/>
      </c>
      <c r="BG27" s="516" t="str">
        <f t="shared" si="29"/>
        <v/>
      </c>
      <c r="BH27" s="517" t="str">
        <f t="shared" si="30"/>
        <v/>
      </c>
      <c r="BI27" s="518" t="str">
        <f t="shared" si="31"/>
        <v/>
      </c>
    </row>
    <row r="28" spans="1:61" ht="34.5" customHeight="1" thickBot="1">
      <c r="A28" s="2257"/>
      <c r="C28" s="1314">
        <f>+PP!B46</f>
        <v>23</v>
      </c>
      <c r="D28" s="1310" t="str">
        <f>+PP!C46</f>
        <v>MANTO LP C/M C/T 500-1000 g/pza</v>
      </c>
      <c r="E28" s="1293"/>
      <c r="F28" s="1294"/>
      <c r="G28" s="1294"/>
      <c r="H28" s="1294"/>
      <c r="I28" s="1294"/>
      <c r="J28" s="1294"/>
      <c r="K28" s="1294"/>
      <c r="L28" s="1294"/>
      <c r="M28" s="1294"/>
      <c r="N28" s="1294"/>
      <c r="O28" s="1294"/>
      <c r="P28" s="1294"/>
      <c r="Q28" s="1294"/>
      <c r="R28" s="1731"/>
      <c r="S28" s="1731"/>
      <c r="T28" s="1731"/>
      <c r="U28" s="1731"/>
      <c r="V28" s="1731"/>
      <c r="W28" s="1731"/>
      <c r="X28" s="2090"/>
      <c r="Y28" s="2099">
        <f t="shared" si="0"/>
        <v>0</v>
      </c>
      <c r="Z28" s="1321">
        <f t="shared" si="1"/>
        <v>0</v>
      </c>
      <c r="AA28" s="1322">
        <f t="shared" si="2"/>
        <v>0</v>
      </c>
      <c r="AB28" s="549"/>
      <c r="AC28" s="1347" t="str">
        <f>IFERROR(INDEX($C$6:$C$53,_xlfn.AGGREGATE(15,6,(ROW($C$6:$C$53)-ROW($C$6)+1)/($Y$6:$Y$53&gt;0),ROWS($AC$6:AC28))),"")</f>
        <v/>
      </c>
      <c r="AD28" s="1348" t="str">
        <f t="shared" si="3"/>
        <v/>
      </c>
      <c r="AE28" s="1349" t="str">
        <f t="shared" si="4"/>
        <v/>
      </c>
      <c r="AF28" s="1349" t="str">
        <f t="shared" si="5"/>
        <v/>
      </c>
      <c r="AG28" s="1349" t="str">
        <f t="shared" si="6"/>
        <v/>
      </c>
      <c r="AH28" s="1349" t="str">
        <f t="shared" si="7"/>
        <v/>
      </c>
      <c r="AI28" s="1349" t="str">
        <f t="shared" si="8"/>
        <v/>
      </c>
      <c r="AJ28" s="1349" t="str">
        <f t="shared" si="9"/>
        <v/>
      </c>
      <c r="AK28" s="1349" t="str">
        <f t="shared" si="10"/>
        <v/>
      </c>
      <c r="AL28" s="1349" t="str">
        <f t="shared" si="11"/>
        <v/>
      </c>
      <c r="AM28" s="1349" t="str">
        <f t="shared" si="12"/>
        <v/>
      </c>
      <c r="AN28" s="1349" t="str">
        <f t="shared" si="13"/>
        <v/>
      </c>
      <c r="AO28" s="1349" t="str">
        <f t="shared" si="14"/>
        <v/>
      </c>
      <c r="AP28" s="1349" t="str">
        <f t="shared" si="15"/>
        <v/>
      </c>
      <c r="AQ28" s="1349" t="str">
        <f t="shared" si="16"/>
        <v/>
      </c>
      <c r="AR28" s="1349" t="str">
        <f t="shared" si="17"/>
        <v/>
      </c>
      <c r="AS28" s="1349" t="str">
        <f t="shared" si="18"/>
        <v/>
      </c>
      <c r="AT28" s="1349" t="str">
        <f t="shared" si="19"/>
        <v/>
      </c>
      <c r="AU28" s="1349" t="str">
        <f t="shared" si="20"/>
        <v/>
      </c>
      <c r="AV28" s="1349" t="str">
        <f t="shared" si="21"/>
        <v/>
      </c>
      <c r="AW28" s="1349" t="str">
        <f t="shared" si="22"/>
        <v/>
      </c>
      <c r="AX28" s="1349" t="str">
        <f t="shared" si="23"/>
        <v/>
      </c>
      <c r="AY28" s="1349" t="str">
        <f t="shared" si="24"/>
        <v/>
      </c>
      <c r="AZ28" s="1349" t="str">
        <f t="shared" si="25"/>
        <v/>
      </c>
      <c r="BA28" s="1349" t="str">
        <f t="shared" si="26"/>
        <v/>
      </c>
      <c r="BB28" s="1349" t="str">
        <f t="shared" si="27"/>
        <v/>
      </c>
      <c r="BC28" s="1346" t="str">
        <f t="shared" si="28"/>
        <v/>
      </c>
      <c r="BD28" s="558"/>
      <c r="BE28" s="558"/>
      <c r="BF28" s="2517" t="s">
        <v>514</v>
      </c>
      <c r="BG28" s="2518"/>
      <c r="BH28" s="559">
        <f>COUNT($BF$6:$BF$27)</f>
        <v>0</v>
      </c>
      <c r="BI28" s="560"/>
    </row>
    <row r="29" spans="1:61" s="561" customFormat="1" ht="33" customHeight="1">
      <c r="A29" s="2257"/>
      <c r="C29" s="1314">
        <f>+PP!B47</f>
        <v>24</v>
      </c>
      <c r="D29" s="1310" t="str">
        <f>+PP!C47</f>
        <v>MANTO LP C/M C/T 1.0-2.0 Kg/pza</v>
      </c>
      <c r="E29" s="1293"/>
      <c r="F29" s="1294"/>
      <c r="G29" s="1294"/>
      <c r="H29" s="1294"/>
      <c r="I29" s="1294"/>
      <c r="J29" s="1294"/>
      <c r="K29" s="1294"/>
      <c r="L29" s="1294"/>
      <c r="M29" s="1294"/>
      <c r="N29" s="1294"/>
      <c r="O29" s="1294"/>
      <c r="P29" s="1294"/>
      <c r="Q29" s="1294"/>
      <c r="R29" s="1731"/>
      <c r="S29" s="1731"/>
      <c r="T29" s="1731"/>
      <c r="U29" s="1731"/>
      <c r="V29" s="1731"/>
      <c r="W29" s="1731"/>
      <c r="X29" s="2090"/>
      <c r="Y29" s="2099">
        <f t="shared" si="0"/>
        <v>0</v>
      </c>
      <c r="Z29" s="1331">
        <f t="shared" si="1"/>
        <v>0</v>
      </c>
      <c r="AA29" s="1332">
        <f t="shared" si="2"/>
        <v>0</v>
      </c>
      <c r="AB29" s="549"/>
      <c r="AC29" s="1350" t="str">
        <f>IFERROR(INDEX($C$6:$C$53,_xlfn.AGGREGATE(15,6,(ROW($C$6:$C$53)-ROW($C$6)+1)/($Y$6:$Y$53&gt;0),ROWS($AC$6:AC29))),"")</f>
        <v/>
      </c>
      <c r="AD29" s="1351" t="str">
        <f t="shared" si="3"/>
        <v/>
      </c>
      <c r="AE29" s="1352" t="str">
        <f t="shared" si="4"/>
        <v/>
      </c>
      <c r="AF29" s="1352" t="str">
        <f t="shared" si="5"/>
        <v/>
      </c>
      <c r="AG29" s="1352" t="str">
        <f t="shared" si="6"/>
        <v/>
      </c>
      <c r="AH29" s="1352" t="str">
        <f t="shared" si="7"/>
        <v/>
      </c>
      <c r="AI29" s="1352" t="str">
        <f t="shared" si="8"/>
        <v/>
      </c>
      <c r="AJ29" s="1352" t="str">
        <f t="shared" si="9"/>
        <v/>
      </c>
      <c r="AK29" s="1352" t="str">
        <f t="shared" si="10"/>
        <v/>
      </c>
      <c r="AL29" s="1352" t="str">
        <f t="shared" si="11"/>
        <v/>
      </c>
      <c r="AM29" s="1352" t="str">
        <f t="shared" si="12"/>
        <v/>
      </c>
      <c r="AN29" s="1352" t="str">
        <f t="shared" si="13"/>
        <v/>
      </c>
      <c r="AO29" s="1352" t="str">
        <f t="shared" si="14"/>
        <v/>
      </c>
      <c r="AP29" s="1352" t="str">
        <f t="shared" si="15"/>
        <v/>
      </c>
      <c r="AQ29" s="1352" t="str">
        <f t="shared" si="16"/>
        <v/>
      </c>
      <c r="AR29" s="1352" t="str">
        <f t="shared" si="17"/>
        <v/>
      </c>
      <c r="AS29" s="1352" t="str">
        <f t="shared" si="18"/>
        <v/>
      </c>
      <c r="AT29" s="1352" t="str">
        <f t="shared" si="19"/>
        <v/>
      </c>
      <c r="AU29" s="1352" t="str">
        <f t="shared" si="20"/>
        <v/>
      </c>
      <c r="AV29" s="1352" t="str">
        <f t="shared" si="21"/>
        <v/>
      </c>
      <c r="AW29" s="1352" t="str">
        <f t="shared" si="22"/>
        <v/>
      </c>
      <c r="AX29" s="1352" t="str">
        <f t="shared" si="23"/>
        <v/>
      </c>
      <c r="AY29" s="1352" t="str">
        <f t="shared" si="24"/>
        <v/>
      </c>
      <c r="AZ29" s="1352" t="str">
        <f t="shared" si="25"/>
        <v/>
      </c>
      <c r="BA29" s="1352" t="str">
        <f t="shared" si="26"/>
        <v/>
      </c>
      <c r="BB29" s="1352" t="str">
        <f t="shared" si="27"/>
        <v/>
      </c>
      <c r="BC29" s="1353" t="str">
        <f t="shared" si="28"/>
        <v/>
      </c>
      <c r="BD29"/>
      <c r="BE29"/>
    </row>
    <row r="30" spans="1:61" ht="39" customHeight="1" thickBot="1">
      <c r="A30" s="2257"/>
      <c r="C30" s="2940">
        <f>+PP!B48</f>
        <v>25</v>
      </c>
      <c r="D30" s="2941" t="str">
        <f>+PP!C48</f>
        <v>MANTO LP C/M C/T 2.0-4.0 Kg/pza</v>
      </c>
      <c r="E30" s="1733"/>
      <c r="F30" s="2942"/>
      <c r="G30" s="2942"/>
      <c r="H30" s="2942"/>
      <c r="I30" s="2942"/>
      <c r="J30" s="2942"/>
      <c r="K30" s="2942"/>
      <c r="L30" s="2942"/>
      <c r="M30" s="2942"/>
      <c r="N30" s="2942"/>
      <c r="O30" s="2942"/>
      <c r="P30" s="2942"/>
      <c r="Q30" s="2942"/>
      <c r="R30" s="1734"/>
      <c r="S30" s="1734"/>
      <c r="T30" s="1734"/>
      <c r="U30" s="1734"/>
      <c r="V30" s="1734"/>
      <c r="W30" s="1734"/>
      <c r="X30" s="2091"/>
      <c r="Y30" s="2102">
        <f t="shared" si="0"/>
        <v>0</v>
      </c>
      <c r="Z30" s="1327">
        <f t="shared" si="1"/>
        <v>0</v>
      </c>
      <c r="AA30" s="1328">
        <f t="shared" si="2"/>
        <v>0</v>
      </c>
      <c r="AB30" s="549"/>
      <c r="AC30" s="1354" t="str">
        <f>IFERROR(INDEX($C$6:$C$53,_xlfn.AGGREGATE(15,6,(ROW($C$6:$C$53)-ROW($C$6)+1)/($Y$6:$Y$53&gt;0),ROWS($AC$6:AC30))),"")</f>
        <v/>
      </c>
      <c r="AD30" s="1355" t="str">
        <f t="shared" si="3"/>
        <v/>
      </c>
      <c r="AE30" s="1356" t="str">
        <f t="shared" si="4"/>
        <v/>
      </c>
      <c r="AF30" s="1356" t="str">
        <f t="shared" si="5"/>
        <v/>
      </c>
      <c r="AG30" s="1356" t="str">
        <f t="shared" si="6"/>
        <v/>
      </c>
      <c r="AH30" s="1356" t="str">
        <f t="shared" si="7"/>
        <v/>
      </c>
      <c r="AI30" s="1356" t="str">
        <f t="shared" si="8"/>
        <v/>
      </c>
      <c r="AJ30" s="1356" t="str">
        <f t="shared" si="9"/>
        <v/>
      </c>
      <c r="AK30" s="1356" t="str">
        <f t="shared" si="10"/>
        <v/>
      </c>
      <c r="AL30" s="1356" t="str">
        <f t="shared" si="11"/>
        <v/>
      </c>
      <c r="AM30" s="1356" t="str">
        <f t="shared" si="12"/>
        <v/>
      </c>
      <c r="AN30" s="1356" t="str">
        <f t="shared" si="13"/>
        <v/>
      </c>
      <c r="AO30" s="1356" t="str">
        <f t="shared" si="14"/>
        <v/>
      </c>
      <c r="AP30" s="1356" t="str">
        <f t="shared" si="15"/>
        <v/>
      </c>
      <c r="AQ30" s="1356" t="str">
        <f t="shared" si="16"/>
        <v/>
      </c>
      <c r="AR30" s="1356" t="str">
        <f t="shared" si="17"/>
        <v/>
      </c>
      <c r="AS30" s="1356" t="str">
        <f t="shared" si="18"/>
        <v/>
      </c>
      <c r="AT30" s="1356" t="str">
        <f t="shared" si="19"/>
        <v/>
      </c>
      <c r="AU30" s="1356" t="str">
        <f t="shared" si="20"/>
        <v/>
      </c>
      <c r="AV30" s="1356" t="str">
        <f t="shared" si="21"/>
        <v/>
      </c>
      <c r="AW30" s="1356" t="str">
        <f t="shared" si="22"/>
        <v/>
      </c>
      <c r="AX30" s="1356" t="str">
        <f t="shared" si="23"/>
        <v/>
      </c>
      <c r="AY30" s="1356" t="str">
        <f t="shared" si="24"/>
        <v/>
      </c>
      <c r="AZ30" s="1356" t="str">
        <f t="shared" si="25"/>
        <v/>
      </c>
      <c r="BA30" s="1356" t="str">
        <f t="shared" si="26"/>
        <v/>
      </c>
      <c r="BB30" s="1356" t="str">
        <f t="shared" si="27"/>
        <v/>
      </c>
      <c r="BC30" s="1357" t="str">
        <f t="shared" si="28"/>
        <v/>
      </c>
      <c r="BD30"/>
      <c r="BE30"/>
    </row>
    <row r="31" spans="1:61" ht="38.25" customHeight="1" thickBot="1">
      <c r="A31" s="2257"/>
      <c r="C31" s="1313">
        <f>+PP!B49</f>
        <v>26</v>
      </c>
      <c r="D31" s="2946" t="str">
        <f>+PP!C49</f>
        <v>NUCA C/C CERRADO 0-100 g/pza</v>
      </c>
      <c r="E31" s="2943"/>
      <c r="F31" s="1300"/>
      <c r="G31" s="1300"/>
      <c r="H31" s="1300"/>
      <c r="I31" s="1300"/>
      <c r="J31" s="1300"/>
      <c r="K31" s="1300"/>
      <c r="L31" s="1300"/>
      <c r="M31" s="1300"/>
      <c r="N31" s="1300"/>
      <c r="O31" s="1300"/>
      <c r="P31" s="1300"/>
      <c r="Q31" s="1300"/>
      <c r="R31" s="1736"/>
      <c r="S31" s="1736"/>
      <c r="T31" s="1736"/>
      <c r="U31" s="1736"/>
      <c r="V31" s="1736"/>
      <c r="W31" s="1736"/>
      <c r="X31" s="2092"/>
      <c r="Y31" s="2098">
        <f>SUM(E31:X31)</f>
        <v>0</v>
      </c>
      <c r="Z31" s="2952">
        <f t="shared" si="1"/>
        <v>0</v>
      </c>
      <c r="AA31" s="2949">
        <f t="shared" si="2"/>
        <v>0</v>
      </c>
      <c r="AB31" s="563"/>
      <c r="AC31" s="1354" t="str">
        <f>IFERROR(INDEX($C$6:$C$53,_xlfn.AGGREGATE(15,6,(ROW($C$6:$C$53)-ROW($C$6)+1)/($Y$6:$Y$53&gt;0),ROWS($AC$6:AC31))),"")</f>
        <v/>
      </c>
      <c r="AD31" s="1355" t="str">
        <f t="shared" si="3"/>
        <v/>
      </c>
      <c r="AE31" s="1356" t="str">
        <f t="shared" si="4"/>
        <v/>
      </c>
      <c r="AF31" s="1356" t="str">
        <f t="shared" si="5"/>
        <v/>
      </c>
      <c r="AG31" s="1356" t="str">
        <f t="shared" si="6"/>
        <v/>
      </c>
      <c r="AH31" s="1356" t="str">
        <f t="shared" si="7"/>
        <v/>
      </c>
      <c r="AI31" s="1356" t="str">
        <f t="shared" si="8"/>
        <v/>
      </c>
      <c r="AJ31" s="1356" t="str">
        <f t="shared" si="9"/>
        <v/>
      </c>
      <c r="AK31" s="1356" t="str">
        <f t="shared" si="10"/>
        <v/>
      </c>
      <c r="AL31" s="1356" t="str">
        <f t="shared" si="11"/>
        <v/>
      </c>
      <c r="AM31" s="1356" t="str">
        <f t="shared" si="12"/>
        <v/>
      </c>
      <c r="AN31" s="1356" t="str">
        <f t="shared" si="13"/>
        <v/>
      </c>
      <c r="AO31" s="1356" t="str">
        <f t="shared" si="14"/>
        <v/>
      </c>
      <c r="AP31" s="1356" t="str">
        <f t="shared" si="15"/>
        <v/>
      </c>
      <c r="AQ31" s="1356" t="str">
        <f t="shared" si="16"/>
        <v/>
      </c>
      <c r="AR31" s="1356" t="str">
        <f t="shared" si="17"/>
        <v/>
      </c>
      <c r="AS31" s="1356" t="str">
        <f t="shared" si="18"/>
        <v/>
      </c>
      <c r="AT31" s="1356" t="str">
        <f t="shared" si="19"/>
        <v/>
      </c>
      <c r="AU31" s="1356" t="str">
        <f t="shared" si="20"/>
        <v/>
      </c>
      <c r="AV31" s="1356" t="str">
        <f t="shared" si="21"/>
        <v/>
      </c>
      <c r="AW31" s="1356" t="str">
        <f t="shared" si="22"/>
        <v/>
      </c>
      <c r="AX31" s="1356" t="str">
        <f t="shared" si="23"/>
        <v/>
      </c>
      <c r="AY31" s="1356" t="str">
        <f t="shared" si="24"/>
        <v/>
      </c>
      <c r="AZ31" s="1356" t="str">
        <f t="shared" si="25"/>
        <v/>
      </c>
      <c r="BA31" s="1356" t="str">
        <f t="shared" si="26"/>
        <v/>
      </c>
      <c r="BB31" s="1356" t="str">
        <f t="shared" si="27"/>
        <v/>
      </c>
      <c r="BC31" s="1357" t="str">
        <f t="shared" si="28"/>
        <v/>
      </c>
      <c r="BD31"/>
      <c r="BE31"/>
    </row>
    <row r="32" spans="1:61" ht="33.75" customHeight="1" thickBot="1">
      <c r="A32" s="2257"/>
      <c r="C32" s="1314">
        <f>+PP!B50</f>
        <v>27</v>
      </c>
      <c r="D32" s="2947" t="str">
        <f>+PP!C50</f>
        <v>NUCA C/C ABIERTO 100-300 g/pza</v>
      </c>
      <c r="E32" s="2944"/>
      <c r="F32" s="1302"/>
      <c r="G32" s="1302"/>
      <c r="H32" s="1302"/>
      <c r="I32" s="1302"/>
      <c r="J32" s="1302"/>
      <c r="K32" s="1302"/>
      <c r="L32" s="1302"/>
      <c r="M32" s="1302"/>
      <c r="N32" s="1302"/>
      <c r="O32" s="1302"/>
      <c r="P32" s="1302"/>
      <c r="Q32" s="1302"/>
      <c r="R32" s="1735"/>
      <c r="S32" s="1735"/>
      <c r="T32" s="1735"/>
      <c r="U32" s="1735"/>
      <c r="V32" s="1735"/>
      <c r="W32" s="1735"/>
      <c r="X32" s="2093"/>
      <c r="Y32" s="2099">
        <f t="shared" ref="Y32:Y39" si="32">SUM(E32:X32)</f>
        <v>0</v>
      </c>
      <c r="Z32" s="2953">
        <f t="shared" si="1"/>
        <v>0</v>
      </c>
      <c r="AA32" s="2950">
        <f t="shared" si="2"/>
        <v>0</v>
      </c>
      <c r="AB32" s="1721"/>
      <c r="AC32" s="1358"/>
      <c r="AD32" s="1359" t="s">
        <v>3</v>
      </c>
      <c r="AE32" s="1359">
        <f t="shared" ref="AE32:AY32" si="33">SUM(AE6:AE31)</f>
        <v>0</v>
      </c>
      <c r="AF32" s="1359">
        <f t="shared" si="33"/>
        <v>0</v>
      </c>
      <c r="AG32" s="1359">
        <f t="shared" si="33"/>
        <v>0</v>
      </c>
      <c r="AH32" s="1359">
        <f t="shared" si="33"/>
        <v>0</v>
      </c>
      <c r="AI32" s="1359">
        <f t="shared" si="33"/>
        <v>0</v>
      </c>
      <c r="AJ32" s="1359">
        <f t="shared" si="33"/>
        <v>0</v>
      </c>
      <c r="AK32" s="1359">
        <f t="shared" si="33"/>
        <v>0</v>
      </c>
      <c r="AL32" s="1359">
        <f t="shared" si="33"/>
        <v>0</v>
      </c>
      <c r="AM32" s="1359">
        <f t="shared" si="33"/>
        <v>0</v>
      </c>
      <c r="AN32" s="1359">
        <f t="shared" si="33"/>
        <v>0</v>
      </c>
      <c r="AO32" s="1359">
        <f t="shared" si="33"/>
        <v>0</v>
      </c>
      <c r="AP32" s="1359">
        <f t="shared" si="33"/>
        <v>0</v>
      </c>
      <c r="AQ32" s="1359">
        <f t="shared" si="33"/>
        <v>0</v>
      </c>
      <c r="AR32" s="1359">
        <f t="shared" si="33"/>
        <v>0</v>
      </c>
      <c r="AS32" s="1359">
        <f t="shared" si="33"/>
        <v>0</v>
      </c>
      <c r="AT32" s="1359">
        <f t="shared" si="33"/>
        <v>0</v>
      </c>
      <c r="AU32" s="1359">
        <f t="shared" si="33"/>
        <v>0</v>
      </c>
      <c r="AV32" s="1359">
        <f t="shared" si="33"/>
        <v>0</v>
      </c>
      <c r="AW32" s="1359">
        <f t="shared" si="33"/>
        <v>0</v>
      </c>
      <c r="AX32" s="1359">
        <f t="shared" si="33"/>
        <v>0</v>
      </c>
      <c r="AY32" s="1359">
        <f t="shared" si="33"/>
        <v>0</v>
      </c>
      <c r="AZ32" s="1359">
        <f>AY32/2</f>
        <v>0</v>
      </c>
      <c r="BA32" s="1359">
        <f>AY32*10</f>
        <v>0</v>
      </c>
      <c r="BB32" s="1359" t="str">
        <f>IF(COUNTIF(BB6:BB31,"REVISIÓN*")&gt;0,"REVISAR","OK")</f>
        <v>OK</v>
      </c>
      <c r="BC32" s="1360" t="str">
        <f>IF(COUNTIF(BC6:BC31,"SÍ")&gt;0,"HAY","NO")</f>
        <v>NO</v>
      </c>
      <c r="BD32"/>
      <c r="BE32"/>
    </row>
    <row r="33" spans="1:57" ht="33.75" customHeight="1">
      <c r="A33" s="2257"/>
      <c r="C33" s="1314">
        <f>+PP!B51</f>
        <v>28</v>
      </c>
      <c r="D33" s="2947" t="str">
        <f>+PP!C51</f>
        <v>NUCA C/C ABIERTO 300-500 g/pza</v>
      </c>
      <c r="E33" s="2944"/>
      <c r="F33" s="1302"/>
      <c r="G33" s="1302"/>
      <c r="H33" s="1302"/>
      <c r="I33" s="1302"/>
      <c r="J33" s="1302"/>
      <c r="K33" s="1302"/>
      <c r="L33" s="1302"/>
      <c r="M33" s="1302"/>
      <c r="N33" s="1302"/>
      <c r="O33" s="1302"/>
      <c r="P33" s="1302"/>
      <c r="Q33" s="1302"/>
      <c r="R33" s="1735"/>
      <c r="S33" s="1735"/>
      <c r="T33" s="1735"/>
      <c r="U33" s="1735"/>
      <c r="V33" s="1735"/>
      <c r="W33" s="1735"/>
      <c r="X33" s="2093"/>
      <c r="Y33" s="2099">
        <f t="shared" si="32"/>
        <v>0</v>
      </c>
      <c r="Z33" s="2953">
        <f t="shared" si="1"/>
        <v>0</v>
      </c>
      <c r="AA33" s="2950">
        <f t="shared" si="2"/>
        <v>0</v>
      </c>
      <c r="AB33" s="1721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1:57" ht="32.25" customHeight="1">
      <c r="A34" s="2257"/>
      <c r="C34" s="1314">
        <f>+PP!B52</f>
        <v>29</v>
      </c>
      <c r="D34" s="2947" t="str">
        <f>+PP!C52</f>
        <v>NUCA C/C ABIERTO 500-1000 g/pza</v>
      </c>
      <c r="E34" s="2944"/>
      <c r="F34" s="1302"/>
      <c r="G34" s="1302"/>
      <c r="H34" s="1302"/>
      <c r="I34" s="1302"/>
      <c r="J34" s="1302"/>
      <c r="K34" s="1302"/>
      <c r="L34" s="1302"/>
      <c r="M34" s="1302"/>
      <c r="N34" s="1302"/>
      <c r="O34" s="1302"/>
      <c r="P34" s="1302"/>
      <c r="Q34" s="1302"/>
      <c r="R34" s="1735"/>
      <c r="S34" s="1735"/>
      <c r="T34" s="1735"/>
      <c r="U34" s="1735"/>
      <c r="V34" s="1735"/>
      <c r="W34" s="1735"/>
      <c r="X34" s="2093"/>
      <c r="Y34" s="2099">
        <f t="shared" si="32"/>
        <v>0</v>
      </c>
      <c r="Z34" s="2953">
        <f t="shared" si="1"/>
        <v>0</v>
      </c>
      <c r="AA34" s="2950">
        <f t="shared" si="2"/>
        <v>0</v>
      </c>
      <c r="AB34" s="1721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1:57" ht="38.25" customHeight="1" thickBot="1">
      <c r="A35" s="2257"/>
      <c r="C35" s="2934">
        <f>+PP!B53</f>
        <v>30</v>
      </c>
      <c r="D35" s="2948" t="str">
        <f>+PP!C53</f>
        <v>NUCA C/C ABIERTO 1.0 - UP kg/pza</v>
      </c>
      <c r="E35" s="2945"/>
      <c r="F35" s="1304"/>
      <c r="G35" s="1304"/>
      <c r="H35" s="1304"/>
      <c r="I35" s="1304"/>
      <c r="J35" s="1304"/>
      <c r="K35" s="1304"/>
      <c r="L35" s="1304"/>
      <c r="M35" s="1304"/>
      <c r="N35" s="1304"/>
      <c r="O35" s="1304"/>
      <c r="P35" s="1304"/>
      <c r="Q35" s="1304"/>
      <c r="R35" s="1737"/>
      <c r="S35" s="1737"/>
      <c r="T35" s="1737"/>
      <c r="U35" s="1737"/>
      <c r="V35" s="1737"/>
      <c r="W35" s="1737"/>
      <c r="X35" s="2094"/>
      <c r="Y35" s="2100">
        <f t="shared" si="32"/>
        <v>0</v>
      </c>
      <c r="Z35" s="2954">
        <f t="shared" si="1"/>
        <v>0</v>
      </c>
      <c r="AA35" s="2951">
        <f t="shared" si="2"/>
        <v>0</v>
      </c>
      <c r="AB35" s="1721"/>
      <c r="AC35"/>
      <c r="AD35">
        <f>17920+580</f>
        <v>18500</v>
      </c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1:57" ht="35.25" customHeight="1">
      <c r="A36" s="2257"/>
      <c r="C36" s="2955">
        <f>+PP!B54</f>
        <v>31</v>
      </c>
      <c r="D36" s="1309" t="str">
        <f>+PP!C54</f>
        <v>RECORTE BLANCO SM ST</v>
      </c>
      <c r="E36" s="1299"/>
      <c r="F36" s="1300"/>
      <c r="G36" s="1300"/>
      <c r="H36" s="1300"/>
      <c r="I36" s="1300"/>
      <c r="J36" s="1300"/>
      <c r="K36" s="1300"/>
      <c r="L36" s="1300"/>
      <c r="M36" s="1300"/>
      <c r="N36" s="1300"/>
      <c r="O36" s="1300"/>
      <c r="P36" s="1300"/>
      <c r="Q36" s="1300"/>
      <c r="R36" s="1736"/>
      <c r="S36" s="1736"/>
      <c r="T36" s="1736"/>
      <c r="U36" s="1736"/>
      <c r="V36" s="1736"/>
      <c r="W36" s="1736"/>
      <c r="X36" s="2092"/>
      <c r="Y36" s="2098">
        <f t="shared" si="32"/>
        <v>0</v>
      </c>
      <c r="Z36" s="1745">
        <f t="shared" si="1"/>
        <v>0</v>
      </c>
      <c r="AA36" s="1742">
        <f t="shared" si="2"/>
        <v>0</v>
      </c>
      <c r="AB36" s="1721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1:57" ht="33.75" customHeight="1">
      <c r="A37" s="2257"/>
      <c r="C37" s="1741">
        <f>+PP!B55</f>
        <v>32</v>
      </c>
      <c r="D37" s="1310" t="str">
        <f>+PP!C55</f>
        <v>RECORTE AMARILLO SM ST</v>
      </c>
      <c r="E37" s="1301"/>
      <c r="F37" s="1302"/>
      <c r="G37" s="1302"/>
      <c r="H37" s="1302"/>
      <c r="I37" s="1302"/>
      <c r="J37" s="1302"/>
      <c r="K37" s="1302"/>
      <c r="L37" s="1302"/>
      <c r="M37" s="1302"/>
      <c r="N37" s="1302"/>
      <c r="O37" s="1302"/>
      <c r="P37" s="1302"/>
      <c r="Q37" s="1302"/>
      <c r="R37" s="1735"/>
      <c r="S37" s="1735"/>
      <c r="T37" s="1735"/>
      <c r="U37" s="1735"/>
      <c r="V37" s="1735"/>
      <c r="W37" s="1735"/>
      <c r="X37" s="2093"/>
      <c r="Y37" s="2099">
        <f t="shared" si="32"/>
        <v>0</v>
      </c>
      <c r="Z37" s="2097">
        <f t="shared" si="1"/>
        <v>0</v>
      </c>
      <c r="AA37" s="1743">
        <f t="shared" si="2"/>
        <v>0</v>
      </c>
      <c r="AB37" s="1721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1:57" ht="31.5" customHeight="1" thickBot="1">
      <c r="A38" s="2257"/>
      <c r="C38" s="2956">
        <f>+PP!B56</f>
        <v>33</v>
      </c>
      <c r="D38" s="1311" t="str">
        <f>+PP!C56</f>
        <v>RECORTE PRECOCIDO</v>
      </c>
      <c r="E38" s="1303"/>
      <c r="F38" s="1304"/>
      <c r="G38" s="1304"/>
      <c r="H38" s="1304"/>
      <c r="I38" s="1304"/>
      <c r="J38" s="1304"/>
      <c r="K38" s="1304"/>
      <c r="L38" s="1304"/>
      <c r="M38" s="1304"/>
      <c r="N38" s="1304"/>
      <c r="O38" s="1304"/>
      <c r="P38" s="1304"/>
      <c r="Q38" s="1304"/>
      <c r="R38" s="1737"/>
      <c r="S38" s="1737"/>
      <c r="T38" s="1737"/>
      <c r="U38" s="1737"/>
      <c r="V38" s="1737"/>
      <c r="W38" s="1737"/>
      <c r="X38" s="2094"/>
      <c r="Y38" s="2100">
        <f t="shared" si="32"/>
        <v>0</v>
      </c>
      <c r="Z38" s="1746">
        <f t="shared" si="1"/>
        <v>0</v>
      </c>
      <c r="AA38" s="1744">
        <f t="shared" si="2"/>
        <v>0</v>
      </c>
      <c r="AB38" s="1721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1:57" ht="36" customHeight="1">
      <c r="A39" s="2257"/>
      <c r="C39" s="2955">
        <f>+PP!B57</f>
        <v>34</v>
      </c>
      <c r="D39" s="1309" t="str">
        <f>+PP!C57</f>
        <v>REPRODUCTORES SV, PEQUEÑO</v>
      </c>
      <c r="E39" s="1299"/>
      <c r="F39" s="1300"/>
      <c r="G39" s="1300"/>
      <c r="H39" s="1300"/>
      <c r="I39" s="1300"/>
      <c r="J39" s="1300"/>
      <c r="K39" s="1300"/>
      <c r="L39" s="1300"/>
      <c r="M39" s="1300"/>
      <c r="N39" s="1300"/>
      <c r="O39" s="1300"/>
      <c r="P39" s="1300"/>
      <c r="Q39" s="1300"/>
      <c r="R39" s="1736"/>
      <c r="S39" s="1736"/>
      <c r="T39" s="1736"/>
      <c r="U39" s="1736"/>
      <c r="V39" s="1736"/>
      <c r="W39" s="1736"/>
      <c r="X39" s="2092"/>
      <c r="Y39" s="2098">
        <f t="shared" si="32"/>
        <v>0</v>
      </c>
      <c r="Z39" s="1745">
        <f t="shared" si="1"/>
        <v>0</v>
      </c>
      <c r="AA39" s="1742">
        <f t="shared" si="2"/>
        <v>0</v>
      </c>
      <c r="AB39" s="563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</row>
    <row r="40" spans="1:57" ht="36" customHeight="1" thickBot="1">
      <c r="A40" s="2257"/>
      <c r="C40" s="2956">
        <f>+PP!B58</f>
        <v>35</v>
      </c>
      <c r="D40" s="1311" t="str">
        <f>+PP!C58</f>
        <v>REPRODUCTOR SV GRANDE</v>
      </c>
      <c r="E40" s="1303"/>
      <c r="F40" s="1304"/>
      <c r="G40" s="1304"/>
      <c r="H40" s="1304"/>
      <c r="I40" s="1304"/>
      <c r="J40" s="1304"/>
      <c r="K40" s="1304"/>
      <c r="L40" s="1304"/>
      <c r="M40" s="1304"/>
      <c r="N40" s="1304"/>
      <c r="O40" s="1304"/>
      <c r="P40" s="1304"/>
      <c r="Q40" s="1304"/>
      <c r="R40" s="1737"/>
      <c r="S40" s="1737"/>
      <c r="T40" s="1737"/>
      <c r="U40" s="1737"/>
      <c r="V40" s="1737"/>
      <c r="W40" s="1737"/>
      <c r="X40" s="2094"/>
      <c r="Y40" s="2100">
        <f t="shared" si="0"/>
        <v>0</v>
      </c>
      <c r="Z40" s="1746">
        <f t="shared" si="1"/>
        <v>0</v>
      </c>
      <c r="AA40" s="1744">
        <f t="shared" si="2"/>
        <v>0</v>
      </c>
      <c r="AB40" s="563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</row>
    <row r="41" spans="1:57" ht="33" customHeight="1" thickBot="1">
      <c r="A41" s="2257"/>
      <c r="C41" s="2937">
        <f>+PP!B59</f>
        <v>36</v>
      </c>
      <c r="D41" s="1308" t="str">
        <f>+PP!C59</f>
        <v>TUBO ALETA 1.0-2.0 Kg/pza</v>
      </c>
      <c r="E41" s="2086"/>
      <c r="F41" s="2087"/>
      <c r="G41" s="2087"/>
      <c r="H41" s="2087"/>
      <c r="I41" s="2087"/>
      <c r="J41" s="2087"/>
      <c r="K41" s="2087"/>
      <c r="L41" s="2087"/>
      <c r="M41" s="2087"/>
      <c r="N41" s="2087"/>
      <c r="O41" s="2087"/>
      <c r="P41" s="2087"/>
      <c r="Q41" s="2087"/>
      <c r="R41" s="2957"/>
      <c r="S41" s="2957"/>
      <c r="T41" s="2957"/>
      <c r="U41" s="2957"/>
      <c r="V41" s="2957"/>
      <c r="W41" s="2957"/>
      <c r="X41" s="2958"/>
      <c r="Y41" s="2088">
        <f t="shared" si="0"/>
        <v>0</v>
      </c>
      <c r="Z41" s="2959">
        <f t="shared" si="1"/>
        <v>0</v>
      </c>
      <c r="AA41" s="1326">
        <f t="shared" si="2"/>
        <v>0</v>
      </c>
      <c r="AB41" s="563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</row>
    <row r="42" spans="1:57" ht="35.25" customHeight="1">
      <c r="A42" s="2257"/>
      <c r="C42" s="2933">
        <f>+PP!B60</f>
        <v>37</v>
      </c>
      <c r="D42" s="1312" t="str">
        <f>+PP!C60</f>
        <v>TENTACULO C/B C/V SR 100-300 g/pza (SUCIO)</v>
      </c>
      <c r="E42" s="1740"/>
      <c r="F42" s="1738"/>
      <c r="G42" s="1738"/>
      <c r="H42" s="1738"/>
      <c r="I42" s="1738"/>
      <c r="J42" s="1738"/>
      <c r="K42" s="1738"/>
      <c r="L42" s="1738"/>
      <c r="M42" s="1738"/>
      <c r="N42" s="1738"/>
      <c r="O42" s="1738"/>
      <c r="P42" s="1738"/>
      <c r="Q42" s="1738"/>
      <c r="R42" s="1739"/>
      <c r="S42" s="1739"/>
      <c r="T42" s="1739"/>
      <c r="U42" s="1739"/>
      <c r="V42" s="1739"/>
      <c r="W42" s="1739"/>
      <c r="X42" s="2095"/>
      <c r="Y42" s="2101">
        <f t="shared" si="0"/>
        <v>0</v>
      </c>
      <c r="Z42" s="1325">
        <f t="shared" si="1"/>
        <v>0</v>
      </c>
      <c r="AA42" s="1322">
        <f t="shared" si="2"/>
        <v>0</v>
      </c>
      <c r="AB42" s="563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</row>
    <row r="43" spans="1:57" ht="33.75" customHeight="1">
      <c r="A43" s="2257"/>
      <c r="C43" s="1314">
        <f>+PP!B61</f>
        <v>38</v>
      </c>
      <c r="D43" s="1306" t="str">
        <f>+PP!C61</f>
        <v>TENTACULO C/B C/V SR 300-500 g/pza (SUCIO)</v>
      </c>
      <c r="E43" s="1301"/>
      <c r="F43" s="1302"/>
      <c r="G43" s="1302"/>
      <c r="H43" s="1302"/>
      <c r="I43" s="1302"/>
      <c r="J43" s="1302"/>
      <c r="K43" s="1302"/>
      <c r="L43" s="1302"/>
      <c r="M43" s="1302"/>
      <c r="N43" s="1302"/>
      <c r="O43" s="1302"/>
      <c r="P43" s="1302"/>
      <c r="Q43" s="1302"/>
      <c r="R43" s="1735"/>
      <c r="S43" s="1735"/>
      <c r="T43" s="1735"/>
      <c r="U43" s="1735"/>
      <c r="V43" s="1735"/>
      <c r="W43" s="1735"/>
      <c r="X43" s="2093"/>
      <c r="Y43" s="2099">
        <f t="shared" si="0"/>
        <v>0</v>
      </c>
      <c r="Z43" s="1321">
        <f t="shared" si="1"/>
        <v>0</v>
      </c>
      <c r="AA43" s="1322">
        <f t="shared" si="2"/>
        <v>0</v>
      </c>
      <c r="AB43" s="56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</row>
    <row r="44" spans="1:57" ht="35.25" customHeight="1">
      <c r="A44" s="2257"/>
      <c r="C44" s="1314">
        <f>+PP!B62</f>
        <v>39</v>
      </c>
      <c r="D44" s="1306" t="str">
        <f>+PP!C62</f>
        <v>TENTACULO C/B S/V SR 100-300 g/pza</v>
      </c>
      <c r="E44" s="1301"/>
      <c r="F44" s="1302"/>
      <c r="G44" s="1302"/>
      <c r="H44" s="1302"/>
      <c r="I44" s="1302"/>
      <c r="J44" s="1302"/>
      <c r="K44" s="1302"/>
      <c r="L44" s="1302"/>
      <c r="M44" s="1302"/>
      <c r="N44" s="1302"/>
      <c r="O44" s="1302"/>
      <c r="P44" s="1302"/>
      <c r="Q44" s="1302"/>
      <c r="R44" s="1735"/>
      <c r="S44" s="1735"/>
      <c r="T44" s="1735"/>
      <c r="U44" s="1735"/>
      <c r="V44" s="1735"/>
      <c r="W44" s="1735"/>
      <c r="X44" s="2093"/>
      <c r="Y44" s="2099">
        <f t="shared" si="0"/>
        <v>0</v>
      </c>
      <c r="Z44" s="1321">
        <f t="shared" si="1"/>
        <v>0</v>
      </c>
      <c r="AA44" s="1322">
        <f t="shared" si="2"/>
        <v>0</v>
      </c>
      <c r="AB44" s="563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</row>
    <row r="45" spans="1:57" ht="36" customHeight="1">
      <c r="A45" s="2257"/>
      <c r="C45" s="1314">
        <f>+PP!B63</f>
        <v>40</v>
      </c>
      <c r="D45" s="1306" t="str">
        <f>+PP!C63</f>
        <v>TENTACULO C/B C/V SR 100-500 g/pza (SUCIO)</v>
      </c>
      <c r="E45" s="1301"/>
      <c r="F45" s="1302"/>
      <c r="G45" s="1302"/>
      <c r="H45" s="1302"/>
      <c r="I45" s="1302"/>
      <c r="J45" s="1302"/>
      <c r="K45" s="1302"/>
      <c r="L45" s="1302"/>
      <c r="M45" s="1302"/>
      <c r="N45" s="1302"/>
      <c r="O45" s="1302"/>
      <c r="P45" s="1302"/>
      <c r="Q45" s="1302"/>
      <c r="R45" s="1735"/>
      <c r="S45" s="1735"/>
      <c r="T45" s="1735"/>
      <c r="U45" s="1735"/>
      <c r="V45" s="1735"/>
      <c r="W45" s="1735"/>
      <c r="X45" s="2093"/>
      <c r="Y45" s="2099">
        <f t="shared" si="0"/>
        <v>0</v>
      </c>
      <c r="Z45" s="1321">
        <f t="shared" si="1"/>
        <v>0</v>
      </c>
      <c r="AA45" s="1322">
        <f t="shared" si="2"/>
        <v>0</v>
      </c>
      <c r="AB45" s="563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</row>
    <row r="46" spans="1:57" ht="37.5" customHeight="1">
      <c r="A46" s="2257"/>
      <c r="C46" s="1314">
        <f>+PP!B64</f>
        <v>41</v>
      </c>
      <c r="D46" s="1306" t="str">
        <f>+PP!C64</f>
        <v>TENTACULO C/B S/V SR 100-500 g/pza</v>
      </c>
      <c r="E46" s="1301"/>
      <c r="F46" s="1302"/>
      <c r="G46" s="1302"/>
      <c r="H46" s="1302"/>
      <c r="I46" s="1302"/>
      <c r="J46" s="1302"/>
      <c r="K46" s="1302"/>
      <c r="L46" s="1302"/>
      <c r="M46" s="1302"/>
      <c r="N46" s="1302"/>
      <c r="O46" s="1302"/>
      <c r="P46" s="1302"/>
      <c r="Q46" s="1302"/>
      <c r="R46" s="1735"/>
      <c r="S46" s="1735"/>
      <c r="T46" s="1735"/>
      <c r="U46" s="1735"/>
      <c r="V46" s="1735"/>
      <c r="W46" s="1735"/>
      <c r="X46" s="2093"/>
      <c r="Y46" s="2099">
        <f t="shared" si="0"/>
        <v>0</v>
      </c>
      <c r="Z46" s="1321">
        <f t="shared" si="1"/>
        <v>0</v>
      </c>
      <c r="AA46" s="1322">
        <f t="shared" si="2"/>
        <v>0</v>
      </c>
      <c r="AB46" s="563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</row>
    <row r="47" spans="1:57" ht="36" customHeight="1">
      <c r="A47" s="2257"/>
      <c r="C47" s="1314">
        <f>+PP!B65</f>
        <v>42</v>
      </c>
      <c r="D47" s="1306" t="str">
        <f>+PP!C65</f>
        <v>TENTACULO C/B S/V SR 300-500 g/pza</v>
      </c>
      <c r="E47" s="1301"/>
      <c r="F47" s="1302"/>
      <c r="G47" s="1302"/>
      <c r="H47" s="1302"/>
      <c r="I47" s="1302"/>
      <c r="J47" s="1302"/>
      <c r="K47" s="1302"/>
      <c r="L47" s="1302"/>
      <c r="M47" s="1302"/>
      <c r="N47" s="1302"/>
      <c r="O47" s="1302"/>
      <c r="P47" s="1302"/>
      <c r="Q47" s="1302"/>
      <c r="R47" s="1735"/>
      <c r="S47" s="1735"/>
      <c r="T47" s="1735"/>
      <c r="U47" s="1735"/>
      <c r="V47" s="1735"/>
      <c r="W47" s="1735"/>
      <c r="X47" s="2093"/>
      <c r="Y47" s="2099">
        <f t="shared" si="0"/>
        <v>0</v>
      </c>
      <c r="Z47" s="1321">
        <f t="shared" si="1"/>
        <v>0</v>
      </c>
      <c r="AA47" s="1322">
        <f t="shared" si="2"/>
        <v>0</v>
      </c>
      <c r="AB47" s="563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</row>
    <row r="48" spans="1:57" ht="36" customHeight="1">
      <c r="A48" s="2257"/>
      <c r="C48" s="1314">
        <f>+PP!B66</f>
        <v>43</v>
      </c>
      <c r="D48" s="1306" t="str">
        <f>+PP!C66</f>
        <v>TENTACULO C/B C/V SR 500-1000 g/pza (SUCIO)</v>
      </c>
      <c r="E48" s="1301"/>
      <c r="F48" s="1302"/>
      <c r="G48" s="1302"/>
      <c r="H48" s="1302"/>
      <c r="I48" s="1302"/>
      <c r="J48" s="1302"/>
      <c r="K48" s="1302"/>
      <c r="L48" s="1302"/>
      <c r="M48" s="1302"/>
      <c r="N48" s="1302"/>
      <c r="O48" s="1302"/>
      <c r="P48" s="1302"/>
      <c r="Q48" s="1302"/>
      <c r="R48" s="1735"/>
      <c r="S48" s="1735"/>
      <c r="T48" s="1735"/>
      <c r="U48" s="1735"/>
      <c r="V48" s="1735"/>
      <c r="W48" s="1735"/>
      <c r="X48" s="2093"/>
      <c r="Y48" s="2099">
        <f t="shared" si="0"/>
        <v>0</v>
      </c>
      <c r="Z48" s="1321">
        <f t="shared" si="1"/>
        <v>0</v>
      </c>
      <c r="AA48" s="1322">
        <f t="shared" si="2"/>
        <v>0</v>
      </c>
      <c r="AB48" s="563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</row>
    <row r="49" spans="1:104" ht="33" customHeight="1">
      <c r="A49" s="2257"/>
      <c r="C49" s="1314">
        <f>+PP!B67</f>
        <v>44</v>
      </c>
      <c r="D49" s="1306" t="str">
        <f>+PP!C67</f>
        <v>TENTACULO C/B S/V SR 500-1000 g/pza</v>
      </c>
      <c r="E49" s="1301"/>
      <c r="F49" s="1302"/>
      <c r="G49" s="1302"/>
      <c r="H49" s="1302"/>
      <c r="I49" s="1302"/>
      <c r="J49" s="1302"/>
      <c r="K49" s="1302"/>
      <c r="L49" s="1302"/>
      <c r="M49" s="1302"/>
      <c r="N49" s="1302"/>
      <c r="O49" s="1302"/>
      <c r="P49" s="1302"/>
      <c r="Q49" s="1302"/>
      <c r="R49" s="1735"/>
      <c r="S49" s="1735"/>
      <c r="T49" s="1735"/>
      <c r="U49" s="1735"/>
      <c r="V49" s="1735"/>
      <c r="W49" s="1735"/>
      <c r="X49" s="2093"/>
      <c r="Y49" s="2099">
        <f t="shared" si="0"/>
        <v>0</v>
      </c>
      <c r="Z49" s="1321">
        <f t="shared" si="1"/>
        <v>0</v>
      </c>
      <c r="AA49" s="1322">
        <f t="shared" si="2"/>
        <v>0</v>
      </c>
      <c r="AB49" s="563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</row>
    <row r="50" spans="1:104" ht="33" customHeight="1">
      <c r="A50" s="2257"/>
      <c r="C50" s="1314">
        <f>+PP!B68</f>
        <v>45</v>
      </c>
      <c r="D50" s="1306" t="str">
        <f>+PP!C68</f>
        <v>TENTACULO C/B C/V SR 1.0-2.0 Kg/pza (SUCIO)</v>
      </c>
      <c r="E50" s="1301"/>
      <c r="F50" s="1302"/>
      <c r="G50" s="1302"/>
      <c r="H50" s="1302"/>
      <c r="I50" s="1302"/>
      <c r="J50" s="1302"/>
      <c r="K50" s="1302"/>
      <c r="L50" s="1302"/>
      <c r="M50" s="1302"/>
      <c r="N50" s="1302"/>
      <c r="O50" s="1302"/>
      <c r="P50" s="1302"/>
      <c r="Q50" s="1302"/>
      <c r="R50" s="1735"/>
      <c r="S50" s="1735"/>
      <c r="T50" s="1735"/>
      <c r="U50" s="1735"/>
      <c r="V50" s="1735"/>
      <c r="W50" s="1735"/>
      <c r="X50" s="2093"/>
      <c r="Y50" s="2099">
        <f t="shared" si="0"/>
        <v>0</v>
      </c>
      <c r="Z50" s="1321">
        <f t="shared" si="1"/>
        <v>0</v>
      </c>
      <c r="AA50" s="1322">
        <f t="shared" si="2"/>
        <v>0</v>
      </c>
      <c r="AB50" s="563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1:104" ht="36" customHeight="1">
      <c r="A51" s="2257"/>
      <c r="C51" s="1314">
        <f>+PP!B69</f>
        <v>46</v>
      </c>
      <c r="D51" s="1306" t="str">
        <f>+PP!C69</f>
        <v>TENTACULO C/B S/V SR 1.0-2.0 Kg/pza</v>
      </c>
      <c r="E51" s="1301"/>
      <c r="F51" s="1302"/>
      <c r="G51" s="1302"/>
      <c r="H51" s="1302"/>
      <c r="I51" s="1302"/>
      <c r="J51" s="1302"/>
      <c r="K51" s="1302"/>
      <c r="L51" s="1302"/>
      <c r="M51" s="1302"/>
      <c r="N51" s="1302"/>
      <c r="O51" s="1302"/>
      <c r="P51" s="1302"/>
      <c r="Q51" s="1302"/>
      <c r="R51" s="1735"/>
      <c r="S51" s="1735"/>
      <c r="T51" s="1735"/>
      <c r="U51" s="1735"/>
      <c r="V51" s="1735"/>
      <c r="W51" s="1735"/>
      <c r="X51" s="2093"/>
      <c r="Y51" s="2099">
        <f t="shared" si="0"/>
        <v>0</v>
      </c>
      <c r="Z51" s="1321">
        <f t="shared" si="1"/>
        <v>0</v>
      </c>
      <c r="AA51" s="1322">
        <f t="shared" si="2"/>
        <v>0</v>
      </c>
      <c r="AB51" s="563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1:104" ht="33.75" customHeight="1" thickBot="1">
      <c r="A52" s="2257"/>
      <c r="C52" s="1314">
        <f>+PP!B70</f>
        <v>47</v>
      </c>
      <c r="D52" s="1307" t="str">
        <f>+PP!C70</f>
        <v>TENTACULO C/B S/V SR 2 UP Kg/pza</v>
      </c>
      <c r="E52" s="2083"/>
      <c r="F52" s="2084"/>
      <c r="G52" s="2084"/>
      <c r="H52" s="2084"/>
      <c r="I52" s="2084"/>
      <c r="J52" s="2084"/>
      <c r="K52" s="2084"/>
      <c r="L52" s="2084"/>
      <c r="M52" s="2084"/>
      <c r="N52" s="2084"/>
      <c r="O52" s="2084"/>
      <c r="P52" s="2084"/>
      <c r="Q52" s="2084"/>
      <c r="R52" s="2085"/>
      <c r="S52" s="2085"/>
      <c r="T52" s="2085"/>
      <c r="U52" s="2085"/>
      <c r="V52" s="2085"/>
      <c r="W52" s="2085"/>
      <c r="X52" s="2096"/>
      <c r="Y52" s="2102">
        <f t="shared" si="0"/>
        <v>0</v>
      </c>
      <c r="Z52" s="1321">
        <f t="shared" si="1"/>
        <v>0</v>
      </c>
      <c r="AA52" s="1328">
        <f t="shared" si="2"/>
        <v>0</v>
      </c>
      <c r="AB52" s="563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</row>
    <row r="53" spans="1:104" ht="36" customHeight="1" thickBot="1">
      <c r="A53" s="2257"/>
      <c r="C53" s="1314">
        <f>+PP!B71</f>
        <v>48</v>
      </c>
      <c r="D53" s="1308" t="str">
        <f>+PP!C71</f>
        <v>TUBO ALETA 500-1000 g/pza</v>
      </c>
      <c r="E53" s="2086"/>
      <c r="F53" s="2087"/>
      <c r="G53" s="2087"/>
      <c r="H53" s="2087"/>
      <c r="I53" s="2087"/>
      <c r="J53" s="2087"/>
      <c r="K53" s="2087"/>
      <c r="L53" s="2087"/>
      <c r="M53" s="2087"/>
      <c r="N53" s="2087"/>
      <c r="O53" s="2087"/>
      <c r="P53" s="2087"/>
      <c r="Q53" s="2087"/>
      <c r="R53" s="2957"/>
      <c r="S53" s="2957"/>
      <c r="T53" s="2957"/>
      <c r="U53" s="2957"/>
      <c r="V53" s="2957"/>
      <c r="W53" s="2957"/>
      <c r="X53" s="2966"/>
      <c r="Y53" s="2960">
        <f t="shared" si="0"/>
        <v>0</v>
      </c>
      <c r="Z53" s="1329">
        <f t="shared" si="1"/>
        <v>0</v>
      </c>
      <c r="AA53" s="1330">
        <f t="shared" si="2"/>
        <v>0</v>
      </c>
      <c r="AB53" s="56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</row>
    <row r="54" spans="1:104" ht="36" thickBot="1">
      <c r="A54" s="2257"/>
      <c r="C54" s="564"/>
      <c r="D54" s="1333" t="s">
        <v>38</v>
      </c>
      <c r="E54" s="2961">
        <f t="shared" ref="E54:AA54" si="34">SUM(E6:E53)</f>
        <v>0</v>
      </c>
      <c r="F54" s="2962">
        <f t="shared" si="34"/>
        <v>0</v>
      </c>
      <c r="G54" s="2962">
        <f t="shared" si="34"/>
        <v>0</v>
      </c>
      <c r="H54" s="2962">
        <f t="shared" si="34"/>
        <v>0</v>
      </c>
      <c r="I54" s="2962">
        <f t="shared" si="34"/>
        <v>0</v>
      </c>
      <c r="J54" s="2962">
        <f t="shared" si="34"/>
        <v>0</v>
      </c>
      <c r="K54" s="2962">
        <f t="shared" si="34"/>
        <v>0</v>
      </c>
      <c r="L54" s="2962">
        <f t="shared" si="34"/>
        <v>0</v>
      </c>
      <c r="M54" s="2962">
        <f t="shared" si="34"/>
        <v>0</v>
      </c>
      <c r="N54" s="2962">
        <f t="shared" si="34"/>
        <v>0</v>
      </c>
      <c r="O54" s="2962">
        <f t="shared" si="34"/>
        <v>0</v>
      </c>
      <c r="P54" s="2963">
        <f t="shared" si="34"/>
        <v>0</v>
      </c>
      <c r="Q54" s="2961">
        <f t="shared" si="34"/>
        <v>0</v>
      </c>
      <c r="R54" s="2964">
        <f t="shared" si="34"/>
        <v>0</v>
      </c>
      <c r="S54" s="2964">
        <f t="shared" si="34"/>
        <v>0</v>
      </c>
      <c r="T54" s="2964">
        <f t="shared" si="34"/>
        <v>0</v>
      </c>
      <c r="U54" s="2964">
        <f t="shared" si="34"/>
        <v>0</v>
      </c>
      <c r="V54" s="2964">
        <f t="shared" si="34"/>
        <v>0</v>
      </c>
      <c r="W54" s="2964">
        <f t="shared" si="34"/>
        <v>0</v>
      </c>
      <c r="X54" s="2965">
        <f t="shared" si="34"/>
        <v>0</v>
      </c>
      <c r="Y54" s="2103">
        <f t="shared" si="34"/>
        <v>0</v>
      </c>
      <c r="Z54" s="1317">
        <f t="shared" si="34"/>
        <v>0</v>
      </c>
      <c r="AA54" s="1318">
        <f t="shared" si="34"/>
        <v>0</v>
      </c>
      <c r="AB54" s="565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</row>
    <row r="55" spans="1:104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1718"/>
      <c r="V55" s="1718"/>
      <c r="W55" s="1718"/>
      <c r="X55" s="1718"/>
      <c r="Y55" s="30"/>
      <c r="Z55" s="30"/>
      <c r="AA55" s="30"/>
      <c r="AB55" s="30"/>
      <c r="AC55" s="30"/>
      <c r="AD55" s="30"/>
      <c r="AE55" s="30"/>
      <c r="AF55" s="30"/>
    </row>
    <row r="56" spans="1:104" ht="46.5" customHeight="1" thickBot="1">
      <c r="D56" s="1334" t="s">
        <v>116</v>
      </c>
      <c r="E56" s="2556" t="s">
        <v>115</v>
      </c>
      <c r="F56" s="2557"/>
      <c r="G56" s="2557"/>
      <c r="H56" s="2557"/>
      <c r="I56" s="2557"/>
      <c r="J56" s="2557"/>
      <c r="K56" s="2557"/>
      <c r="L56" s="2557"/>
      <c r="M56" s="2557"/>
      <c r="N56" s="2557"/>
      <c r="O56" s="2557"/>
      <c r="P56" s="2557"/>
      <c r="Q56" s="2557"/>
      <c r="R56" s="2558"/>
      <c r="S56" s="2558"/>
      <c r="T56" s="2558"/>
      <c r="U56" s="2558"/>
      <c r="V56" s="2558"/>
      <c r="W56" s="2558"/>
      <c r="X56" s="2558"/>
      <c r="Y56" s="2557"/>
      <c r="Z56" s="2557"/>
      <c r="AA56" s="2559"/>
      <c r="AB56" s="566"/>
      <c r="AC56" s="566"/>
      <c r="AD56" s="566"/>
      <c r="AE56" s="566"/>
      <c r="AF56" s="566"/>
      <c r="AG56" s="566"/>
      <c r="CY56" s="33" t="s">
        <v>77</v>
      </c>
      <c r="CZ56" s="31" t="str">
        <f>IFERROR(AA54/PP!K20*100,"")</f>
        <v/>
      </c>
    </row>
    <row r="57" spans="1:104" ht="30">
      <c r="J57" s="30"/>
      <c r="K57" s="30"/>
      <c r="L57" s="30"/>
      <c r="M57" s="30"/>
      <c r="N57" s="30"/>
      <c r="O57" s="30"/>
      <c r="P57" s="30"/>
      <c r="Q57" s="30"/>
      <c r="R57" s="452"/>
      <c r="S57" s="452"/>
      <c r="T57" s="452"/>
      <c r="U57" s="452"/>
      <c r="V57" s="452"/>
      <c r="W57" s="452"/>
      <c r="X57" s="452"/>
    </row>
    <row r="58" spans="1:104" ht="30">
      <c r="J58" s="30"/>
      <c r="K58" s="30"/>
      <c r="L58" s="30"/>
      <c r="M58" s="30"/>
      <c r="N58" s="30"/>
      <c r="O58" s="30"/>
      <c r="P58" s="30"/>
      <c r="Q58" s="30"/>
      <c r="R58" s="452"/>
      <c r="S58" s="452"/>
      <c r="T58" s="452"/>
      <c r="U58" s="452"/>
      <c r="V58" s="452"/>
      <c r="W58" s="452"/>
      <c r="X58" s="452"/>
    </row>
    <row r="59" spans="1:104" ht="30.75" thickBot="1">
      <c r="J59" s="30"/>
      <c r="K59" s="30"/>
      <c r="L59" s="30"/>
      <c r="M59" s="30"/>
      <c r="N59" s="30"/>
      <c r="O59" s="30"/>
      <c r="P59" s="30"/>
      <c r="Q59" s="30"/>
      <c r="R59" s="1718"/>
      <c r="S59" s="1718"/>
      <c r="T59" s="1718"/>
      <c r="U59" s="1718"/>
      <c r="V59" s="1718"/>
      <c r="W59" s="1718"/>
      <c r="X59" s="1718"/>
      <c r="Y59" s="30"/>
      <c r="Z59" s="30"/>
      <c r="AA59" s="30"/>
      <c r="AB59" s="30"/>
      <c r="AC59" s="30"/>
      <c r="AD59" s="30"/>
      <c r="AE59" s="30"/>
      <c r="AF59" s="30"/>
    </row>
    <row r="60" spans="1:104" ht="33.950000000000003" customHeight="1" thickTop="1" thickBot="1">
      <c r="D60" s="2239" t="s">
        <v>657</v>
      </c>
      <c r="E60" s="2240"/>
      <c r="F60" s="2240"/>
      <c r="G60" s="2240"/>
      <c r="H60" s="2240"/>
      <c r="I60" s="2240"/>
      <c r="J60" s="2240"/>
      <c r="K60" s="2240"/>
      <c r="L60" s="2240"/>
      <c r="M60" s="2241"/>
      <c r="N60" s="1459"/>
      <c r="O60" s="30"/>
      <c r="P60" s="2529" t="s">
        <v>604</v>
      </c>
      <c r="Q60" s="2560"/>
      <c r="R60" s="2561"/>
      <c r="S60" s="452"/>
      <c r="T60" s="452"/>
      <c r="U60" s="452"/>
      <c r="V60" s="1718"/>
      <c r="W60" s="1718"/>
      <c r="X60" s="1718"/>
      <c r="Y60" s="30"/>
      <c r="Z60" s="30"/>
      <c r="AA60" s="30"/>
      <c r="AB60" s="30"/>
      <c r="AC60" s="30"/>
      <c r="AD60" s="30"/>
      <c r="AE60" s="30"/>
      <c r="AF60" s="30"/>
    </row>
    <row r="61" spans="1:104" ht="30.95" customHeight="1">
      <c r="D61" s="2562" t="s">
        <v>15</v>
      </c>
      <c r="E61" s="2546"/>
      <c r="F61" s="2546"/>
      <c r="G61" s="2546"/>
      <c r="H61" s="1447" t="s">
        <v>186</v>
      </c>
      <c r="I61" s="1447" t="s">
        <v>670</v>
      </c>
      <c r="J61" s="1447" t="s">
        <v>667</v>
      </c>
      <c r="K61" s="1447" t="s">
        <v>671</v>
      </c>
      <c r="L61" s="1447" t="s">
        <v>672</v>
      </c>
      <c r="M61" s="1450" t="s">
        <v>637</v>
      </c>
      <c r="N61" s="1463"/>
      <c r="O61" s="30"/>
      <c r="P61" s="2534" t="s">
        <v>658</v>
      </c>
      <c r="Q61" s="2563"/>
      <c r="R61" s="1723">
        <v>10000</v>
      </c>
      <c r="S61" s="452"/>
      <c r="T61" s="452"/>
      <c r="U61" s="452"/>
      <c r="V61" s="1718"/>
      <c r="W61" s="1718"/>
      <c r="X61" s="1718"/>
      <c r="Y61" s="30"/>
      <c r="Z61" s="30"/>
      <c r="AA61" s="30"/>
      <c r="AB61" s="30"/>
      <c r="AC61" s="30"/>
      <c r="AD61" s="30"/>
      <c r="AE61" s="30"/>
      <c r="AF61" s="30"/>
    </row>
    <row r="62" spans="1:104" ht="30.95" customHeight="1">
      <c r="D62" s="2521">
        <v>1</v>
      </c>
      <c r="E62" s="2522"/>
      <c r="F62" s="2522"/>
      <c r="G62" s="2522"/>
      <c r="H62" s="1449" t="str">
        <f>+'T1'!E62</f>
        <v xml:space="preserve">ANDRES </v>
      </c>
      <c r="I62" s="1443"/>
      <c r="J62" s="1443"/>
      <c r="K62" s="1443"/>
      <c r="L62" s="1443"/>
      <c r="M62" s="1470">
        <f t="shared" ref="M62:M71" si="35">SUM(I62+J62+K62+L62)</f>
        <v>0</v>
      </c>
      <c r="N62" s="1464"/>
      <c r="P62" s="2525" t="s">
        <v>8</v>
      </c>
      <c r="Q62" s="2555"/>
      <c r="R62" s="1723">
        <f>M73</f>
        <v>0</v>
      </c>
      <c r="S62" s="452"/>
      <c r="T62" s="452"/>
      <c r="U62" s="452"/>
      <c r="V62" s="452"/>
      <c r="W62" s="452"/>
      <c r="X62" s="452"/>
    </row>
    <row r="63" spans="1:104" ht="30.95" customHeight="1">
      <c r="D63" s="2521">
        <v>2</v>
      </c>
      <c r="E63" s="2522"/>
      <c r="F63" s="2522"/>
      <c r="G63" s="2522"/>
      <c r="H63" s="1449" t="str">
        <f>+'T1'!E63</f>
        <v xml:space="preserve">FLOR </v>
      </c>
      <c r="I63" s="1444"/>
      <c r="J63" s="1444"/>
      <c r="K63" s="1444"/>
      <c r="L63" s="1444"/>
      <c r="M63" s="1470">
        <f t="shared" si="35"/>
        <v>0</v>
      </c>
      <c r="N63" s="1464"/>
      <c r="P63" s="2525" t="s">
        <v>659</v>
      </c>
      <c r="Q63" s="2525"/>
      <c r="R63" s="1448">
        <f>R61-R62</f>
        <v>10000</v>
      </c>
    </row>
    <row r="64" spans="1:104" ht="30.95" customHeight="1">
      <c r="D64" s="2521">
        <v>3</v>
      </c>
      <c r="E64" s="2522"/>
      <c r="F64" s="2522"/>
      <c r="G64" s="2522"/>
      <c r="H64" s="1449" t="str">
        <f>+'T1'!E64</f>
        <v>HANNOY</v>
      </c>
      <c r="I64" s="1443"/>
      <c r="J64" s="1443"/>
      <c r="K64" s="1443"/>
      <c r="L64" s="1443"/>
      <c r="M64" s="1470">
        <f t="shared" si="35"/>
        <v>0</v>
      </c>
      <c r="N64" s="1464"/>
      <c r="P64" s="2525" t="s">
        <v>449</v>
      </c>
      <c r="Q64" s="2525"/>
      <c r="R64" s="1446" t="str">
        <f>IF(R63&lt;0,"SOBRA",IF(R63&gt;0,"FALTA","OK"))</f>
        <v>FALTA</v>
      </c>
    </row>
    <row r="65" spans="4:18" ht="30.95" customHeight="1">
      <c r="D65" s="2521">
        <v>4</v>
      </c>
      <c r="E65" s="2522"/>
      <c r="F65" s="2522"/>
      <c r="G65" s="2522"/>
      <c r="H65" s="1449" t="str">
        <f>+'T1'!E65</f>
        <v>CHERLITA</v>
      </c>
      <c r="I65" s="1443"/>
      <c r="J65" s="1443"/>
      <c r="K65" s="1443"/>
      <c r="L65" s="1443"/>
      <c r="M65" s="1470">
        <f t="shared" si="35"/>
        <v>0</v>
      </c>
      <c r="N65" s="1464"/>
      <c r="P65" s="28"/>
      <c r="Q65" s="28"/>
      <c r="R65" s="28"/>
    </row>
    <row r="66" spans="4:18" ht="33.950000000000003" customHeight="1">
      <c r="D66" s="2521">
        <v>5</v>
      </c>
      <c r="E66" s="2522"/>
      <c r="F66" s="2522"/>
      <c r="G66" s="2522"/>
      <c r="H66" s="1449" t="str">
        <f>+'T1'!E66</f>
        <v>CHARLY</v>
      </c>
      <c r="I66" s="1443"/>
      <c r="J66" s="1443"/>
      <c r="K66" s="1443"/>
      <c r="L66" s="1443"/>
      <c r="M66" s="1470">
        <f t="shared" si="35"/>
        <v>0</v>
      </c>
      <c r="N66" s="1464"/>
      <c r="P66" s="2249" t="s">
        <v>660</v>
      </c>
      <c r="Q66" s="2250"/>
      <c r="R66" s="2250"/>
    </row>
    <row r="67" spans="4:18" ht="33.950000000000003" customHeight="1">
      <c r="D67" s="2521">
        <v>6</v>
      </c>
      <c r="E67" s="2522"/>
      <c r="F67" s="2522"/>
      <c r="G67" s="2522"/>
      <c r="H67" s="1449" t="str">
        <f>+'T1'!E67</f>
        <v>POLANCO</v>
      </c>
      <c r="I67" s="1443"/>
      <c r="J67" s="1443"/>
      <c r="K67" s="1443"/>
      <c r="L67" s="1443"/>
      <c r="M67" s="1470">
        <f t="shared" si="35"/>
        <v>0</v>
      </c>
      <c r="N67" s="1464"/>
      <c r="P67" s="2250" t="s">
        <v>662</v>
      </c>
      <c r="Q67" s="2250"/>
      <c r="R67" s="2250"/>
    </row>
    <row r="68" spans="4:18" ht="33.950000000000003" customHeight="1">
      <c r="D68" s="2521">
        <v>7</v>
      </c>
      <c r="E68" s="2522"/>
      <c r="F68" s="2522"/>
      <c r="G68" s="2522"/>
      <c r="H68" s="1449" t="str">
        <f>+'T1'!E68</f>
        <v>ELIANA</v>
      </c>
      <c r="I68" s="1443"/>
      <c r="J68" s="1443"/>
      <c r="K68" s="1443"/>
      <c r="L68" s="1443"/>
      <c r="M68" s="1470">
        <f t="shared" si="35"/>
        <v>0</v>
      </c>
      <c r="N68" s="1464"/>
      <c r="O68" s="1461"/>
    </row>
    <row r="69" spans="4:18" ht="33.950000000000003" customHeight="1">
      <c r="D69" s="2521">
        <v>8</v>
      </c>
      <c r="E69" s="2522"/>
      <c r="F69" s="2522"/>
      <c r="G69" s="2522"/>
      <c r="H69" s="1449" t="str">
        <f>+'T1'!E69</f>
        <v>ALENET</v>
      </c>
      <c r="I69" s="1443"/>
      <c r="J69" s="1443"/>
      <c r="K69" s="1443"/>
      <c r="L69" s="1443"/>
      <c r="M69" s="1470">
        <f t="shared" si="35"/>
        <v>0</v>
      </c>
      <c r="N69" s="1464"/>
      <c r="O69" s="1461"/>
    </row>
    <row r="70" spans="4:18" ht="33.950000000000003" customHeight="1">
      <c r="D70" s="2521">
        <v>9</v>
      </c>
      <c r="E70" s="2522"/>
      <c r="F70" s="2522"/>
      <c r="G70" s="2522"/>
      <c r="H70" s="1449" t="str">
        <f>+'T1'!E70</f>
        <v>ERIKA</v>
      </c>
      <c r="I70" s="1443"/>
      <c r="J70" s="1443"/>
      <c r="K70" s="1443"/>
      <c r="L70" s="1443"/>
      <c r="M70" s="1470">
        <f t="shared" si="35"/>
        <v>0</v>
      </c>
      <c r="N70" s="1464"/>
      <c r="O70" s="1461"/>
    </row>
    <row r="71" spans="4:18" ht="30.95" customHeight="1">
      <c r="D71" s="2521">
        <v>10</v>
      </c>
      <c r="E71" s="2522"/>
      <c r="F71" s="2522"/>
      <c r="G71" s="2522"/>
      <c r="H71" s="1449" t="str">
        <f>+'T1'!E71</f>
        <v>MARILU</v>
      </c>
      <c r="I71" s="1443"/>
      <c r="J71" s="1443"/>
      <c r="K71" s="1443"/>
      <c r="L71" s="1443"/>
      <c r="M71" s="1470">
        <f t="shared" si="35"/>
        <v>0</v>
      </c>
      <c r="N71" s="1464"/>
    </row>
    <row r="72" spans="4:18" ht="30.95" customHeight="1">
      <c r="D72" s="2521">
        <v>11</v>
      </c>
      <c r="E72" s="2522"/>
      <c r="F72" s="2522"/>
      <c r="G72" s="2522"/>
      <c r="H72" s="1449">
        <f>+'T1'!E73</f>
        <v>0</v>
      </c>
      <c r="I72" s="1443"/>
      <c r="J72" s="1443"/>
      <c r="K72" s="1443"/>
      <c r="L72" s="1443"/>
      <c r="M72" s="1468"/>
      <c r="N72" s="1464"/>
    </row>
    <row r="73" spans="4:18" ht="30.95" customHeight="1" thickBot="1">
      <c r="D73" s="2523" t="s">
        <v>3</v>
      </c>
      <c r="E73" s="2524"/>
      <c r="F73" s="2524"/>
      <c r="G73" s="2524"/>
      <c r="H73" s="252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</row>
    <row r="74" spans="4:18">
      <c r="D74"/>
      <c r="E74"/>
      <c r="F74"/>
      <c r="G74"/>
      <c r="H74"/>
      <c r="I74"/>
      <c r="J74"/>
      <c r="K74"/>
      <c r="L74"/>
      <c r="M74"/>
      <c r="N74"/>
    </row>
    <row r="75" spans="4:18">
      <c r="D75"/>
      <c r="E75"/>
      <c r="F75"/>
      <c r="G75"/>
      <c r="H75"/>
      <c r="I75"/>
      <c r="J75"/>
      <c r="K75"/>
      <c r="L75"/>
      <c r="M75"/>
      <c r="N75"/>
    </row>
    <row r="76" spans="4:18">
      <c r="D76"/>
      <c r="E76"/>
      <c r="F76"/>
      <c r="G76"/>
      <c r="H76"/>
      <c r="I76"/>
      <c r="J76"/>
      <c r="K76"/>
      <c r="L76"/>
      <c r="M76"/>
      <c r="N76"/>
    </row>
    <row r="77" spans="4:18">
      <c r="D77"/>
      <c r="E77"/>
      <c r="F77"/>
      <c r="G77"/>
      <c r="H77"/>
      <c r="I77"/>
      <c r="J77"/>
      <c r="K77"/>
      <c r="L77"/>
      <c r="M77"/>
      <c r="N77"/>
    </row>
    <row r="78" spans="4:18" ht="60">
      <c r="E78" s="1207"/>
      <c r="F78" s="1207"/>
      <c r="G78" s="1207"/>
      <c r="H78" s="1207"/>
      <c r="I78" s="1207"/>
      <c r="J78" s="1207"/>
      <c r="K78" s="1207"/>
      <c r="L78" s="1207"/>
      <c r="M78" s="1207"/>
    </row>
    <row r="79" spans="4:18" ht="60">
      <c r="E79" s="1207"/>
      <c r="F79" s="1207"/>
      <c r="G79" s="1207"/>
      <c r="H79" s="1207"/>
      <c r="I79" s="1207"/>
      <c r="J79" s="1207"/>
      <c r="K79" s="1207"/>
      <c r="L79" s="1207"/>
      <c r="M79" s="1207"/>
    </row>
  </sheetData>
  <sheetProtection autoFilter="0"/>
  <mergeCells count="29">
    <mergeCell ref="AC4:BC4"/>
    <mergeCell ref="BF4:BI4"/>
    <mergeCell ref="BF28:BG28"/>
    <mergeCell ref="C2:D2"/>
    <mergeCell ref="E2:AA2"/>
    <mergeCell ref="E4:AA4"/>
    <mergeCell ref="E56:AA56"/>
    <mergeCell ref="A5:A54"/>
    <mergeCell ref="P60:R60"/>
    <mergeCell ref="D61:G61"/>
    <mergeCell ref="P61:Q61"/>
    <mergeCell ref="D60:M60"/>
    <mergeCell ref="D62:G62"/>
    <mergeCell ref="P62:Q62"/>
    <mergeCell ref="D63:G63"/>
    <mergeCell ref="P63:Q63"/>
    <mergeCell ref="D64:G64"/>
    <mergeCell ref="P64:Q64"/>
    <mergeCell ref="D65:G65"/>
    <mergeCell ref="D66:G66"/>
    <mergeCell ref="P66:R66"/>
    <mergeCell ref="D67:G67"/>
    <mergeCell ref="P67:R67"/>
    <mergeCell ref="D71:G71"/>
    <mergeCell ref="D72:G72"/>
    <mergeCell ref="D73:H73"/>
    <mergeCell ref="D68:G68"/>
    <mergeCell ref="D69:G69"/>
    <mergeCell ref="D70:G70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22E6C-F7B4-47BA-8835-E81DF8A99677}">
  <sheetPr codeName="Hoja25">
    <tabColor rgb="FFFF0000"/>
    <pageSetUpPr fitToPage="1"/>
  </sheetPr>
  <dimension ref="A1:CZ79"/>
  <sheetViews>
    <sheetView topLeftCell="B1" zoomScale="70" zoomScaleNormal="70" workbookViewId="0">
      <selection activeCell="K19" sqref="K19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6.7109375" style="26" bestFit="1" customWidth="1"/>
    <col min="4" max="4" width="61.5703125" style="26" bestFit="1" customWidth="1"/>
    <col min="5" max="7" width="7.28515625" style="26" customWidth="1"/>
    <col min="8" max="9" width="15.5703125" style="26" customWidth="1"/>
    <col min="10" max="10" width="13.28515625" style="26" customWidth="1"/>
    <col min="11" max="11" width="15.42578125" style="26" customWidth="1"/>
    <col min="12" max="13" width="15.5703125" style="26" customWidth="1"/>
    <col min="14" max="14" width="13.7109375" style="26" customWidth="1"/>
    <col min="15" max="16" width="8.28515625" style="26" customWidth="1"/>
    <col min="17" max="17" width="10" style="26" customWidth="1"/>
    <col min="18" max="18" width="10.140625" style="26" bestFit="1" customWidth="1"/>
    <col min="19" max="23" width="8.28515625" style="26" customWidth="1"/>
    <col min="24" max="24" width="8.28515625" style="26" bestFit="1" customWidth="1"/>
    <col min="25" max="25" width="20.7109375" style="26" bestFit="1" customWidth="1"/>
    <col min="26" max="26" width="16" style="26" bestFit="1" customWidth="1"/>
    <col min="27" max="27" width="16.42578125" style="26" bestFit="1" customWidth="1"/>
    <col min="28" max="28" width="13.28515625" style="26" customWidth="1"/>
    <col min="29" max="29" width="4.5703125" style="26" bestFit="1" customWidth="1"/>
    <col min="30" max="30" width="63" style="26" customWidth="1"/>
    <col min="31" max="39" width="4.42578125" style="26" hidden="1" customWidth="1"/>
    <col min="40" max="49" width="4.85546875" style="26" hidden="1" customWidth="1"/>
    <col min="50" max="50" width="4.85546875" style="26" bestFit="1" customWidth="1"/>
    <col min="51" max="54" width="24.140625" style="26" customWidth="1"/>
    <col min="55" max="55" width="20.7109375" style="26" customWidth="1"/>
    <col min="56" max="57" width="11.85546875" style="26" customWidth="1"/>
    <col min="58" max="58" width="6.42578125" style="26" customWidth="1"/>
    <col min="59" max="59" width="43.5703125" style="26" customWidth="1"/>
    <col min="60" max="60" width="26.85546875" style="26" customWidth="1"/>
    <col min="61" max="61" width="20.140625" style="26" customWidth="1"/>
    <col min="62" max="100" width="13.85546875" style="26" customWidth="1"/>
    <col min="101" max="101" width="12.140625" style="26" bestFit="1" customWidth="1"/>
    <col min="102" max="104" width="28.28515625" style="26" customWidth="1"/>
    <col min="105" max="16384" width="11.42578125" style="26"/>
  </cols>
  <sheetData>
    <row r="1" spans="1:74" ht="45.75" customHeight="1" thickBot="1">
      <c r="B1" s="37"/>
      <c r="C1" s="37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</row>
    <row r="2" spans="1:74" ht="46.5" thickBot="1">
      <c r="B2" s="38"/>
      <c r="C2" s="2266" t="s">
        <v>41</v>
      </c>
      <c r="D2" s="2267"/>
      <c r="E2" s="2502" t="str">
        <f>+PP!E13</f>
        <v>1055PPF26062026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69"/>
      <c r="Q2" s="2269"/>
      <c r="R2" s="2503"/>
      <c r="S2" s="2503"/>
      <c r="T2" s="2503"/>
      <c r="U2" s="2503"/>
      <c r="V2" s="2503"/>
      <c r="W2" s="2503"/>
      <c r="X2" s="2503"/>
      <c r="Y2" s="2269"/>
      <c r="Z2" s="2269"/>
      <c r="AA2" s="2270"/>
      <c r="AB2" s="62"/>
      <c r="AC2" s="62"/>
      <c r="AD2" s="62"/>
      <c r="AE2" s="62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</row>
    <row r="3" spans="1:74" ht="17.25" thickBot="1">
      <c r="C3" s="28"/>
      <c r="R3" s="452"/>
      <c r="S3" s="452"/>
      <c r="T3" s="452"/>
      <c r="U3" s="452"/>
      <c r="V3" s="452"/>
      <c r="W3" s="452"/>
      <c r="X3" s="452"/>
      <c r="BT3" s="28"/>
      <c r="BU3" s="28"/>
      <c r="BV3" s="28"/>
    </row>
    <row r="4" spans="1:74" ht="30.75" thickBot="1">
      <c r="C4" s="28"/>
      <c r="E4" s="2567" t="s">
        <v>112</v>
      </c>
      <c r="F4" s="2568"/>
      <c r="G4" s="2568"/>
      <c r="H4" s="2568"/>
      <c r="I4" s="2568"/>
      <c r="J4" s="2568"/>
      <c r="K4" s="2568"/>
      <c r="L4" s="2568"/>
      <c r="M4" s="2568"/>
      <c r="N4" s="2568"/>
      <c r="O4" s="2568"/>
      <c r="P4" s="2568"/>
      <c r="Q4" s="2568"/>
      <c r="R4" s="2568"/>
      <c r="S4" s="2568"/>
      <c r="T4" s="2568"/>
      <c r="U4" s="2568"/>
      <c r="V4" s="2568"/>
      <c r="W4" s="2568"/>
      <c r="X4" s="2568"/>
      <c r="Y4" s="2568"/>
      <c r="Z4" s="2568"/>
      <c r="AA4" s="2569"/>
      <c r="AC4" s="2564" t="s">
        <v>611</v>
      </c>
      <c r="AD4" s="2565"/>
      <c r="AE4" s="2565"/>
      <c r="AF4" s="2565"/>
      <c r="AG4" s="2565"/>
      <c r="AH4" s="2565"/>
      <c r="AI4" s="2565"/>
      <c r="AJ4" s="2565"/>
      <c r="AK4" s="2565"/>
      <c r="AL4" s="2565"/>
      <c r="AM4" s="2565"/>
      <c r="AN4" s="2565"/>
      <c r="AO4" s="2565"/>
      <c r="AP4" s="2565"/>
      <c r="AQ4" s="2565"/>
      <c r="AR4" s="2565"/>
      <c r="AS4" s="2565"/>
      <c r="AT4" s="2565"/>
      <c r="AU4" s="2565"/>
      <c r="AV4" s="2565"/>
      <c r="AW4" s="2565"/>
      <c r="AX4" s="2565"/>
      <c r="AY4" s="2565"/>
      <c r="AZ4" s="2565"/>
      <c r="BA4" s="2565"/>
      <c r="BB4" s="2565"/>
      <c r="BC4" s="2566"/>
      <c r="BD4" s="542"/>
      <c r="BE4" s="542"/>
      <c r="BF4" s="2552" t="s">
        <v>511</v>
      </c>
      <c r="BG4" s="2553"/>
      <c r="BH4" s="2553"/>
      <c r="BI4" s="2554"/>
      <c r="BT4" s="28"/>
      <c r="BU4" s="28"/>
      <c r="BV4" s="28"/>
    </row>
    <row r="5" spans="1:74" ht="49.5" customHeight="1" thickBot="1">
      <c r="A5" s="2257"/>
      <c r="C5" s="1315" t="s">
        <v>15</v>
      </c>
      <c r="D5" s="1316" t="s">
        <v>6</v>
      </c>
      <c r="E5" s="1363" t="s">
        <v>316</v>
      </c>
      <c r="F5" s="1363" t="s">
        <v>317</v>
      </c>
      <c r="G5" s="1363" t="s">
        <v>318</v>
      </c>
      <c r="H5" s="1363" t="s">
        <v>319</v>
      </c>
      <c r="I5" s="1363" t="s">
        <v>320</v>
      </c>
      <c r="J5" s="1363" t="s">
        <v>321</v>
      </c>
      <c r="K5" s="1363" t="s">
        <v>322</v>
      </c>
      <c r="L5" s="1363" t="s">
        <v>323</v>
      </c>
      <c r="M5" s="1363" t="s">
        <v>324</v>
      </c>
      <c r="N5" s="1363" t="s">
        <v>325</v>
      </c>
      <c r="O5" s="1363" t="s">
        <v>326</v>
      </c>
      <c r="P5" s="1363" t="s">
        <v>327</v>
      </c>
      <c r="Q5" s="1364" t="s">
        <v>328</v>
      </c>
      <c r="R5" s="1364" t="s">
        <v>329</v>
      </c>
      <c r="S5" s="1364" t="s">
        <v>330</v>
      </c>
      <c r="T5" s="1364" t="s">
        <v>331</v>
      </c>
      <c r="U5" s="1364" t="s">
        <v>332</v>
      </c>
      <c r="V5" s="1364" t="s">
        <v>333</v>
      </c>
      <c r="W5" s="1364" t="s">
        <v>334</v>
      </c>
      <c r="X5" s="1364" t="s">
        <v>343</v>
      </c>
      <c r="Y5" s="2930" t="s">
        <v>108</v>
      </c>
      <c r="Z5" s="2931" t="s">
        <v>107</v>
      </c>
      <c r="AA5" s="2932" t="s">
        <v>3</v>
      </c>
      <c r="AB5" s="546"/>
      <c r="AC5" s="1335" t="s">
        <v>15</v>
      </c>
      <c r="AD5" s="1336" t="s">
        <v>6</v>
      </c>
      <c r="AE5" s="1336" t="s">
        <v>316</v>
      </c>
      <c r="AF5" s="1336" t="s">
        <v>317</v>
      </c>
      <c r="AG5" s="1336" t="s">
        <v>318</v>
      </c>
      <c r="AH5" s="1336" t="s">
        <v>319</v>
      </c>
      <c r="AI5" s="1336" t="s">
        <v>320</v>
      </c>
      <c r="AJ5" s="1336" t="s">
        <v>321</v>
      </c>
      <c r="AK5" s="1336" t="s">
        <v>322</v>
      </c>
      <c r="AL5" s="1336" t="s">
        <v>323</v>
      </c>
      <c r="AM5" s="1336" t="s">
        <v>324</v>
      </c>
      <c r="AN5" s="1336" t="s">
        <v>325</v>
      </c>
      <c r="AO5" s="1336" t="s">
        <v>326</v>
      </c>
      <c r="AP5" s="1336" t="s">
        <v>327</v>
      </c>
      <c r="AQ5" s="1336" t="s">
        <v>328</v>
      </c>
      <c r="AR5" s="1336" t="s">
        <v>329</v>
      </c>
      <c r="AS5" s="1336" t="s">
        <v>330</v>
      </c>
      <c r="AT5" s="1336" t="s">
        <v>331</v>
      </c>
      <c r="AU5" s="1336" t="s">
        <v>332</v>
      </c>
      <c r="AV5" s="1336" t="s">
        <v>333</v>
      </c>
      <c r="AW5" s="1336" t="s">
        <v>334</v>
      </c>
      <c r="AX5" s="1336" t="s">
        <v>343</v>
      </c>
      <c r="AY5" s="1336" t="s">
        <v>502</v>
      </c>
      <c r="AZ5" s="1336" t="s">
        <v>503</v>
      </c>
      <c r="BA5" s="1336" t="s">
        <v>8</v>
      </c>
      <c r="BB5" s="1336" t="s">
        <v>505</v>
      </c>
      <c r="BC5" s="1337" t="s">
        <v>511</v>
      </c>
      <c r="BD5" s="547"/>
      <c r="BE5" s="547"/>
      <c r="BF5" s="534" t="s">
        <v>15</v>
      </c>
      <c r="BG5" s="535" t="s">
        <v>6</v>
      </c>
      <c r="BH5" s="535" t="s">
        <v>8</v>
      </c>
      <c r="BI5" s="536" t="s">
        <v>513</v>
      </c>
    </row>
    <row r="6" spans="1:74" ht="27" customHeight="1">
      <c r="A6" s="2257"/>
      <c r="C6" s="1313">
        <f>+PP!B24</f>
        <v>1</v>
      </c>
      <c r="D6" s="1305" t="str">
        <f>+PP!C24</f>
        <v>ANILLAS BLANCAS SM ST</v>
      </c>
      <c r="E6" s="1291"/>
      <c r="F6" s="1292"/>
      <c r="G6" s="1292"/>
      <c r="H6" s="1292"/>
      <c r="I6" s="1292"/>
      <c r="J6" s="1292"/>
      <c r="K6" s="1292"/>
      <c r="L6" s="1292"/>
      <c r="M6" s="1292"/>
      <c r="N6" s="1292"/>
      <c r="O6" s="1292"/>
      <c r="P6" s="1292"/>
      <c r="Q6" s="1292"/>
      <c r="R6" s="1732"/>
      <c r="S6" s="1732"/>
      <c r="T6" s="1732"/>
      <c r="U6" s="1732"/>
      <c r="V6" s="1732"/>
      <c r="W6" s="1732"/>
      <c r="X6" s="2089"/>
      <c r="Y6" s="2098">
        <f t="shared" ref="Y6:Y53" si="0">SUM(E6:X6)</f>
        <v>0</v>
      </c>
      <c r="Z6" s="1319">
        <f t="shared" ref="Z6:Z53" si="1">Y6/2</f>
        <v>0</v>
      </c>
      <c r="AA6" s="1320">
        <f t="shared" ref="AA6:AA53" si="2">+Y6*10</f>
        <v>0</v>
      </c>
      <c r="AB6" s="549"/>
      <c r="AC6" s="1338" t="str">
        <f>IFERROR(INDEX($C$6:$C$53,_xlfn.AGGREGATE(15,6,(ROW($C$6:$C$53)-ROW($C$6)+1)/($Y$6:$Y$53&gt;0),ROWS($AC$6:AC6))),"")</f>
        <v/>
      </c>
      <c r="AD6" s="1339" t="str">
        <f t="shared" ref="AD6:AD31" si="3">IF($AC6="","",IFERROR(INDEX($D$6:$D$53,MATCH($AC6,$C$6:$C$53,0)),""))</f>
        <v/>
      </c>
      <c r="AE6" s="1340" t="str">
        <f t="shared" ref="AE6:AE31" si="4">IF($AC6="","",IFERROR(IF(INDEX($E$6:$E$53,MATCH($AC6,$C$6:$C$53,0))&gt;0,INDEX($E$6:$E$53,MATCH($AC6,$C$6:$C$53,0)),""),""))</f>
        <v/>
      </c>
      <c r="AF6" s="1340" t="str">
        <f t="shared" ref="AF6:AF31" si="5">IF($AC6="","",IFERROR(IF(INDEX($F$6:$F$53,MATCH($AC6,$C$6:$C$53,0))&gt;0,INDEX($F$6:$F$53,MATCH($AC6,$C$6:$C$53,0)),""),""))</f>
        <v/>
      </c>
      <c r="AG6" s="1340" t="str">
        <f t="shared" ref="AG6:AG31" si="6">IF($AC6="","",IFERROR(IF(INDEX($G$6:$G$53,MATCH($AC6,$C$6:$C$53,0))&gt;0,INDEX($G$6:$G$53,MATCH($AC6,$C$6:$C$53,0)),""),""))</f>
        <v/>
      </c>
      <c r="AH6" s="1340" t="str">
        <f t="shared" ref="AH6:AH31" si="7">IF($AC6="","",IFERROR(IF(INDEX($H$6:$H$53,MATCH($AC6,$C$6:$C$53,0))&gt;0,INDEX($H$6:$H$53,MATCH($AC6,$C$6:$C$53,0)),""),""))</f>
        <v/>
      </c>
      <c r="AI6" s="1340" t="str">
        <f t="shared" ref="AI6:AI31" si="8">IF($AC6="","",IFERROR(IF(INDEX($I$6:$I$53,MATCH($AC6,$C$6:$C$53,0))&gt;0,INDEX($I$6:$I$53,MATCH($AC6,$C$6:$C$53,0)),""),""))</f>
        <v/>
      </c>
      <c r="AJ6" s="1340" t="str">
        <f t="shared" ref="AJ6:AJ31" si="9">IF($AC6="","",IFERROR(IF(INDEX($J$6:$J$53,MATCH($AC6,$C$6:$C$53,0))&gt;0,INDEX($J$6:$J$53,MATCH($AC6,$C$6:$C$53,0)),""),""))</f>
        <v/>
      </c>
      <c r="AK6" s="1340" t="str">
        <f t="shared" ref="AK6:AK31" si="10">IF($AC6="","",IFERROR(IF(INDEX($K$6:$K$53,MATCH($AC6,$C$6:$C$53,0))&gt;0,INDEX($K$6:$K$53,MATCH($AC6,$C$6:$C$53,0)),""),""))</f>
        <v/>
      </c>
      <c r="AL6" s="1340" t="str">
        <f t="shared" ref="AL6:AL31" si="11">IF($AC6="","",IFERROR(IF(INDEX($L$6:$L$53,MATCH($AC6,$C$6:$C$53,0))&gt;0,INDEX($L$6:$L$53,MATCH($AC6,$C$6:$C$53,0)),""),""))</f>
        <v/>
      </c>
      <c r="AM6" s="1340" t="str">
        <f t="shared" ref="AM6:AM31" si="12">IF($AC6="","",IFERROR(IF(INDEX($M$6:$M$53,MATCH($AC6,$C$6:$C$53,0))&gt;0,INDEX($M$6:$M$53,MATCH($AC6,$C$6:$C$53,0)),""),""))</f>
        <v/>
      </c>
      <c r="AN6" s="1340" t="str">
        <f t="shared" ref="AN6:AN31" si="13">IF($AC6="","",IFERROR(IF(INDEX($N$6:$N$53,MATCH($AC6,$C$6:$C$53,0))&gt;0,INDEX($N$6:$N$53,MATCH($AC6,$C$6:$C$53,0)),""),""))</f>
        <v/>
      </c>
      <c r="AO6" s="1340" t="str">
        <f t="shared" ref="AO6:AO31" si="14">IF($AC6="","",IFERROR(IF(INDEX($O$6:$O$53,MATCH($AC6,$C$6:$C$53,0))&gt;0,INDEX($O$6:$O$53,MATCH($AC6,$C$6:$C$53,0)),""),""))</f>
        <v/>
      </c>
      <c r="AP6" s="1340" t="str">
        <f t="shared" ref="AP6:AP31" si="15">IF($AC6="","",IFERROR(IF(INDEX($P$6:$P$53,MATCH($AC6,$C$6:$C$53,0))&gt;0,INDEX($P$6:$P$53,MATCH($AC6,$C$6:$C$53,0)),""),""))</f>
        <v/>
      </c>
      <c r="AQ6" s="1340" t="str">
        <f t="shared" ref="AQ6:AQ31" si="16">IF($AC6="","",IFERROR(IF(INDEX($Q$6:$Q$53,MATCH($AC6,$C$6:$C$53,0))&gt;0,INDEX($Q$6:$Q$53,MATCH($AC6,$C$6:$C$53,0)),""),""))</f>
        <v/>
      </c>
      <c r="AR6" s="1340" t="str">
        <f t="shared" ref="AR6:AR31" si="17">IF($AC6="","",IFERROR(IF(INDEX($R$6:$R$53,MATCH($AC6,$C$6:$C$53,0))&gt;0,INDEX($R$6:$R$53,MATCH($AC6,$C$6:$C$53,0)),""),""))</f>
        <v/>
      </c>
      <c r="AS6" s="1340" t="str">
        <f t="shared" ref="AS6:AS31" si="18">IF($AC6="","",IFERROR(IF(INDEX($S$6:$S$53,MATCH($AC6,$C$6:$C$53,0))&gt;0,INDEX($S$6:$S$53,MATCH($AC6,$C$6:$C$53,0)),""),""))</f>
        <v/>
      </c>
      <c r="AT6" s="1340" t="str">
        <f t="shared" ref="AT6:AT31" si="19">IF($AC6="","",IFERROR(IF(INDEX($T$6:$T$53,MATCH($AC6,$C$6:$C$53,0))&gt;0,INDEX($T$6:$T$53,MATCH($AC6,$C$6:$C$53,0)),""),""))</f>
        <v/>
      </c>
      <c r="AU6" s="1366" t="str">
        <f t="shared" ref="AU6:AU31" si="20">IF($AC6="","",IFERROR(IF(INDEX($U$6:$U$53,MATCH($AC6,$C$6:$C$53,0))&gt;0,INDEX($U$6:$U$53,MATCH($AC6,$C$6:$C$53,0)),""),""))</f>
        <v/>
      </c>
      <c r="AV6" s="1340" t="str">
        <f t="shared" ref="AV6:AV31" si="21">IF($AC6="","",IFERROR(IF(INDEX($V$6:$V$53,MATCH($AC6,$C$6:$C$53,0))&gt;0,INDEX($V$6:$V$53,MATCH($AC6,$C$6:$C$53,0)),""),""))</f>
        <v/>
      </c>
      <c r="AW6" s="1340" t="str">
        <f t="shared" ref="AW6:AW31" si="22">IF($AC6="","",IFERROR(IF(INDEX($W$6:$W$53,MATCH($AC6,$C$6:$C$53,0))&gt;0,INDEX($W$6:$W$53,MATCH($AC6,$C$6:$C$53,0)),""),""))</f>
        <v/>
      </c>
      <c r="AX6" s="1340" t="str">
        <f t="shared" ref="AX6:AX31" si="23">IF($AC6="","",IFERROR(IF(INDEX($X$6:$X$53,MATCH($AC6,$C$6:$C$53,0))&gt;0,INDEX($X$6:$X$53,MATCH($AC6,$C$6:$C$53,0)),""),""))</f>
        <v/>
      </c>
      <c r="AY6" s="1340" t="str">
        <f t="shared" ref="AY6:AY31" si="24">IF($AC6="","",SUM($AE6:$AX6))</f>
        <v/>
      </c>
      <c r="AZ6" s="1340" t="str">
        <f t="shared" ref="AZ6:AZ31" si="25">IF($AC6="","",$AY6/2)</f>
        <v/>
      </c>
      <c r="BA6" s="1340" t="str">
        <f t="shared" ref="BA6:BA31" si="26">IF($AC6="","",$AY6*10)</f>
        <v/>
      </c>
      <c r="BB6" s="1340" t="str">
        <f t="shared" ref="BB6:BB31" si="27">IF($AC6="","",IF(MAX($AE6:$AX6)&gt;50,"REVISIÓN: EXCEDE 50","OK"))</f>
        <v/>
      </c>
      <c r="BC6" s="1341" t="str">
        <f t="shared" ref="BC6:BC31" si="28">IF($AC6="","",IF(MOD($BA6,20)=10,"SÍ","NO"))</f>
        <v/>
      </c>
      <c r="BD6" s="550"/>
      <c r="BE6" s="550"/>
      <c r="BF6" s="499" t="str">
        <f>IFERROR(INDEX($AC$6:$AC$31,_xlfn.AGGREGATE(15,6,(ROW($AC$6:$AC$31)-ROW($AC$6)+1)/($BC$6:$BC$31="SÍ"),ROWS($BF$6:BF6))),"")</f>
        <v/>
      </c>
      <c r="BG6" s="500" t="str">
        <f t="shared" ref="BG6:BG27" si="29">IF($BF6="","",IFERROR(INDEX($AD$6:$AD$31,MATCH($BF6,$AC$6:$AC$31,0)),""))</f>
        <v/>
      </c>
      <c r="BH6" s="458" t="str">
        <f t="shared" ref="BH6:BH27" si="30">IF($BF6="","",IFERROR(INDEX($BA$6:$BA$31,MATCH($BF6,$AC$6:$AC$31,0)),""))</f>
        <v/>
      </c>
      <c r="BI6" s="501" t="str">
        <f t="shared" ref="BI6:BI27" si="31">IF($BF6="","","10 KG")</f>
        <v/>
      </c>
    </row>
    <row r="7" spans="1:74" ht="31.5" customHeight="1">
      <c r="A7" s="2257"/>
      <c r="C7" s="1314">
        <f>+PP!B25</f>
        <v>2</v>
      </c>
      <c r="D7" s="1306" t="str">
        <f>+PP!C25</f>
        <v>ANILLAS AMARILLAS SM ST</v>
      </c>
      <c r="E7" s="1293"/>
      <c r="F7" s="1294"/>
      <c r="G7" s="1294"/>
      <c r="H7" s="1294"/>
      <c r="I7" s="1294"/>
      <c r="J7" s="1294"/>
      <c r="K7" s="1294"/>
      <c r="L7" s="1294"/>
      <c r="M7" s="1294"/>
      <c r="N7" s="1294"/>
      <c r="O7" s="1294"/>
      <c r="P7" s="1294"/>
      <c r="Q7" s="1294"/>
      <c r="R7" s="1731"/>
      <c r="S7" s="1731"/>
      <c r="T7" s="1731"/>
      <c r="U7" s="1731"/>
      <c r="V7" s="1731"/>
      <c r="W7" s="1731"/>
      <c r="X7" s="2090"/>
      <c r="Y7" s="2099">
        <f t="shared" si="0"/>
        <v>0</v>
      </c>
      <c r="Z7" s="1321">
        <f t="shared" si="1"/>
        <v>0</v>
      </c>
      <c r="AA7" s="1322">
        <f t="shared" si="2"/>
        <v>0</v>
      </c>
      <c r="AB7" s="549"/>
      <c r="AC7" s="1342" t="str">
        <f>IFERROR(INDEX($C$6:$C$53,_xlfn.AGGREGATE(15,6,(ROW($C$6:$C$53)-ROW($C$6)+1)/($Y$6:$Y$53&gt;0),ROWS($AC$6:AC7))),"")</f>
        <v/>
      </c>
      <c r="AD7" s="1343" t="str">
        <f t="shared" si="3"/>
        <v/>
      </c>
      <c r="AE7" s="1344" t="str">
        <f t="shared" si="4"/>
        <v/>
      </c>
      <c r="AF7" s="1344" t="str">
        <f t="shared" si="5"/>
        <v/>
      </c>
      <c r="AG7" s="1344" t="str">
        <f t="shared" si="6"/>
        <v/>
      </c>
      <c r="AH7" s="1344" t="str">
        <f t="shared" si="7"/>
        <v/>
      </c>
      <c r="AI7" s="1344" t="str">
        <f t="shared" si="8"/>
        <v/>
      </c>
      <c r="AJ7" s="1344" t="str">
        <f t="shared" si="9"/>
        <v/>
      </c>
      <c r="AK7" s="1344" t="str">
        <f t="shared" si="10"/>
        <v/>
      </c>
      <c r="AL7" s="1344" t="str">
        <f t="shared" si="11"/>
        <v/>
      </c>
      <c r="AM7" s="1344" t="str">
        <f t="shared" si="12"/>
        <v/>
      </c>
      <c r="AN7" s="1344" t="str">
        <f t="shared" si="13"/>
        <v/>
      </c>
      <c r="AO7" s="1344" t="str">
        <f t="shared" si="14"/>
        <v/>
      </c>
      <c r="AP7" s="1344" t="str">
        <f t="shared" si="15"/>
        <v/>
      </c>
      <c r="AQ7" s="1344" t="str">
        <f t="shared" si="16"/>
        <v/>
      </c>
      <c r="AR7" s="1344" t="str">
        <f t="shared" si="17"/>
        <v/>
      </c>
      <c r="AS7" s="1344" t="str">
        <f t="shared" si="18"/>
        <v/>
      </c>
      <c r="AT7" s="1344" t="str">
        <f t="shared" si="19"/>
        <v/>
      </c>
      <c r="AU7" s="1365" t="str">
        <f t="shared" si="20"/>
        <v/>
      </c>
      <c r="AV7" s="1344" t="str">
        <f t="shared" si="21"/>
        <v/>
      </c>
      <c r="AW7" s="1344" t="str">
        <f t="shared" si="22"/>
        <v/>
      </c>
      <c r="AX7" s="1344" t="str">
        <f t="shared" si="23"/>
        <v/>
      </c>
      <c r="AY7" s="1344" t="str">
        <f t="shared" si="24"/>
        <v/>
      </c>
      <c r="AZ7" s="1344" t="str">
        <f t="shared" si="25"/>
        <v/>
      </c>
      <c r="BA7" s="1344" t="str">
        <f t="shared" si="26"/>
        <v/>
      </c>
      <c r="BB7" s="1344" t="str">
        <f t="shared" si="27"/>
        <v/>
      </c>
      <c r="BC7" s="1345" t="str">
        <f t="shared" si="28"/>
        <v/>
      </c>
      <c r="BD7" s="553"/>
      <c r="BE7" s="553"/>
      <c r="BF7" s="499" t="str">
        <f>IFERROR(INDEX($AC$6:$AC$31,_xlfn.AGGREGATE(15,6,(ROW($AC$6:$AC$31)-ROW($AC$6)+1)/($BC$6:$BC$31="SÍ"),ROWS($BF$6:BF7))),"")</f>
        <v/>
      </c>
      <c r="BG7" s="500" t="str">
        <f t="shared" si="29"/>
        <v/>
      </c>
      <c r="BH7" s="458" t="str">
        <f t="shared" si="30"/>
        <v/>
      </c>
      <c r="BI7" s="501" t="str">
        <f t="shared" si="31"/>
        <v/>
      </c>
    </row>
    <row r="8" spans="1:74" ht="32.25" customHeight="1" thickBot="1">
      <c r="A8" s="2257"/>
      <c r="C8" s="2934">
        <f>+PP!B26</f>
        <v>3</v>
      </c>
      <c r="D8" s="1307" t="str">
        <f>+PP!C26</f>
        <v>ANILLAS BLANCAS SM ST MEDIANA</v>
      </c>
      <c r="E8" s="1295"/>
      <c r="F8" s="1296"/>
      <c r="G8" s="1296"/>
      <c r="H8" s="1296"/>
      <c r="I8" s="1296"/>
      <c r="J8" s="1296"/>
      <c r="K8" s="1296"/>
      <c r="L8" s="1296"/>
      <c r="M8" s="1296"/>
      <c r="N8" s="1296"/>
      <c r="O8" s="1296"/>
      <c r="P8" s="1296"/>
      <c r="Q8" s="1296"/>
      <c r="R8" s="2935"/>
      <c r="S8" s="2935"/>
      <c r="T8" s="2935"/>
      <c r="U8" s="2935"/>
      <c r="V8" s="2935"/>
      <c r="W8" s="2935"/>
      <c r="X8" s="2936"/>
      <c r="Y8" s="2100">
        <f t="shared" si="0"/>
        <v>0</v>
      </c>
      <c r="Z8" s="1324">
        <f t="shared" si="1"/>
        <v>0</v>
      </c>
      <c r="AA8" s="1323">
        <f t="shared" si="2"/>
        <v>0</v>
      </c>
      <c r="AB8" s="549"/>
      <c r="AC8" s="1342" t="str">
        <f>IFERROR(INDEX($C$6:$C$53,_xlfn.AGGREGATE(15,6,(ROW($C$6:$C$53)-ROW($C$6)+1)/($Y$6:$Y$53&gt;0),ROWS($AC$6:AC8))),"")</f>
        <v/>
      </c>
      <c r="AD8" s="1343" t="str">
        <f t="shared" si="3"/>
        <v/>
      </c>
      <c r="AE8" s="1344" t="str">
        <f t="shared" si="4"/>
        <v/>
      </c>
      <c r="AF8" s="1344" t="str">
        <f t="shared" si="5"/>
        <v/>
      </c>
      <c r="AG8" s="1344" t="str">
        <f t="shared" si="6"/>
        <v/>
      </c>
      <c r="AH8" s="1344" t="str">
        <f t="shared" si="7"/>
        <v/>
      </c>
      <c r="AI8" s="1344" t="str">
        <f t="shared" si="8"/>
        <v/>
      </c>
      <c r="AJ8" s="1344" t="str">
        <f t="shared" si="9"/>
        <v/>
      </c>
      <c r="AK8" s="1344" t="str">
        <f t="shared" si="10"/>
        <v/>
      </c>
      <c r="AL8" s="1344" t="str">
        <f t="shared" si="11"/>
        <v/>
      </c>
      <c r="AM8" s="1344" t="str">
        <f t="shared" si="12"/>
        <v/>
      </c>
      <c r="AN8" s="1344" t="str">
        <f t="shared" si="13"/>
        <v/>
      </c>
      <c r="AO8" s="1365" t="str">
        <f t="shared" si="14"/>
        <v/>
      </c>
      <c r="AP8" s="1344" t="str">
        <f t="shared" si="15"/>
        <v/>
      </c>
      <c r="AQ8" s="1344" t="str">
        <f t="shared" si="16"/>
        <v/>
      </c>
      <c r="AR8" s="1344" t="str">
        <f t="shared" si="17"/>
        <v/>
      </c>
      <c r="AS8" s="1344" t="str">
        <f t="shared" si="18"/>
        <v/>
      </c>
      <c r="AT8" s="1344" t="str">
        <f t="shared" si="19"/>
        <v/>
      </c>
      <c r="AU8" s="1365" t="str">
        <f t="shared" si="20"/>
        <v/>
      </c>
      <c r="AV8" s="1344" t="str">
        <f t="shared" si="21"/>
        <v/>
      </c>
      <c r="AW8" s="1344" t="str">
        <f t="shared" si="22"/>
        <v/>
      </c>
      <c r="AX8" s="1344" t="str">
        <f t="shared" si="23"/>
        <v/>
      </c>
      <c r="AY8" s="1344" t="str">
        <f t="shared" si="24"/>
        <v/>
      </c>
      <c r="AZ8" s="1344" t="str">
        <f t="shared" si="25"/>
        <v/>
      </c>
      <c r="BA8" s="1344" t="str">
        <f t="shared" si="26"/>
        <v/>
      </c>
      <c r="BB8" s="1344" t="str">
        <f t="shared" si="27"/>
        <v/>
      </c>
      <c r="BC8" s="1345" t="str">
        <f t="shared" si="28"/>
        <v/>
      </c>
      <c r="BD8" s="553"/>
      <c r="BE8" s="553"/>
      <c r="BF8" s="499" t="str">
        <f>IFERROR(INDEX($AC$6:$AC$31,_xlfn.AGGREGATE(15,6,(ROW($AC$6:$AC$31)-ROW($AC$6)+1)/($BC$6:$BC$31="SÍ"),ROWS($BF$6:BF8))),"")</f>
        <v/>
      </c>
      <c r="BG8" s="500" t="str">
        <f t="shared" si="29"/>
        <v/>
      </c>
      <c r="BH8" s="458" t="str">
        <f t="shared" si="30"/>
        <v/>
      </c>
      <c r="BI8" s="501" t="str">
        <f t="shared" si="31"/>
        <v/>
      </c>
    </row>
    <row r="9" spans="1:74" ht="30.75" customHeight="1">
      <c r="A9" s="2257"/>
      <c r="C9" s="1313">
        <f>+PP!B27</f>
        <v>4</v>
      </c>
      <c r="D9" s="1305" t="str">
        <f>+PP!C27</f>
        <v>ALETA FRESCA CORTE CRUZ</v>
      </c>
      <c r="E9" s="1291"/>
      <c r="F9" s="1292"/>
      <c r="G9" s="1292"/>
      <c r="H9" s="1292"/>
      <c r="I9" s="1292"/>
      <c r="J9" s="1292"/>
      <c r="K9" s="1292"/>
      <c r="L9" s="1292"/>
      <c r="M9" s="1292"/>
      <c r="N9" s="1292"/>
      <c r="O9" s="1292"/>
      <c r="P9" s="1292"/>
      <c r="Q9" s="1292"/>
      <c r="R9" s="1732"/>
      <c r="S9" s="1732"/>
      <c r="T9" s="1732"/>
      <c r="U9" s="1732"/>
      <c r="V9" s="1732"/>
      <c r="W9" s="1732"/>
      <c r="X9" s="2089"/>
      <c r="Y9" s="2098">
        <f t="shared" si="0"/>
        <v>0</v>
      </c>
      <c r="Z9" s="1319">
        <f t="shared" si="1"/>
        <v>0</v>
      </c>
      <c r="AA9" s="1320">
        <f t="shared" si="2"/>
        <v>0</v>
      </c>
      <c r="AB9" s="549"/>
      <c r="AC9" s="1342" t="str">
        <f>IFERROR(INDEX($C$6:$C$53,_xlfn.AGGREGATE(15,6,(ROW($C$6:$C$53)-ROW($C$6)+1)/($Y$6:$Y$53&gt;0),ROWS($AC$6:AC9))),"")</f>
        <v/>
      </c>
      <c r="AD9" s="1343" t="str">
        <f t="shared" si="3"/>
        <v/>
      </c>
      <c r="AE9" s="1344" t="str">
        <f t="shared" si="4"/>
        <v/>
      </c>
      <c r="AF9" s="1344" t="str">
        <f t="shared" si="5"/>
        <v/>
      </c>
      <c r="AG9" s="1344" t="str">
        <f t="shared" si="6"/>
        <v/>
      </c>
      <c r="AH9" s="1344" t="str">
        <f t="shared" si="7"/>
        <v/>
      </c>
      <c r="AI9" s="1344" t="str">
        <f t="shared" si="8"/>
        <v/>
      </c>
      <c r="AJ9" s="1344" t="str">
        <f t="shared" si="9"/>
        <v/>
      </c>
      <c r="AK9" s="1344" t="str">
        <f t="shared" si="10"/>
        <v/>
      </c>
      <c r="AL9" s="1344" t="str">
        <f t="shared" si="11"/>
        <v/>
      </c>
      <c r="AM9" s="1344" t="str">
        <f t="shared" si="12"/>
        <v/>
      </c>
      <c r="AN9" s="1344" t="str">
        <f t="shared" si="13"/>
        <v/>
      </c>
      <c r="AO9" s="1344" t="str">
        <f t="shared" si="14"/>
        <v/>
      </c>
      <c r="AP9" s="1344" t="str">
        <f t="shared" si="15"/>
        <v/>
      </c>
      <c r="AQ9" s="1365" t="str">
        <f t="shared" si="16"/>
        <v/>
      </c>
      <c r="AR9" s="1344" t="str">
        <f t="shared" si="17"/>
        <v/>
      </c>
      <c r="AS9" s="1344" t="str">
        <f t="shared" si="18"/>
        <v/>
      </c>
      <c r="AT9" s="1344" t="str">
        <f t="shared" si="19"/>
        <v/>
      </c>
      <c r="AU9" s="1344" t="str">
        <f t="shared" si="20"/>
        <v/>
      </c>
      <c r="AV9" s="1344" t="str">
        <f t="shared" si="21"/>
        <v/>
      </c>
      <c r="AW9" s="1344" t="str">
        <f t="shared" si="22"/>
        <v/>
      </c>
      <c r="AX9" s="1344" t="str">
        <f t="shared" si="23"/>
        <v/>
      </c>
      <c r="AY9" s="1344" t="str">
        <f t="shared" si="24"/>
        <v/>
      </c>
      <c r="AZ9" s="1344" t="str">
        <f t="shared" si="25"/>
        <v/>
      </c>
      <c r="BA9" s="1344" t="str">
        <f t="shared" si="26"/>
        <v/>
      </c>
      <c r="BB9" s="1344" t="str">
        <f t="shared" si="27"/>
        <v/>
      </c>
      <c r="BC9" s="1345" t="str">
        <f t="shared" si="28"/>
        <v/>
      </c>
      <c r="BD9" s="553"/>
      <c r="BE9" s="553"/>
      <c r="BF9" s="499" t="str">
        <f>IFERROR(INDEX($AC$6:$AC$31,_xlfn.AGGREGATE(15,6,(ROW($AC$6:$AC$31)-ROW($AC$6)+1)/($BC$6:$BC$31="SÍ"),ROWS($BF$6:BF9))),"")</f>
        <v/>
      </c>
      <c r="BG9" s="500" t="str">
        <f t="shared" si="29"/>
        <v/>
      </c>
      <c r="BH9" s="458" t="str">
        <f t="shared" si="30"/>
        <v/>
      </c>
      <c r="BI9" s="501" t="str">
        <f t="shared" si="31"/>
        <v/>
      </c>
    </row>
    <row r="10" spans="1:74" ht="33" customHeight="1">
      <c r="A10" s="2257"/>
      <c r="C10" s="1314">
        <f>+PP!B28</f>
        <v>5</v>
      </c>
      <c r="D10" s="1306" t="str">
        <f>+PP!C28</f>
        <v>ALETA ENTERA 100-500 g/pza</v>
      </c>
      <c r="E10" s="1293"/>
      <c r="F10" s="1294"/>
      <c r="G10" s="1294"/>
      <c r="H10" s="1294"/>
      <c r="I10" s="1294"/>
      <c r="J10" s="1294"/>
      <c r="K10" s="1294"/>
      <c r="L10" s="1294"/>
      <c r="M10" s="1294"/>
      <c r="N10" s="1294"/>
      <c r="O10" s="1294"/>
      <c r="P10" s="1294"/>
      <c r="Q10" s="1294"/>
      <c r="R10" s="1731"/>
      <c r="S10" s="1731"/>
      <c r="T10" s="1731"/>
      <c r="U10" s="1731"/>
      <c r="V10" s="1731"/>
      <c r="W10" s="1731"/>
      <c r="X10" s="2090"/>
      <c r="Y10" s="2099">
        <f t="shared" si="0"/>
        <v>0</v>
      </c>
      <c r="Z10" s="1321">
        <f t="shared" si="1"/>
        <v>0</v>
      </c>
      <c r="AA10" s="1322">
        <f t="shared" si="2"/>
        <v>0</v>
      </c>
      <c r="AB10" s="549"/>
      <c r="AC10" s="1342" t="str">
        <f>IFERROR(INDEX($C$6:$C$53,_xlfn.AGGREGATE(15,6,(ROW($C$6:$C$53)-ROW($C$6)+1)/($Y$6:$Y$53&gt;0),ROWS($AC$6:AC10))),"")</f>
        <v/>
      </c>
      <c r="AD10" s="1343" t="str">
        <f t="shared" si="3"/>
        <v/>
      </c>
      <c r="AE10" s="1344" t="str">
        <f t="shared" si="4"/>
        <v/>
      </c>
      <c r="AF10" s="1344" t="str">
        <f t="shared" si="5"/>
        <v/>
      </c>
      <c r="AG10" s="1344" t="str">
        <f t="shared" si="6"/>
        <v/>
      </c>
      <c r="AH10" s="1344" t="str">
        <f t="shared" si="7"/>
        <v/>
      </c>
      <c r="AI10" s="1344" t="str">
        <f t="shared" si="8"/>
        <v/>
      </c>
      <c r="AJ10" s="1365" t="str">
        <f t="shared" si="9"/>
        <v/>
      </c>
      <c r="AK10" s="1365" t="str">
        <f t="shared" si="10"/>
        <v/>
      </c>
      <c r="AL10" s="1344" t="str">
        <f t="shared" si="11"/>
        <v/>
      </c>
      <c r="AM10" s="1365" t="str">
        <f t="shared" si="12"/>
        <v/>
      </c>
      <c r="AN10" s="1365" t="str">
        <f t="shared" si="13"/>
        <v/>
      </c>
      <c r="AO10" s="1365" t="str">
        <f t="shared" si="14"/>
        <v/>
      </c>
      <c r="AP10" s="1344" t="str">
        <f t="shared" si="15"/>
        <v/>
      </c>
      <c r="AQ10" s="1344" t="str">
        <f t="shared" si="16"/>
        <v/>
      </c>
      <c r="AR10" s="1344" t="str">
        <f t="shared" si="17"/>
        <v/>
      </c>
      <c r="AS10" s="1365" t="str">
        <f t="shared" si="18"/>
        <v/>
      </c>
      <c r="AT10" s="1365" t="str">
        <f t="shared" si="19"/>
        <v/>
      </c>
      <c r="AU10" s="1365" t="str">
        <f t="shared" si="20"/>
        <v/>
      </c>
      <c r="AV10" s="1365" t="str">
        <f t="shared" si="21"/>
        <v/>
      </c>
      <c r="AW10" s="1365" t="str">
        <f t="shared" si="22"/>
        <v/>
      </c>
      <c r="AX10" s="1344" t="str">
        <f t="shared" si="23"/>
        <v/>
      </c>
      <c r="AY10" s="1344" t="str">
        <f t="shared" si="24"/>
        <v/>
      </c>
      <c r="AZ10" s="1344" t="str">
        <f t="shared" si="25"/>
        <v/>
      </c>
      <c r="BA10" s="1344" t="str">
        <f t="shared" si="26"/>
        <v/>
      </c>
      <c r="BB10" s="1344" t="str">
        <f t="shared" si="27"/>
        <v/>
      </c>
      <c r="BC10" s="1346" t="str">
        <f t="shared" si="28"/>
        <v/>
      </c>
      <c r="BD10" s="553"/>
      <c r="BE10" s="553"/>
      <c r="BF10" s="499" t="str">
        <f>IFERROR(INDEX($AC$6:$AC$31,_xlfn.AGGREGATE(15,6,(ROW($AC$6:$AC$31)-ROW($AC$6)+1)/($BC$6:$BC$31="SÍ"),ROWS($BF$6:BF10))),"")</f>
        <v/>
      </c>
      <c r="BG10" s="500" t="str">
        <f t="shared" si="29"/>
        <v/>
      </c>
      <c r="BH10" s="458" t="str">
        <f t="shared" si="30"/>
        <v/>
      </c>
      <c r="BI10" s="501" t="str">
        <f t="shared" si="31"/>
        <v/>
      </c>
    </row>
    <row r="11" spans="1:74" ht="33.75" customHeight="1">
      <c r="A11" s="2257"/>
      <c r="C11" s="1314">
        <f>+PP!B29</f>
        <v>6</v>
      </c>
      <c r="D11" s="1306" t="str">
        <f>+PP!C29</f>
        <v>ALETA ENTERA 500-1000 g/pza</v>
      </c>
      <c r="E11" s="1293"/>
      <c r="F11" s="1294"/>
      <c r="G11" s="1294"/>
      <c r="H11" s="1294"/>
      <c r="I11" s="1294"/>
      <c r="J11" s="1294"/>
      <c r="K11" s="1294"/>
      <c r="L11" s="1294"/>
      <c r="M11" s="1294"/>
      <c r="N11" s="1294"/>
      <c r="O11" s="1294"/>
      <c r="P11" s="1294"/>
      <c r="Q11" s="1294"/>
      <c r="R11" s="1731"/>
      <c r="S11" s="1731"/>
      <c r="T11" s="1731"/>
      <c r="U11" s="1731"/>
      <c r="V11" s="1731"/>
      <c r="W11" s="1731"/>
      <c r="X11" s="2090"/>
      <c r="Y11" s="2099">
        <f t="shared" si="0"/>
        <v>0</v>
      </c>
      <c r="Z11" s="1321">
        <f t="shared" si="1"/>
        <v>0</v>
      </c>
      <c r="AA11" s="1322">
        <f t="shared" si="2"/>
        <v>0</v>
      </c>
      <c r="AB11" s="549"/>
      <c r="AC11" s="1342" t="str">
        <f>IFERROR(INDEX($C$6:$C$53,_xlfn.AGGREGATE(15,6,(ROW($C$6:$C$53)-ROW($C$6)+1)/($Y$6:$Y$53&gt;0),ROWS($AC$6:AC11))),"")</f>
        <v/>
      </c>
      <c r="AD11" s="1343" t="str">
        <f t="shared" si="3"/>
        <v/>
      </c>
      <c r="AE11" s="1344" t="str">
        <f t="shared" si="4"/>
        <v/>
      </c>
      <c r="AF11" s="1344" t="str">
        <f t="shared" si="5"/>
        <v/>
      </c>
      <c r="AG11" s="1344" t="str">
        <f t="shared" si="6"/>
        <v/>
      </c>
      <c r="AH11" s="1344" t="str">
        <f t="shared" si="7"/>
        <v/>
      </c>
      <c r="AI11" s="1344" t="str">
        <f t="shared" si="8"/>
        <v/>
      </c>
      <c r="AJ11" s="1344" t="str">
        <f t="shared" si="9"/>
        <v/>
      </c>
      <c r="AK11" s="1344" t="str">
        <f t="shared" si="10"/>
        <v/>
      </c>
      <c r="AL11" s="1344" t="str">
        <f t="shared" si="11"/>
        <v/>
      </c>
      <c r="AM11" s="1365" t="str">
        <f t="shared" si="12"/>
        <v/>
      </c>
      <c r="AN11" s="1344" t="str">
        <f t="shared" si="13"/>
        <v/>
      </c>
      <c r="AO11" s="1344" t="str">
        <f t="shared" si="14"/>
        <v/>
      </c>
      <c r="AP11" s="1344" t="str">
        <f t="shared" si="15"/>
        <v/>
      </c>
      <c r="AQ11" s="1344" t="str">
        <f t="shared" si="16"/>
        <v/>
      </c>
      <c r="AR11" s="1344" t="str">
        <f t="shared" si="17"/>
        <v/>
      </c>
      <c r="AS11" s="1344" t="str">
        <f t="shared" si="18"/>
        <v/>
      </c>
      <c r="AT11" s="1365" t="str">
        <f t="shared" si="19"/>
        <v/>
      </c>
      <c r="AU11" s="1365" t="str">
        <f t="shared" si="20"/>
        <v/>
      </c>
      <c r="AV11" s="1344" t="str">
        <f t="shared" si="21"/>
        <v/>
      </c>
      <c r="AW11" s="1344" t="str">
        <f t="shared" si="22"/>
        <v/>
      </c>
      <c r="AX11" s="1344" t="str">
        <f t="shared" si="23"/>
        <v/>
      </c>
      <c r="AY11" s="1344" t="str">
        <f t="shared" si="24"/>
        <v/>
      </c>
      <c r="AZ11" s="1344" t="str">
        <f t="shared" si="25"/>
        <v/>
      </c>
      <c r="BA11" s="1344" t="str">
        <f t="shared" si="26"/>
        <v/>
      </c>
      <c r="BB11" s="1344" t="str">
        <f t="shared" si="27"/>
        <v/>
      </c>
      <c r="BC11" s="1346" t="str">
        <f t="shared" si="28"/>
        <v/>
      </c>
      <c r="BD11" s="553"/>
      <c r="BE11" s="553"/>
      <c r="BF11" s="499" t="str">
        <f>IFERROR(INDEX($AC$6:$AC$31,_xlfn.AGGREGATE(15,6,(ROW($AC$6:$AC$31)-ROW($AC$6)+1)/($BC$6:$BC$31="SÍ"),ROWS($BF$6:BF11))),"")</f>
        <v/>
      </c>
      <c r="BG11" s="500" t="str">
        <f t="shared" si="29"/>
        <v/>
      </c>
      <c r="BH11" s="458" t="str">
        <f t="shared" si="30"/>
        <v/>
      </c>
      <c r="BI11" s="501" t="str">
        <f t="shared" si="31"/>
        <v/>
      </c>
    </row>
    <row r="12" spans="1:74" ht="33.75" customHeight="1">
      <c r="A12" s="2257"/>
      <c r="C12" s="1314">
        <f>+PP!B30</f>
        <v>7</v>
      </c>
      <c r="D12" s="1306" t="str">
        <f>+PP!C30</f>
        <v>ALETA ENTERA 1.0-2.0 kg/pza</v>
      </c>
      <c r="E12" s="1293"/>
      <c r="F12" s="1294"/>
      <c r="G12" s="1294"/>
      <c r="H12" s="1294"/>
      <c r="I12" s="1294"/>
      <c r="J12" s="1294"/>
      <c r="K12" s="1294"/>
      <c r="L12" s="1294"/>
      <c r="M12" s="1294"/>
      <c r="N12" s="1294"/>
      <c r="O12" s="1294"/>
      <c r="P12" s="1294"/>
      <c r="Q12" s="1294"/>
      <c r="R12" s="1731"/>
      <c r="S12" s="1731"/>
      <c r="T12" s="1731"/>
      <c r="U12" s="1731"/>
      <c r="V12" s="1731"/>
      <c r="W12" s="1731"/>
      <c r="X12" s="2090"/>
      <c r="Y12" s="2099">
        <f t="shared" si="0"/>
        <v>0</v>
      </c>
      <c r="Z12" s="1321">
        <f t="shared" si="1"/>
        <v>0</v>
      </c>
      <c r="AA12" s="1322">
        <f t="shared" si="2"/>
        <v>0</v>
      </c>
      <c r="AB12" s="549"/>
      <c r="AC12" s="1342" t="str">
        <f>IFERROR(INDEX($C$6:$C$53,_xlfn.AGGREGATE(15,6,(ROW($C$6:$C$53)-ROW($C$6)+1)/($Y$6:$Y$53&gt;0),ROWS($AC$6:AC12))),"")</f>
        <v/>
      </c>
      <c r="AD12" s="1343" t="str">
        <f t="shared" si="3"/>
        <v/>
      </c>
      <c r="AE12" s="1344" t="str">
        <f t="shared" si="4"/>
        <v/>
      </c>
      <c r="AF12" s="1344" t="str">
        <f t="shared" si="5"/>
        <v/>
      </c>
      <c r="AG12" s="1344" t="str">
        <f t="shared" si="6"/>
        <v/>
      </c>
      <c r="AH12" s="1344" t="str">
        <f t="shared" si="7"/>
        <v/>
      </c>
      <c r="AI12" s="1344" t="str">
        <f t="shared" si="8"/>
        <v/>
      </c>
      <c r="AJ12" s="1365" t="str">
        <f t="shared" si="9"/>
        <v/>
      </c>
      <c r="AK12" s="1344" t="str">
        <f t="shared" si="10"/>
        <v/>
      </c>
      <c r="AL12" s="1344" t="str">
        <f t="shared" si="11"/>
        <v/>
      </c>
      <c r="AM12" s="1344" t="str">
        <f t="shared" si="12"/>
        <v/>
      </c>
      <c r="AN12" s="1344" t="str">
        <f t="shared" si="13"/>
        <v/>
      </c>
      <c r="AO12" s="1344" t="str">
        <f t="shared" si="14"/>
        <v/>
      </c>
      <c r="AP12" s="1365" t="str">
        <f t="shared" si="15"/>
        <v/>
      </c>
      <c r="AQ12" s="1344" t="str">
        <f t="shared" si="16"/>
        <v/>
      </c>
      <c r="AR12" s="1344" t="str">
        <f t="shared" si="17"/>
        <v/>
      </c>
      <c r="AS12" s="1344" t="str">
        <f t="shared" si="18"/>
        <v/>
      </c>
      <c r="AT12" s="1344" t="str">
        <f t="shared" si="19"/>
        <v/>
      </c>
      <c r="AU12" s="1344" t="str">
        <f t="shared" si="20"/>
        <v/>
      </c>
      <c r="AV12" s="1344" t="str">
        <f t="shared" si="21"/>
        <v/>
      </c>
      <c r="AW12" s="1344" t="str">
        <f t="shared" si="22"/>
        <v/>
      </c>
      <c r="AX12" s="1344" t="str">
        <f t="shared" si="23"/>
        <v/>
      </c>
      <c r="AY12" s="1344" t="str">
        <f t="shared" si="24"/>
        <v/>
      </c>
      <c r="AZ12" s="1344" t="str">
        <f t="shared" si="25"/>
        <v/>
      </c>
      <c r="BA12" s="1344" t="str">
        <f t="shared" si="26"/>
        <v/>
      </c>
      <c r="BB12" s="1344" t="str">
        <f t="shared" si="27"/>
        <v/>
      </c>
      <c r="BC12" s="1346" t="str">
        <f t="shared" si="28"/>
        <v/>
      </c>
      <c r="BD12" s="553"/>
      <c r="BE12" s="553"/>
      <c r="BF12" s="499" t="str">
        <f>IFERROR(INDEX($AC$6:$AC$31,_xlfn.AGGREGATE(15,6,(ROW($AC$6:$AC$31)-ROW($AC$6)+1)/($BC$6:$BC$31="SÍ"),ROWS($BF$6:BF12))),"")</f>
        <v/>
      </c>
      <c r="BG12" s="500" t="str">
        <f t="shared" si="29"/>
        <v/>
      </c>
      <c r="BH12" s="458" t="str">
        <f t="shared" si="30"/>
        <v/>
      </c>
      <c r="BI12" s="501" t="str">
        <f t="shared" si="31"/>
        <v/>
      </c>
    </row>
    <row r="13" spans="1:74" ht="37.5" customHeight="1">
      <c r="A13" s="2257"/>
      <c r="C13" s="1314">
        <f>+PP!B31</f>
        <v>8</v>
      </c>
      <c r="D13" s="1306" t="str">
        <f>+PP!C31</f>
        <v>ALETA FRESCA PARTIDA 2.0-4.0 kg/pza</v>
      </c>
      <c r="E13" s="1293"/>
      <c r="F13" s="1294"/>
      <c r="G13" s="1294"/>
      <c r="H13" s="1294"/>
      <c r="I13" s="1294"/>
      <c r="J13" s="1294"/>
      <c r="K13" s="1294"/>
      <c r="L13" s="1294"/>
      <c r="M13" s="1294"/>
      <c r="N13" s="1294"/>
      <c r="O13" s="1294"/>
      <c r="P13" s="1294"/>
      <c r="Q13" s="1294"/>
      <c r="R13" s="1731"/>
      <c r="S13" s="1731"/>
      <c r="T13" s="1731"/>
      <c r="U13" s="1731"/>
      <c r="V13" s="1731"/>
      <c r="W13" s="1731"/>
      <c r="X13" s="2090"/>
      <c r="Y13" s="2099">
        <f t="shared" si="0"/>
        <v>0</v>
      </c>
      <c r="Z13" s="1321">
        <f t="shared" si="1"/>
        <v>0</v>
      </c>
      <c r="AA13" s="1322">
        <f t="shared" si="2"/>
        <v>0</v>
      </c>
      <c r="AB13" s="549"/>
      <c r="AC13" s="1342" t="str">
        <f>IFERROR(INDEX($C$6:$C$53,_xlfn.AGGREGATE(15,6,(ROW($C$6:$C$53)-ROW($C$6)+1)/($Y$6:$Y$53&gt;0),ROWS($AC$6:AC13))),"")</f>
        <v/>
      </c>
      <c r="AD13" s="1343" t="str">
        <f t="shared" si="3"/>
        <v/>
      </c>
      <c r="AE13" s="1344" t="str">
        <f t="shared" si="4"/>
        <v/>
      </c>
      <c r="AF13" s="1344" t="str">
        <f t="shared" si="5"/>
        <v/>
      </c>
      <c r="AG13" s="1344" t="str">
        <f t="shared" si="6"/>
        <v/>
      </c>
      <c r="AH13" s="1344" t="str">
        <f t="shared" si="7"/>
        <v/>
      </c>
      <c r="AI13" s="1344" t="str">
        <f t="shared" si="8"/>
        <v/>
      </c>
      <c r="AJ13" s="1365" t="str">
        <f t="shared" si="9"/>
        <v/>
      </c>
      <c r="AK13" s="1344" t="str">
        <f t="shared" si="10"/>
        <v/>
      </c>
      <c r="AL13" s="1344" t="str">
        <f t="shared" si="11"/>
        <v/>
      </c>
      <c r="AM13" s="1344" t="str">
        <f t="shared" si="12"/>
        <v/>
      </c>
      <c r="AN13" s="1344" t="str">
        <f t="shared" si="13"/>
        <v/>
      </c>
      <c r="AO13" s="1344" t="str">
        <f t="shared" si="14"/>
        <v/>
      </c>
      <c r="AP13" s="1344" t="str">
        <f t="shared" si="15"/>
        <v/>
      </c>
      <c r="AQ13" s="1344" t="str">
        <f t="shared" si="16"/>
        <v/>
      </c>
      <c r="AR13" s="1365" t="str">
        <f t="shared" si="17"/>
        <v/>
      </c>
      <c r="AS13" s="1344" t="str">
        <f t="shared" si="18"/>
        <v/>
      </c>
      <c r="AT13" s="1344" t="str">
        <f t="shared" si="19"/>
        <v/>
      </c>
      <c r="AU13" s="1344" t="str">
        <f t="shared" si="20"/>
        <v/>
      </c>
      <c r="AV13" s="1344" t="str">
        <f t="shared" si="21"/>
        <v/>
      </c>
      <c r="AW13" s="1344" t="str">
        <f t="shared" si="22"/>
        <v/>
      </c>
      <c r="AX13" s="1344" t="str">
        <f t="shared" si="23"/>
        <v/>
      </c>
      <c r="AY13" s="1344" t="str">
        <f t="shared" si="24"/>
        <v/>
      </c>
      <c r="AZ13" s="1344" t="str">
        <f t="shared" si="25"/>
        <v/>
      </c>
      <c r="BA13" s="1344" t="str">
        <f t="shared" si="26"/>
        <v/>
      </c>
      <c r="BB13" s="1344" t="str">
        <f t="shared" si="27"/>
        <v/>
      </c>
      <c r="BC13" s="1346" t="str">
        <f t="shared" si="28"/>
        <v/>
      </c>
      <c r="BD13" s="553"/>
      <c r="BE13" s="553"/>
      <c r="BF13" s="499" t="str">
        <f>IFERROR(INDEX($AC$6:$AC$31,_xlfn.AGGREGATE(15,6,(ROW($AC$6:$AC$31)-ROW($AC$6)+1)/($BC$6:$BC$31="SÍ"),ROWS($BF$6:BF13))),"")</f>
        <v/>
      </c>
      <c r="BG13" s="500" t="str">
        <f t="shared" si="29"/>
        <v/>
      </c>
      <c r="BH13" s="458" t="str">
        <f t="shared" si="30"/>
        <v/>
      </c>
      <c r="BI13" s="501" t="str">
        <f t="shared" si="31"/>
        <v/>
      </c>
    </row>
    <row r="14" spans="1:74" ht="33" customHeight="1">
      <c r="A14" s="2257"/>
      <c r="C14" s="1314">
        <f>+PP!B32</f>
        <v>9</v>
      </c>
      <c r="D14" s="1306" t="str">
        <f>+PP!C32</f>
        <v>ALETA PRECOCIDA ENTERA 300-UP g/pza</v>
      </c>
      <c r="E14" s="1293"/>
      <c r="F14" s="1294"/>
      <c r="G14" s="1294"/>
      <c r="H14" s="1294"/>
      <c r="I14" s="1294"/>
      <c r="J14" s="1294"/>
      <c r="K14" s="1294"/>
      <c r="L14" s="1294"/>
      <c r="M14" s="1294"/>
      <c r="N14" s="1294"/>
      <c r="O14" s="1294"/>
      <c r="P14" s="1294"/>
      <c r="Q14" s="1294"/>
      <c r="R14" s="1731"/>
      <c r="S14" s="1731"/>
      <c r="T14" s="1731"/>
      <c r="U14" s="1731"/>
      <c r="V14" s="1731"/>
      <c r="W14" s="1731"/>
      <c r="X14" s="2090"/>
      <c r="Y14" s="2099">
        <f t="shared" si="0"/>
        <v>0</v>
      </c>
      <c r="Z14" s="1321">
        <f t="shared" si="1"/>
        <v>0</v>
      </c>
      <c r="AA14" s="1322">
        <f t="shared" si="2"/>
        <v>0</v>
      </c>
      <c r="AB14" s="549"/>
      <c r="AC14" s="1342" t="str">
        <f>IFERROR(INDEX($C$6:$C$53,_xlfn.AGGREGATE(15,6,(ROW($C$6:$C$53)-ROW($C$6)+1)/($Y$6:$Y$53&gt;0),ROWS($AC$6:AC14))),"")</f>
        <v/>
      </c>
      <c r="AD14" s="1343" t="str">
        <f t="shared" si="3"/>
        <v/>
      </c>
      <c r="AE14" s="1344" t="str">
        <f t="shared" si="4"/>
        <v/>
      </c>
      <c r="AF14" s="1344" t="str">
        <f t="shared" si="5"/>
        <v/>
      </c>
      <c r="AG14" s="1344" t="str">
        <f t="shared" si="6"/>
        <v/>
      </c>
      <c r="AH14" s="1344" t="str">
        <f t="shared" si="7"/>
        <v/>
      </c>
      <c r="AI14" s="1344" t="str">
        <f t="shared" si="8"/>
        <v/>
      </c>
      <c r="AJ14" s="1365" t="str">
        <f t="shared" si="9"/>
        <v/>
      </c>
      <c r="AK14" s="1344" t="str">
        <f t="shared" si="10"/>
        <v/>
      </c>
      <c r="AL14" s="1344" t="str">
        <f t="shared" si="11"/>
        <v/>
      </c>
      <c r="AM14" s="1344" t="str">
        <f t="shared" si="12"/>
        <v/>
      </c>
      <c r="AN14" s="1344" t="str">
        <f t="shared" si="13"/>
        <v/>
      </c>
      <c r="AO14" s="1344" t="str">
        <f t="shared" si="14"/>
        <v/>
      </c>
      <c r="AP14" s="1344" t="str">
        <f t="shared" si="15"/>
        <v/>
      </c>
      <c r="AQ14" s="1344" t="str">
        <f t="shared" si="16"/>
        <v/>
      </c>
      <c r="AR14" s="1365" t="str">
        <f t="shared" si="17"/>
        <v/>
      </c>
      <c r="AS14" s="1344" t="str">
        <f t="shared" si="18"/>
        <v/>
      </c>
      <c r="AT14" s="1344" t="str">
        <f t="shared" si="19"/>
        <v/>
      </c>
      <c r="AU14" s="1344" t="str">
        <f t="shared" si="20"/>
        <v/>
      </c>
      <c r="AV14" s="1344" t="str">
        <f t="shared" si="21"/>
        <v/>
      </c>
      <c r="AW14" s="1344" t="str">
        <f t="shared" si="22"/>
        <v/>
      </c>
      <c r="AX14" s="1344" t="str">
        <f t="shared" si="23"/>
        <v/>
      </c>
      <c r="AY14" s="1344" t="str">
        <f t="shared" si="24"/>
        <v/>
      </c>
      <c r="AZ14" s="1344" t="str">
        <f t="shared" si="25"/>
        <v/>
      </c>
      <c r="BA14" s="1344" t="str">
        <f t="shared" si="26"/>
        <v/>
      </c>
      <c r="BB14" s="1344" t="str">
        <f t="shared" si="27"/>
        <v/>
      </c>
      <c r="BC14" s="1346" t="str">
        <f t="shared" si="28"/>
        <v/>
      </c>
      <c r="BD14" s="553"/>
      <c r="BE14" s="553"/>
      <c r="BF14" s="499" t="str">
        <f>IFERROR(INDEX($AC$6:$AC$31,_xlfn.AGGREGATE(15,6,(ROW($AC$6:$AC$31)-ROW($AC$6)+1)/($BC$6:$BC$31="SÍ"),ROWS($BF$6:BF14))),"")</f>
        <v/>
      </c>
      <c r="BG14" s="500" t="str">
        <f t="shared" si="29"/>
        <v/>
      </c>
      <c r="BH14" s="458" t="str">
        <f t="shared" si="30"/>
        <v/>
      </c>
      <c r="BI14" s="501" t="str">
        <f t="shared" si="31"/>
        <v/>
      </c>
    </row>
    <row r="15" spans="1:74" ht="31.5" customHeight="1" thickBot="1">
      <c r="A15" s="2257"/>
      <c r="C15" s="2934">
        <f>+PP!B33</f>
        <v>10</v>
      </c>
      <c r="D15" s="1307" t="str">
        <f>+PP!C33</f>
        <v>ALETA PRECOCIDA PARTIDA 300-UP g/pza</v>
      </c>
      <c r="E15" s="1295"/>
      <c r="F15" s="1296"/>
      <c r="G15" s="1296"/>
      <c r="H15" s="1296"/>
      <c r="I15" s="1296"/>
      <c r="J15" s="1296"/>
      <c r="K15" s="1296"/>
      <c r="L15" s="1296"/>
      <c r="M15" s="1296"/>
      <c r="N15" s="1296"/>
      <c r="O15" s="1296"/>
      <c r="P15" s="1296"/>
      <c r="Q15" s="1296"/>
      <c r="R15" s="2935"/>
      <c r="S15" s="2935"/>
      <c r="T15" s="2935"/>
      <c r="U15" s="2935"/>
      <c r="V15" s="2935"/>
      <c r="W15" s="2935"/>
      <c r="X15" s="2936"/>
      <c r="Y15" s="2100">
        <f t="shared" si="0"/>
        <v>0</v>
      </c>
      <c r="Z15" s="1324">
        <f t="shared" si="1"/>
        <v>0</v>
      </c>
      <c r="AA15" s="1323">
        <f t="shared" si="2"/>
        <v>0</v>
      </c>
      <c r="AB15" s="549"/>
      <c r="AC15" s="1342" t="str">
        <f>IFERROR(INDEX($C$6:$C$53,_xlfn.AGGREGATE(15,6,(ROW($C$6:$C$53)-ROW($C$6)+1)/($Y$6:$Y$53&gt;0),ROWS($AC$6:AC15))),"")</f>
        <v/>
      </c>
      <c r="AD15" s="1343" t="str">
        <f t="shared" si="3"/>
        <v/>
      </c>
      <c r="AE15" s="1344" t="str">
        <f t="shared" si="4"/>
        <v/>
      </c>
      <c r="AF15" s="1344" t="str">
        <f t="shared" si="5"/>
        <v/>
      </c>
      <c r="AG15" s="1344" t="str">
        <f t="shared" si="6"/>
        <v/>
      </c>
      <c r="AH15" s="1344" t="str">
        <f t="shared" si="7"/>
        <v/>
      </c>
      <c r="AI15" s="1344" t="str">
        <f t="shared" si="8"/>
        <v/>
      </c>
      <c r="AJ15" s="1344" t="str">
        <f t="shared" si="9"/>
        <v/>
      </c>
      <c r="AK15" s="1344" t="str">
        <f t="shared" si="10"/>
        <v/>
      </c>
      <c r="AL15" s="1365" t="str">
        <f t="shared" si="11"/>
        <v/>
      </c>
      <c r="AM15" s="1344" t="str">
        <f t="shared" si="12"/>
        <v/>
      </c>
      <c r="AN15" s="1344" t="str">
        <f t="shared" si="13"/>
        <v/>
      </c>
      <c r="AO15" s="1344" t="str">
        <f t="shared" si="14"/>
        <v/>
      </c>
      <c r="AP15" s="1344" t="str">
        <f t="shared" si="15"/>
        <v/>
      </c>
      <c r="AQ15" s="1344" t="str">
        <f t="shared" si="16"/>
        <v/>
      </c>
      <c r="AR15" s="1344" t="str">
        <f t="shared" si="17"/>
        <v/>
      </c>
      <c r="AS15" s="1344" t="str">
        <f t="shared" si="18"/>
        <v/>
      </c>
      <c r="AT15" s="1344" t="str">
        <f t="shared" si="19"/>
        <v/>
      </c>
      <c r="AU15" s="1344" t="str">
        <f t="shared" si="20"/>
        <v/>
      </c>
      <c r="AV15" s="1344" t="str">
        <f t="shared" si="21"/>
        <v/>
      </c>
      <c r="AW15" s="1344" t="str">
        <f t="shared" si="22"/>
        <v/>
      </c>
      <c r="AX15" s="1344" t="str">
        <f t="shared" si="23"/>
        <v/>
      </c>
      <c r="AY15" s="1344" t="str">
        <f t="shared" si="24"/>
        <v/>
      </c>
      <c r="AZ15" s="1344" t="str">
        <f t="shared" si="25"/>
        <v/>
      </c>
      <c r="BA15" s="1344" t="str">
        <f t="shared" si="26"/>
        <v/>
      </c>
      <c r="BB15" s="1344" t="str">
        <f t="shared" si="27"/>
        <v/>
      </c>
      <c r="BC15" s="1346" t="str">
        <f t="shared" si="28"/>
        <v/>
      </c>
      <c r="BD15" s="553"/>
      <c r="BE15" s="553"/>
      <c r="BF15" s="499" t="str">
        <f>IFERROR(INDEX($AC$6:$AC$31,_xlfn.AGGREGATE(15,6,(ROW($AC$6:$AC$31)-ROW($AC$6)+1)/($BC$6:$BC$31="SÍ"),ROWS($BF$6:BF15))),"")</f>
        <v/>
      </c>
      <c r="BG15" s="500" t="str">
        <f t="shared" si="29"/>
        <v/>
      </c>
      <c r="BH15" s="458" t="str">
        <f t="shared" si="30"/>
        <v/>
      </c>
      <c r="BI15" s="501" t="str">
        <f t="shared" si="31"/>
        <v/>
      </c>
    </row>
    <row r="16" spans="1:74" ht="26.25" customHeight="1">
      <c r="A16" s="2257"/>
      <c r="C16" s="1313">
        <f>+PP!B34</f>
        <v>11</v>
      </c>
      <c r="D16" s="1305" t="str">
        <f>+PP!C34</f>
        <v>BOTON BLANCO SM ST</v>
      </c>
      <c r="E16" s="1291"/>
      <c r="F16" s="1292"/>
      <c r="G16" s="1292"/>
      <c r="H16" s="1292"/>
      <c r="I16" s="1292"/>
      <c r="J16" s="1292"/>
      <c r="K16" s="1292"/>
      <c r="L16" s="1292"/>
      <c r="M16" s="1292"/>
      <c r="N16" s="1292"/>
      <c r="O16" s="1292"/>
      <c r="P16" s="1292"/>
      <c r="Q16" s="1292"/>
      <c r="R16" s="1732"/>
      <c r="S16" s="1732"/>
      <c r="T16" s="1732"/>
      <c r="U16" s="1732"/>
      <c r="V16" s="1732"/>
      <c r="W16" s="1732"/>
      <c r="X16" s="2089"/>
      <c r="Y16" s="2098">
        <f t="shared" si="0"/>
        <v>0</v>
      </c>
      <c r="Z16" s="1319">
        <f t="shared" si="1"/>
        <v>0</v>
      </c>
      <c r="AA16" s="1320">
        <f t="shared" si="2"/>
        <v>0</v>
      </c>
      <c r="AB16" s="549"/>
      <c r="AC16" s="1342" t="str">
        <f>IFERROR(INDEX($C$6:$C$53,_xlfn.AGGREGATE(15,6,(ROW($C$6:$C$53)-ROW($C$6)+1)/($Y$6:$Y$53&gt;0),ROWS($AC$6:AC16))),"")</f>
        <v/>
      </c>
      <c r="AD16" s="1343" t="str">
        <f t="shared" si="3"/>
        <v/>
      </c>
      <c r="AE16" s="1344" t="str">
        <f t="shared" si="4"/>
        <v/>
      </c>
      <c r="AF16" s="1344" t="str">
        <f t="shared" si="5"/>
        <v/>
      </c>
      <c r="AG16" s="1344" t="str">
        <f t="shared" si="6"/>
        <v/>
      </c>
      <c r="AH16" s="1344" t="str">
        <f t="shared" si="7"/>
        <v/>
      </c>
      <c r="AI16" s="1344" t="str">
        <f t="shared" si="8"/>
        <v/>
      </c>
      <c r="AJ16" s="1344" t="str">
        <f t="shared" si="9"/>
        <v/>
      </c>
      <c r="AK16" s="1344" t="str">
        <f t="shared" si="10"/>
        <v/>
      </c>
      <c r="AL16" s="1365" t="str">
        <f t="shared" si="11"/>
        <v/>
      </c>
      <c r="AM16" s="1344" t="str">
        <f t="shared" si="12"/>
        <v/>
      </c>
      <c r="AN16" s="1344" t="str">
        <f t="shared" si="13"/>
        <v/>
      </c>
      <c r="AO16" s="1344" t="str">
        <f t="shared" si="14"/>
        <v/>
      </c>
      <c r="AP16" s="1344" t="str">
        <f t="shared" si="15"/>
        <v/>
      </c>
      <c r="AQ16" s="1365" t="str">
        <f t="shared" si="16"/>
        <v/>
      </c>
      <c r="AR16" s="1344" t="str">
        <f t="shared" si="17"/>
        <v/>
      </c>
      <c r="AS16" s="1344" t="str">
        <f t="shared" si="18"/>
        <v/>
      </c>
      <c r="AT16" s="1344" t="str">
        <f t="shared" si="19"/>
        <v/>
      </c>
      <c r="AU16" s="1344" t="str">
        <f t="shared" si="20"/>
        <v/>
      </c>
      <c r="AV16" s="1365" t="str">
        <f t="shared" si="21"/>
        <v/>
      </c>
      <c r="AW16" s="1344" t="str">
        <f t="shared" si="22"/>
        <v/>
      </c>
      <c r="AX16" s="1344" t="str">
        <f t="shared" si="23"/>
        <v/>
      </c>
      <c r="AY16" s="1344" t="str">
        <f t="shared" si="24"/>
        <v/>
      </c>
      <c r="AZ16" s="1344" t="str">
        <f t="shared" si="25"/>
        <v/>
      </c>
      <c r="BA16" s="1344" t="str">
        <f t="shared" si="26"/>
        <v/>
      </c>
      <c r="BB16" s="1344" t="str">
        <f t="shared" si="27"/>
        <v/>
      </c>
      <c r="BC16" s="1346" t="str">
        <f t="shared" si="28"/>
        <v/>
      </c>
      <c r="BD16" s="553"/>
      <c r="BE16" s="553"/>
      <c r="BF16" s="499" t="str">
        <f>IFERROR(INDEX($AC$6:$AC$31,_xlfn.AGGREGATE(15,6,(ROW($AC$6:$AC$31)-ROW($AC$6)+1)/($BC$6:$BC$31="SÍ"),ROWS($BF$6:BF16))),"")</f>
        <v/>
      </c>
      <c r="BG16" s="500" t="str">
        <f t="shared" si="29"/>
        <v/>
      </c>
      <c r="BH16" s="458" t="str">
        <f t="shared" si="30"/>
        <v/>
      </c>
      <c r="BI16" s="501" t="str">
        <f t="shared" si="31"/>
        <v/>
      </c>
    </row>
    <row r="17" spans="1:61" ht="27" customHeight="1" thickBot="1">
      <c r="A17" s="2257"/>
      <c r="C17" s="2934">
        <f>+PP!B35</f>
        <v>12</v>
      </c>
      <c r="D17" s="1307" t="str">
        <f>+PP!C35</f>
        <v>BOTON AMARILLO SM ST</v>
      </c>
      <c r="E17" s="1295"/>
      <c r="F17" s="1296"/>
      <c r="G17" s="1296"/>
      <c r="H17" s="1296"/>
      <c r="I17" s="1296"/>
      <c r="J17" s="1296"/>
      <c r="K17" s="1296"/>
      <c r="L17" s="1296"/>
      <c r="M17" s="1296"/>
      <c r="N17" s="1296"/>
      <c r="O17" s="1296"/>
      <c r="P17" s="1296"/>
      <c r="Q17" s="1296"/>
      <c r="R17" s="2935"/>
      <c r="S17" s="2935"/>
      <c r="T17" s="2935"/>
      <c r="U17" s="2935"/>
      <c r="V17" s="2935"/>
      <c r="W17" s="2935"/>
      <c r="X17" s="2936"/>
      <c r="Y17" s="2100">
        <f t="shared" si="0"/>
        <v>0</v>
      </c>
      <c r="Z17" s="1324">
        <f t="shared" si="1"/>
        <v>0</v>
      </c>
      <c r="AA17" s="1323">
        <f t="shared" si="2"/>
        <v>0</v>
      </c>
      <c r="AB17" s="549"/>
      <c r="AC17" s="1342" t="str">
        <f>IFERROR(INDEX($C$6:$C$53,_xlfn.AGGREGATE(15,6,(ROW($C$6:$C$53)-ROW($C$6)+1)/($Y$6:$Y$53&gt;0),ROWS($AC$6:AC17))),"")</f>
        <v/>
      </c>
      <c r="AD17" s="1343" t="str">
        <f t="shared" si="3"/>
        <v/>
      </c>
      <c r="AE17" s="1344" t="str">
        <f t="shared" si="4"/>
        <v/>
      </c>
      <c r="AF17" s="1344" t="str">
        <f t="shared" si="5"/>
        <v/>
      </c>
      <c r="AG17" s="1344" t="str">
        <f t="shared" si="6"/>
        <v/>
      </c>
      <c r="AH17" s="1344" t="str">
        <f t="shared" si="7"/>
        <v/>
      </c>
      <c r="AI17" s="1344" t="str">
        <f t="shared" si="8"/>
        <v/>
      </c>
      <c r="AJ17" s="1344" t="str">
        <f t="shared" si="9"/>
        <v/>
      </c>
      <c r="AK17" s="1344" t="str">
        <f t="shared" si="10"/>
        <v/>
      </c>
      <c r="AL17" s="1344" t="str">
        <f t="shared" si="11"/>
        <v/>
      </c>
      <c r="AM17" s="1344" t="str">
        <f t="shared" si="12"/>
        <v/>
      </c>
      <c r="AN17" s="1344" t="str">
        <f t="shared" si="13"/>
        <v/>
      </c>
      <c r="AO17" s="1344" t="str">
        <f t="shared" si="14"/>
        <v/>
      </c>
      <c r="AP17" s="1344" t="str">
        <f t="shared" si="15"/>
        <v/>
      </c>
      <c r="AQ17" s="1344" t="str">
        <f t="shared" si="16"/>
        <v/>
      </c>
      <c r="AR17" s="1344" t="str">
        <f t="shared" si="17"/>
        <v/>
      </c>
      <c r="AS17" s="1344" t="str">
        <f t="shared" si="18"/>
        <v/>
      </c>
      <c r="AT17" s="1344" t="str">
        <f t="shared" si="19"/>
        <v/>
      </c>
      <c r="AU17" s="1344" t="str">
        <f t="shared" si="20"/>
        <v/>
      </c>
      <c r="AV17" s="1365" t="str">
        <f t="shared" si="21"/>
        <v/>
      </c>
      <c r="AW17" s="1344" t="str">
        <f t="shared" si="22"/>
        <v/>
      </c>
      <c r="AX17" s="1344" t="str">
        <f t="shared" si="23"/>
        <v/>
      </c>
      <c r="AY17" s="1344" t="str">
        <f t="shared" si="24"/>
        <v/>
      </c>
      <c r="AZ17" s="1344" t="str">
        <f t="shared" si="25"/>
        <v/>
      </c>
      <c r="BA17" s="1344" t="str">
        <f t="shared" si="26"/>
        <v/>
      </c>
      <c r="BB17" s="1344" t="str">
        <f t="shared" si="27"/>
        <v/>
      </c>
      <c r="BC17" s="1346" t="str">
        <f t="shared" si="28"/>
        <v/>
      </c>
      <c r="BD17" s="553"/>
      <c r="BE17" s="553"/>
      <c r="BF17" s="499" t="str">
        <f>IFERROR(INDEX($AC$6:$AC$31,_xlfn.AGGREGATE(15,6,(ROW($AC$6:$AC$31)-ROW($AC$6)+1)/($BC$6:$BC$31="SÍ"),ROWS($BF$6:BF17))),"")</f>
        <v/>
      </c>
      <c r="BG17" s="500" t="str">
        <f t="shared" si="29"/>
        <v/>
      </c>
      <c r="BH17" s="458" t="str">
        <f t="shared" si="30"/>
        <v/>
      </c>
      <c r="BI17" s="501" t="str">
        <f t="shared" si="31"/>
        <v/>
      </c>
    </row>
    <row r="18" spans="1:61" ht="33" customHeight="1" thickBot="1">
      <c r="A18" s="2257"/>
      <c r="C18" s="2937">
        <f>+PP!B36</f>
        <v>13</v>
      </c>
      <c r="D18" s="1308" t="str">
        <f>+PP!C36</f>
        <v>CONOS DE POTA</v>
      </c>
      <c r="E18" s="1297"/>
      <c r="F18" s="1298"/>
      <c r="G18" s="1298"/>
      <c r="H18" s="1298"/>
      <c r="I18" s="1298"/>
      <c r="J18" s="1298"/>
      <c r="K18" s="1298"/>
      <c r="L18" s="1298"/>
      <c r="M18" s="1298"/>
      <c r="N18" s="1298"/>
      <c r="O18" s="1298"/>
      <c r="P18" s="1298"/>
      <c r="Q18" s="1298"/>
      <c r="R18" s="2938"/>
      <c r="S18" s="2938"/>
      <c r="T18" s="2938"/>
      <c r="U18" s="2938"/>
      <c r="V18" s="2938"/>
      <c r="W18" s="2938"/>
      <c r="X18" s="2939"/>
      <c r="Y18" s="2088">
        <f t="shared" si="0"/>
        <v>0</v>
      </c>
      <c r="Z18" s="1329">
        <f t="shared" si="1"/>
        <v>0</v>
      </c>
      <c r="AA18" s="1330">
        <f t="shared" si="2"/>
        <v>0</v>
      </c>
      <c r="AB18" s="549"/>
      <c r="AC18" s="1342" t="str">
        <f>IFERROR(INDEX($C$6:$C$53,_xlfn.AGGREGATE(15,6,(ROW($C$6:$C$53)-ROW($C$6)+1)/($Y$6:$Y$53&gt;0),ROWS($AC$6:AC18))),"")</f>
        <v/>
      </c>
      <c r="AD18" s="1343" t="str">
        <f t="shared" si="3"/>
        <v/>
      </c>
      <c r="AE18" s="1344" t="str">
        <f t="shared" si="4"/>
        <v/>
      </c>
      <c r="AF18" s="1344" t="str">
        <f t="shared" si="5"/>
        <v/>
      </c>
      <c r="AG18" s="1344" t="str">
        <f t="shared" si="6"/>
        <v/>
      </c>
      <c r="AH18" s="1344" t="str">
        <f t="shared" si="7"/>
        <v/>
      </c>
      <c r="AI18" s="1344" t="str">
        <f t="shared" si="8"/>
        <v/>
      </c>
      <c r="AJ18" s="1344" t="str">
        <f t="shared" si="9"/>
        <v/>
      </c>
      <c r="AK18" s="1344" t="str">
        <f t="shared" si="10"/>
        <v/>
      </c>
      <c r="AL18" s="1365" t="str">
        <f t="shared" si="11"/>
        <v/>
      </c>
      <c r="AM18" s="1344" t="str">
        <f t="shared" si="12"/>
        <v/>
      </c>
      <c r="AN18" s="1344" t="str">
        <f t="shared" si="13"/>
        <v/>
      </c>
      <c r="AO18" s="1344" t="str">
        <f t="shared" si="14"/>
        <v/>
      </c>
      <c r="AP18" s="1344" t="str">
        <f t="shared" si="15"/>
        <v/>
      </c>
      <c r="AQ18" s="1365" t="str">
        <f t="shared" si="16"/>
        <v/>
      </c>
      <c r="AR18" s="1344" t="str">
        <f t="shared" si="17"/>
        <v/>
      </c>
      <c r="AS18" s="1344" t="str">
        <f t="shared" si="18"/>
        <v/>
      </c>
      <c r="AT18" s="1344" t="str">
        <f t="shared" si="19"/>
        <v/>
      </c>
      <c r="AU18" s="1344" t="str">
        <f t="shared" si="20"/>
        <v/>
      </c>
      <c r="AV18" s="1344" t="str">
        <f t="shared" si="21"/>
        <v/>
      </c>
      <c r="AW18" s="1344" t="str">
        <f t="shared" si="22"/>
        <v/>
      </c>
      <c r="AX18" s="1344" t="str">
        <f t="shared" si="23"/>
        <v/>
      </c>
      <c r="AY18" s="1344" t="str">
        <f t="shared" si="24"/>
        <v/>
      </c>
      <c r="AZ18" s="1344" t="str">
        <f t="shared" si="25"/>
        <v/>
      </c>
      <c r="BA18" s="1344" t="str">
        <f t="shared" si="26"/>
        <v/>
      </c>
      <c r="BB18" s="1344" t="str">
        <f t="shared" si="27"/>
        <v/>
      </c>
      <c r="BC18" s="1346" t="str">
        <f t="shared" si="28"/>
        <v/>
      </c>
      <c r="BD18" s="553"/>
      <c r="BE18" s="553"/>
      <c r="BF18" s="499" t="str">
        <f>IFERROR(INDEX($AC$6:$AC$31,_xlfn.AGGREGATE(15,6,(ROW($AC$6:$AC$31)-ROW($AC$6)+1)/($BC$6:$BC$31="SÍ"),ROWS($BF$6:BF18))),"")</f>
        <v/>
      </c>
      <c r="BG18" s="500" t="str">
        <f t="shared" si="29"/>
        <v/>
      </c>
      <c r="BH18" s="458" t="str">
        <f t="shared" si="30"/>
        <v/>
      </c>
      <c r="BI18" s="501" t="str">
        <f t="shared" si="31"/>
        <v/>
      </c>
    </row>
    <row r="19" spans="1:61" ht="35.25" customHeight="1">
      <c r="A19" s="2257"/>
      <c r="C19" s="1313">
        <f>+PP!B37</f>
        <v>14</v>
      </c>
      <c r="D19" s="1305" t="str">
        <f>+PP!C37</f>
        <v>FILETE C/TT DARUMA</v>
      </c>
      <c r="E19" s="1291"/>
      <c r="F19" s="1292"/>
      <c r="G19" s="1292"/>
      <c r="H19" s="1292"/>
      <c r="I19" s="1292"/>
      <c r="J19" s="1292"/>
      <c r="K19" s="1292"/>
      <c r="L19" s="1292"/>
      <c r="M19" s="1292"/>
      <c r="N19" s="1292"/>
      <c r="O19" s="1292"/>
      <c r="P19" s="1292"/>
      <c r="Q19" s="1292"/>
      <c r="R19" s="1732"/>
      <c r="S19" s="1732"/>
      <c r="T19" s="1732"/>
      <c r="U19" s="1732"/>
      <c r="V19" s="1732"/>
      <c r="W19" s="1732"/>
      <c r="X19" s="2089"/>
      <c r="Y19" s="2098">
        <f t="shared" si="0"/>
        <v>0</v>
      </c>
      <c r="Z19" s="1319">
        <f t="shared" si="1"/>
        <v>0</v>
      </c>
      <c r="AA19" s="1320">
        <f t="shared" si="2"/>
        <v>0</v>
      </c>
      <c r="AB19" s="549"/>
      <c r="AC19" s="1342" t="str">
        <f>IFERROR(INDEX($C$6:$C$53,_xlfn.AGGREGATE(15,6,(ROW($C$6:$C$53)-ROW($C$6)+1)/($Y$6:$Y$53&gt;0),ROWS($AC$6:AC19))),"")</f>
        <v/>
      </c>
      <c r="AD19" s="1343" t="str">
        <f t="shared" si="3"/>
        <v/>
      </c>
      <c r="AE19" s="1344" t="str">
        <f t="shared" si="4"/>
        <v/>
      </c>
      <c r="AF19" s="1344" t="str">
        <f t="shared" si="5"/>
        <v/>
      </c>
      <c r="AG19" s="1344" t="str">
        <f t="shared" si="6"/>
        <v/>
      </c>
      <c r="AH19" s="1344" t="str">
        <f t="shared" si="7"/>
        <v/>
      </c>
      <c r="AI19" s="1344" t="str">
        <f t="shared" si="8"/>
        <v/>
      </c>
      <c r="AJ19" s="1344" t="str">
        <f t="shared" si="9"/>
        <v/>
      </c>
      <c r="AK19" s="1344" t="str">
        <f t="shared" si="10"/>
        <v/>
      </c>
      <c r="AL19" s="1365" t="str">
        <f t="shared" si="11"/>
        <v/>
      </c>
      <c r="AM19" s="1344" t="str">
        <f t="shared" si="12"/>
        <v/>
      </c>
      <c r="AN19" s="1344" t="str">
        <f t="shared" si="13"/>
        <v/>
      </c>
      <c r="AO19" s="1344" t="str">
        <f t="shared" si="14"/>
        <v/>
      </c>
      <c r="AP19" s="1344" t="str">
        <f t="shared" si="15"/>
        <v/>
      </c>
      <c r="AQ19" s="1344" t="str">
        <f t="shared" si="16"/>
        <v/>
      </c>
      <c r="AR19" s="1344" t="str">
        <f t="shared" si="17"/>
        <v/>
      </c>
      <c r="AS19" s="1344" t="str">
        <f t="shared" si="18"/>
        <v/>
      </c>
      <c r="AT19" s="1344" t="str">
        <f t="shared" si="19"/>
        <v/>
      </c>
      <c r="AU19" s="1344" t="str">
        <f t="shared" si="20"/>
        <v/>
      </c>
      <c r="AV19" s="1344" t="str">
        <f t="shared" si="21"/>
        <v/>
      </c>
      <c r="AW19" s="1344" t="str">
        <f t="shared" si="22"/>
        <v/>
      </c>
      <c r="AX19" s="1344" t="str">
        <f t="shared" si="23"/>
        <v/>
      </c>
      <c r="AY19" s="1344" t="str">
        <f t="shared" si="24"/>
        <v/>
      </c>
      <c r="AZ19" s="1344" t="str">
        <f t="shared" si="25"/>
        <v/>
      </c>
      <c r="BA19" s="1344" t="str">
        <f t="shared" si="26"/>
        <v/>
      </c>
      <c r="BB19" s="1344" t="str">
        <f t="shared" si="27"/>
        <v/>
      </c>
      <c r="BC19" s="1346" t="str">
        <f t="shared" si="28"/>
        <v/>
      </c>
      <c r="BD19" s="553"/>
      <c r="BE19" s="553"/>
      <c r="BF19" s="499" t="str">
        <f>IFERROR(INDEX($AC$6:$AC$31,_xlfn.AGGREGATE(15,6,(ROW($AC$6:$AC$31)-ROW($AC$6)+1)/($BC$6:$BC$31="SÍ"),ROWS($BF$6:BF19))),"")</f>
        <v/>
      </c>
      <c r="BG19" s="500" t="str">
        <f t="shared" si="29"/>
        <v/>
      </c>
      <c r="BH19" s="458" t="str">
        <f t="shared" si="30"/>
        <v/>
      </c>
      <c r="BI19" s="501" t="str">
        <f t="shared" si="31"/>
        <v/>
      </c>
    </row>
    <row r="20" spans="1:61" ht="38.25" customHeight="1">
      <c r="A20" s="2257"/>
      <c r="C20" s="1314">
        <f>+PP!B38</f>
        <v>15</v>
      </c>
      <c r="D20" s="1306" t="str">
        <f>+PP!C38</f>
        <v>FILETE C/M C/T TRES PIELES 1.0-2.0 kg/pza</v>
      </c>
      <c r="E20" s="1293"/>
      <c r="F20" s="1294"/>
      <c r="G20" s="1294"/>
      <c r="H20" s="1294"/>
      <c r="I20" s="1294"/>
      <c r="J20" s="1294"/>
      <c r="K20" s="1294"/>
      <c r="L20" s="1294"/>
      <c r="M20" s="1294"/>
      <c r="N20" s="1294"/>
      <c r="O20" s="1294"/>
      <c r="P20" s="1294"/>
      <c r="Q20" s="1294"/>
      <c r="R20" s="1731"/>
      <c r="S20" s="1731"/>
      <c r="T20" s="1731"/>
      <c r="U20" s="1731"/>
      <c r="V20" s="1731"/>
      <c r="W20" s="1731"/>
      <c r="X20" s="2090"/>
      <c r="Y20" s="2099">
        <f t="shared" si="0"/>
        <v>0</v>
      </c>
      <c r="Z20" s="1321">
        <f t="shared" si="1"/>
        <v>0</v>
      </c>
      <c r="AA20" s="1322">
        <f t="shared" si="2"/>
        <v>0</v>
      </c>
      <c r="AB20" s="549"/>
      <c r="AC20" s="1342" t="str">
        <f>IFERROR(INDEX($C$6:$C$53,_xlfn.AGGREGATE(15,6,(ROW($C$6:$C$53)-ROW($C$6)+1)/($Y$6:$Y$53&gt;0),ROWS($AC$6:AC20))),"")</f>
        <v/>
      </c>
      <c r="AD20" s="1343" t="str">
        <f t="shared" si="3"/>
        <v/>
      </c>
      <c r="AE20" s="1344" t="str">
        <f t="shared" si="4"/>
        <v/>
      </c>
      <c r="AF20" s="1344" t="str">
        <f t="shared" si="5"/>
        <v/>
      </c>
      <c r="AG20" s="1344" t="str">
        <f t="shared" si="6"/>
        <v/>
      </c>
      <c r="AH20" s="1344" t="str">
        <f t="shared" si="7"/>
        <v/>
      </c>
      <c r="AI20" s="1344" t="str">
        <f t="shared" si="8"/>
        <v/>
      </c>
      <c r="AJ20" s="1344" t="str">
        <f t="shared" si="9"/>
        <v/>
      </c>
      <c r="AK20" s="1344" t="str">
        <f t="shared" si="10"/>
        <v/>
      </c>
      <c r="AL20" s="1365" t="str">
        <f t="shared" si="11"/>
        <v/>
      </c>
      <c r="AM20" s="1344" t="str">
        <f t="shared" si="12"/>
        <v/>
      </c>
      <c r="AN20" s="1344" t="str">
        <f t="shared" si="13"/>
        <v/>
      </c>
      <c r="AO20" s="1344" t="str">
        <f t="shared" si="14"/>
        <v/>
      </c>
      <c r="AP20" s="1344" t="str">
        <f t="shared" si="15"/>
        <v/>
      </c>
      <c r="AQ20" s="1344" t="str">
        <f t="shared" si="16"/>
        <v/>
      </c>
      <c r="AR20" s="1344" t="str">
        <f t="shared" si="17"/>
        <v/>
      </c>
      <c r="AS20" s="1344" t="str">
        <f t="shared" si="18"/>
        <v/>
      </c>
      <c r="AT20" s="1344" t="str">
        <f t="shared" si="19"/>
        <v/>
      </c>
      <c r="AU20" s="1344" t="str">
        <f t="shared" si="20"/>
        <v/>
      </c>
      <c r="AV20" s="1344" t="str">
        <f t="shared" si="21"/>
        <v/>
      </c>
      <c r="AW20" s="1344" t="str">
        <f t="shared" si="22"/>
        <v/>
      </c>
      <c r="AX20" s="1344" t="str">
        <f t="shared" si="23"/>
        <v/>
      </c>
      <c r="AY20" s="1344" t="str">
        <f t="shared" si="24"/>
        <v/>
      </c>
      <c r="AZ20" s="1344" t="str">
        <f t="shared" si="25"/>
        <v/>
      </c>
      <c r="BA20" s="1344" t="str">
        <f t="shared" si="26"/>
        <v/>
      </c>
      <c r="BB20" s="1344" t="str">
        <f t="shared" si="27"/>
        <v/>
      </c>
      <c r="BC20" s="1346" t="str">
        <f t="shared" si="28"/>
        <v/>
      </c>
      <c r="BD20" s="553"/>
      <c r="BE20" s="553"/>
      <c r="BF20" s="499" t="str">
        <f>IFERROR(INDEX($AC$6:$AC$31,_xlfn.AGGREGATE(15,6,(ROW($AC$6:$AC$31)-ROW($AC$6)+1)/($BC$6:$BC$31="SÍ"),ROWS($BF$6:BF20))),"")</f>
        <v/>
      </c>
      <c r="BG20" s="500" t="str">
        <f t="shared" si="29"/>
        <v/>
      </c>
      <c r="BH20" s="458" t="str">
        <f t="shared" si="30"/>
        <v/>
      </c>
      <c r="BI20" s="501" t="str">
        <f t="shared" si="31"/>
        <v/>
      </c>
    </row>
    <row r="21" spans="1:61" ht="33.75" customHeight="1">
      <c r="A21" s="2257"/>
      <c r="C21" s="1314">
        <f>+PP!B39</f>
        <v>16</v>
      </c>
      <c r="D21" s="1306" t="str">
        <f>+PP!C39</f>
        <v>FILETE C/M C/T TRES PIELES 2.0-4.0 kg/pza</v>
      </c>
      <c r="E21" s="1293"/>
      <c r="F21" s="1294"/>
      <c r="G21" s="1294"/>
      <c r="H21" s="1294"/>
      <c r="I21" s="1294"/>
      <c r="J21" s="1294"/>
      <c r="K21" s="1294"/>
      <c r="L21" s="1294"/>
      <c r="M21" s="1294"/>
      <c r="N21" s="1294"/>
      <c r="O21" s="1294"/>
      <c r="P21" s="1294"/>
      <c r="Q21" s="1294"/>
      <c r="R21" s="1731"/>
      <c r="S21" s="1731"/>
      <c r="T21" s="1731"/>
      <c r="U21" s="1731"/>
      <c r="V21" s="1731"/>
      <c r="W21" s="1731"/>
      <c r="X21" s="2090"/>
      <c r="Y21" s="2099">
        <f t="shared" si="0"/>
        <v>0</v>
      </c>
      <c r="Z21" s="1321">
        <f t="shared" si="1"/>
        <v>0</v>
      </c>
      <c r="AA21" s="1322">
        <f t="shared" si="2"/>
        <v>0</v>
      </c>
      <c r="AB21" s="549"/>
      <c r="AC21" s="1342" t="str">
        <f>IFERROR(INDEX($C$6:$C$53,_xlfn.AGGREGATE(15,6,(ROW($C$6:$C$53)-ROW($C$6)+1)/($Y$6:$Y$53&gt;0),ROWS($AC$6:AC21))),"")</f>
        <v/>
      </c>
      <c r="AD21" s="1343" t="str">
        <f t="shared" si="3"/>
        <v/>
      </c>
      <c r="AE21" s="1344" t="str">
        <f t="shared" si="4"/>
        <v/>
      </c>
      <c r="AF21" s="1344" t="str">
        <f t="shared" si="5"/>
        <v/>
      </c>
      <c r="AG21" s="1344" t="str">
        <f t="shared" si="6"/>
        <v/>
      </c>
      <c r="AH21" s="1344" t="str">
        <f t="shared" si="7"/>
        <v/>
      </c>
      <c r="AI21" s="1344" t="str">
        <f t="shared" si="8"/>
        <v/>
      </c>
      <c r="AJ21" s="1344" t="str">
        <f t="shared" si="9"/>
        <v/>
      </c>
      <c r="AK21" s="1344" t="str">
        <f t="shared" si="10"/>
        <v/>
      </c>
      <c r="AL21" s="1365" t="str">
        <f t="shared" si="11"/>
        <v/>
      </c>
      <c r="AM21" s="1344" t="str">
        <f t="shared" si="12"/>
        <v/>
      </c>
      <c r="AN21" s="1344" t="str">
        <f t="shared" si="13"/>
        <v/>
      </c>
      <c r="AO21" s="1344" t="str">
        <f t="shared" si="14"/>
        <v/>
      </c>
      <c r="AP21" s="1344" t="str">
        <f t="shared" si="15"/>
        <v/>
      </c>
      <c r="AQ21" s="1365" t="str">
        <f t="shared" si="16"/>
        <v/>
      </c>
      <c r="AR21" s="1344" t="str">
        <f t="shared" si="17"/>
        <v/>
      </c>
      <c r="AS21" s="1344" t="str">
        <f t="shared" si="18"/>
        <v/>
      </c>
      <c r="AT21" s="1344" t="str">
        <f t="shared" si="19"/>
        <v/>
      </c>
      <c r="AU21" s="1344" t="str">
        <f t="shared" si="20"/>
        <v/>
      </c>
      <c r="AV21" s="1344" t="str">
        <f t="shared" si="21"/>
        <v/>
      </c>
      <c r="AW21" s="1344" t="str">
        <f t="shared" si="22"/>
        <v/>
      </c>
      <c r="AX21" s="1344" t="str">
        <f t="shared" si="23"/>
        <v/>
      </c>
      <c r="AY21" s="1344" t="str">
        <f t="shared" si="24"/>
        <v/>
      </c>
      <c r="AZ21" s="1344" t="str">
        <f t="shared" si="25"/>
        <v/>
      </c>
      <c r="BA21" s="1344" t="str">
        <f t="shared" si="26"/>
        <v/>
      </c>
      <c r="BB21" s="1344" t="str">
        <f t="shared" si="27"/>
        <v/>
      </c>
      <c r="BC21" s="1346" t="str">
        <f t="shared" si="28"/>
        <v/>
      </c>
      <c r="BD21" s="553"/>
      <c r="BE21" s="553"/>
      <c r="BF21" s="499" t="str">
        <f>IFERROR(INDEX($AC$6:$AC$31,_xlfn.AGGREGATE(15,6,(ROW($AC$6:$AC$31)-ROW($AC$6)+1)/($BC$6:$BC$31="SÍ"),ROWS($BF$6:BF21))),"")</f>
        <v/>
      </c>
      <c r="BG21" s="500" t="str">
        <f t="shared" si="29"/>
        <v/>
      </c>
      <c r="BH21" s="458" t="str">
        <f t="shared" si="30"/>
        <v/>
      </c>
      <c r="BI21" s="501" t="str">
        <f t="shared" si="31"/>
        <v/>
      </c>
    </row>
    <row r="22" spans="1:61" ht="35.25" customHeight="1">
      <c r="A22" s="2257"/>
      <c r="C22" s="1314">
        <f>+PP!B40</f>
        <v>17</v>
      </c>
      <c r="D22" s="1306" t="str">
        <f>+PP!C40</f>
        <v>FILETE C/M C/T ENTERO BLANCO 1.0-2.0 kg/pza</v>
      </c>
      <c r="E22" s="1293"/>
      <c r="F22" s="1294"/>
      <c r="G22" s="1294"/>
      <c r="H22" s="1294"/>
      <c r="I22" s="1294"/>
      <c r="J22" s="1294"/>
      <c r="K22" s="1294"/>
      <c r="L22" s="1294"/>
      <c r="M22" s="1294"/>
      <c r="N22" s="1294"/>
      <c r="O22" s="1294"/>
      <c r="P22" s="1294"/>
      <c r="Q22" s="1294"/>
      <c r="R22" s="1731"/>
      <c r="S22" s="1731"/>
      <c r="T22" s="1731"/>
      <c r="U22" s="1731"/>
      <c r="V22" s="1731"/>
      <c r="W22" s="1731"/>
      <c r="X22" s="2090"/>
      <c r="Y22" s="2099">
        <f t="shared" si="0"/>
        <v>0</v>
      </c>
      <c r="Z22" s="1321">
        <f t="shared" si="1"/>
        <v>0</v>
      </c>
      <c r="AA22" s="1322">
        <f t="shared" si="2"/>
        <v>0</v>
      </c>
      <c r="AB22" s="549"/>
      <c r="AC22" s="1342" t="str">
        <f>IFERROR(INDEX($C$6:$C$53,_xlfn.AGGREGATE(15,6,(ROW($C$6:$C$53)-ROW($C$6)+1)/($Y$6:$Y$53&gt;0),ROWS($AC$6:AC22))),"")</f>
        <v/>
      </c>
      <c r="AD22" s="1343" t="str">
        <f t="shared" si="3"/>
        <v/>
      </c>
      <c r="AE22" s="1344" t="str">
        <f t="shared" si="4"/>
        <v/>
      </c>
      <c r="AF22" s="1344" t="str">
        <f t="shared" si="5"/>
        <v/>
      </c>
      <c r="AG22" s="1344" t="str">
        <f t="shared" si="6"/>
        <v/>
      </c>
      <c r="AH22" s="1344" t="str">
        <f t="shared" si="7"/>
        <v/>
      </c>
      <c r="AI22" s="1344" t="str">
        <f t="shared" si="8"/>
        <v/>
      </c>
      <c r="AJ22" s="1344" t="str">
        <f t="shared" si="9"/>
        <v/>
      </c>
      <c r="AK22" s="1344" t="str">
        <f t="shared" si="10"/>
        <v/>
      </c>
      <c r="AL22" s="1344" t="str">
        <f t="shared" si="11"/>
        <v/>
      </c>
      <c r="AM22" s="1344" t="str">
        <f t="shared" si="12"/>
        <v/>
      </c>
      <c r="AN22" s="1344" t="str">
        <f t="shared" si="13"/>
        <v/>
      </c>
      <c r="AO22" s="1344" t="str">
        <f t="shared" si="14"/>
        <v/>
      </c>
      <c r="AP22" s="1344" t="str">
        <f t="shared" si="15"/>
        <v/>
      </c>
      <c r="AQ22" s="1344" t="str">
        <f t="shared" si="16"/>
        <v/>
      </c>
      <c r="AR22" s="1344" t="str">
        <f t="shared" si="17"/>
        <v/>
      </c>
      <c r="AS22" s="1344" t="str">
        <f t="shared" si="18"/>
        <v/>
      </c>
      <c r="AT22" s="1344" t="str">
        <f t="shared" si="19"/>
        <v/>
      </c>
      <c r="AU22" s="1344" t="str">
        <f t="shared" si="20"/>
        <v/>
      </c>
      <c r="AV22" s="1344" t="str">
        <f t="shared" si="21"/>
        <v/>
      </c>
      <c r="AW22" s="1344" t="str">
        <f t="shared" si="22"/>
        <v/>
      </c>
      <c r="AX22" s="1344" t="str">
        <f t="shared" si="23"/>
        <v/>
      </c>
      <c r="AY22" s="1344" t="str">
        <f t="shared" si="24"/>
        <v/>
      </c>
      <c r="AZ22" s="1344" t="str">
        <f t="shared" si="25"/>
        <v/>
      </c>
      <c r="BA22" s="1344" t="str">
        <f t="shared" si="26"/>
        <v/>
      </c>
      <c r="BB22" s="1344" t="str">
        <f t="shared" si="27"/>
        <v/>
      </c>
      <c r="BC22" s="1346" t="str">
        <f t="shared" si="28"/>
        <v/>
      </c>
      <c r="BD22" s="553"/>
      <c r="BE22" s="553"/>
      <c r="BF22" s="499" t="str">
        <f>IFERROR(INDEX($AC$6:$AC$31,_xlfn.AGGREGATE(15,6,(ROW($AC$6:$AC$31)-ROW($AC$6)+1)/($BC$6:$BC$31="SÍ"),ROWS($BF$6:BF22))),"")</f>
        <v/>
      </c>
      <c r="BG22" s="500" t="str">
        <f t="shared" si="29"/>
        <v/>
      </c>
      <c r="BH22" s="458" t="str">
        <f t="shared" si="30"/>
        <v/>
      </c>
      <c r="BI22" s="501" t="str">
        <f t="shared" si="31"/>
        <v/>
      </c>
    </row>
    <row r="23" spans="1:61" ht="33.75" customHeight="1">
      <c r="A23" s="2257"/>
      <c r="C23" s="1314">
        <f>+PP!B41</f>
        <v>18</v>
      </c>
      <c r="D23" s="1306" t="str">
        <f>+PP!C41</f>
        <v>FILETE C/M C/T ENTERO BLANCO 2.0-4.0 kg/pza</v>
      </c>
      <c r="E23" s="1293"/>
      <c r="F23" s="1294"/>
      <c r="G23" s="1294"/>
      <c r="H23" s="1294"/>
      <c r="I23" s="1294"/>
      <c r="J23" s="1294"/>
      <c r="K23" s="1294"/>
      <c r="L23" s="1294"/>
      <c r="M23" s="1294"/>
      <c r="N23" s="1294"/>
      <c r="O23" s="1294"/>
      <c r="P23" s="1294"/>
      <c r="Q23" s="1294"/>
      <c r="R23" s="1731"/>
      <c r="S23" s="1731"/>
      <c r="T23" s="1731"/>
      <c r="U23" s="1731"/>
      <c r="V23" s="1731"/>
      <c r="W23" s="1731"/>
      <c r="X23" s="2090"/>
      <c r="Y23" s="2099">
        <f t="shared" si="0"/>
        <v>0</v>
      </c>
      <c r="Z23" s="1321">
        <f t="shared" si="1"/>
        <v>0</v>
      </c>
      <c r="AA23" s="1322">
        <f t="shared" si="2"/>
        <v>0</v>
      </c>
      <c r="AB23" s="549"/>
      <c r="AC23" s="1342" t="str">
        <f>IFERROR(INDEX($C$6:$C$53,_xlfn.AGGREGATE(15,6,(ROW($C$6:$C$53)-ROW($C$6)+1)/($Y$6:$Y$53&gt;0),ROWS($AC$6:AC23))),"")</f>
        <v/>
      </c>
      <c r="AD23" s="1343" t="str">
        <f t="shared" si="3"/>
        <v/>
      </c>
      <c r="AE23" s="1344" t="str">
        <f t="shared" si="4"/>
        <v/>
      </c>
      <c r="AF23" s="1344" t="str">
        <f t="shared" si="5"/>
        <v/>
      </c>
      <c r="AG23" s="1344" t="str">
        <f t="shared" si="6"/>
        <v/>
      </c>
      <c r="AH23" s="1344" t="str">
        <f t="shared" si="7"/>
        <v/>
      </c>
      <c r="AI23" s="1344" t="str">
        <f t="shared" si="8"/>
        <v/>
      </c>
      <c r="AJ23" s="1344" t="str">
        <f t="shared" si="9"/>
        <v/>
      </c>
      <c r="AK23" s="1344" t="str">
        <f t="shared" si="10"/>
        <v/>
      </c>
      <c r="AL23" s="1344" t="str">
        <f t="shared" si="11"/>
        <v/>
      </c>
      <c r="AM23" s="1344" t="str">
        <f t="shared" si="12"/>
        <v/>
      </c>
      <c r="AN23" s="1344" t="str">
        <f t="shared" si="13"/>
        <v/>
      </c>
      <c r="AO23" s="1344" t="str">
        <f t="shared" si="14"/>
        <v/>
      </c>
      <c r="AP23" s="1344" t="str">
        <f t="shared" si="15"/>
        <v/>
      </c>
      <c r="AQ23" s="1344" t="str">
        <f t="shared" si="16"/>
        <v/>
      </c>
      <c r="AR23" s="1344" t="str">
        <f t="shared" si="17"/>
        <v/>
      </c>
      <c r="AS23" s="1344" t="str">
        <f t="shared" si="18"/>
        <v/>
      </c>
      <c r="AT23" s="1344" t="str">
        <f t="shared" si="19"/>
        <v/>
      </c>
      <c r="AU23" s="1344" t="str">
        <f t="shared" si="20"/>
        <v/>
      </c>
      <c r="AV23" s="1344" t="str">
        <f t="shared" si="21"/>
        <v/>
      </c>
      <c r="AW23" s="1344" t="str">
        <f t="shared" si="22"/>
        <v/>
      </c>
      <c r="AX23" s="1344" t="str">
        <f t="shared" si="23"/>
        <v/>
      </c>
      <c r="AY23" s="1344" t="str">
        <f t="shared" si="24"/>
        <v/>
      </c>
      <c r="AZ23" s="1344" t="str">
        <f t="shared" si="25"/>
        <v/>
      </c>
      <c r="BA23" s="1344" t="str">
        <f t="shared" si="26"/>
        <v/>
      </c>
      <c r="BB23" s="1344" t="str">
        <f t="shared" si="27"/>
        <v/>
      </c>
      <c r="BC23" s="1346" t="str">
        <f t="shared" si="28"/>
        <v/>
      </c>
      <c r="BD23" s="553"/>
      <c r="BE23" s="553"/>
      <c r="BF23" s="499" t="str">
        <f>IFERROR(INDEX($AC$6:$AC$31,_xlfn.AGGREGATE(15,6,(ROW($AC$6:$AC$31)-ROW($AC$6)+1)/($BC$6:$BC$31="SÍ"),ROWS($BF$6:BF23))),"")</f>
        <v/>
      </c>
      <c r="BG23" s="500" t="str">
        <f t="shared" si="29"/>
        <v/>
      </c>
      <c r="BH23" s="458" t="str">
        <f t="shared" si="30"/>
        <v/>
      </c>
      <c r="BI23" s="501" t="str">
        <f t="shared" si="31"/>
        <v/>
      </c>
    </row>
    <row r="24" spans="1:61" ht="34.5" customHeight="1" thickBot="1">
      <c r="A24" s="2257"/>
      <c r="C24" s="2934">
        <f>+PP!B42</f>
        <v>19</v>
      </c>
      <c r="D24" s="1307" t="str">
        <f>+PP!C42</f>
        <v>FILETE LP C/M C/T ENTERO 2.0-4.0 kg/pza</v>
      </c>
      <c r="E24" s="1295"/>
      <c r="F24" s="1296"/>
      <c r="G24" s="1296"/>
      <c r="H24" s="1296"/>
      <c r="I24" s="1296"/>
      <c r="J24" s="1296"/>
      <c r="K24" s="1296"/>
      <c r="L24" s="1296"/>
      <c r="M24" s="1296"/>
      <c r="N24" s="1296"/>
      <c r="O24" s="1296"/>
      <c r="P24" s="1296"/>
      <c r="Q24" s="1296"/>
      <c r="R24" s="2935"/>
      <c r="S24" s="2935"/>
      <c r="T24" s="2935"/>
      <c r="U24" s="2935"/>
      <c r="V24" s="2935"/>
      <c r="W24" s="2935"/>
      <c r="X24" s="2936"/>
      <c r="Y24" s="2100">
        <f t="shared" si="0"/>
        <v>0</v>
      </c>
      <c r="Z24" s="1324">
        <f t="shared" si="1"/>
        <v>0</v>
      </c>
      <c r="AA24" s="1323">
        <f t="shared" si="2"/>
        <v>0</v>
      </c>
      <c r="AB24" s="549"/>
      <c r="AC24" s="1342" t="str">
        <f>IFERROR(INDEX($C$6:$C$53,_xlfn.AGGREGATE(15,6,(ROW($C$6:$C$53)-ROW($C$6)+1)/($Y$6:$Y$53&gt;0),ROWS($AC$6:AC24))),"")</f>
        <v/>
      </c>
      <c r="AD24" s="1343" t="str">
        <f t="shared" si="3"/>
        <v/>
      </c>
      <c r="AE24" s="1344" t="str">
        <f t="shared" si="4"/>
        <v/>
      </c>
      <c r="AF24" s="1344" t="str">
        <f t="shared" si="5"/>
        <v/>
      </c>
      <c r="AG24" s="1344" t="str">
        <f t="shared" si="6"/>
        <v/>
      </c>
      <c r="AH24" s="1344" t="str">
        <f t="shared" si="7"/>
        <v/>
      </c>
      <c r="AI24" s="1344" t="str">
        <f t="shared" si="8"/>
        <v/>
      </c>
      <c r="AJ24" s="1344" t="str">
        <f t="shared" si="9"/>
        <v/>
      </c>
      <c r="AK24" s="1344" t="str">
        <f t="shared" si="10"/>
        <v/>
      </c>
      <c r="AL24" s="1344" t="str">
        <f t="shared" si="11"/>
        <v/>
      </c>
      <c r="AM24" s="1344" t="str">
        <f t="shared" si="12"/>
        <v/>
      </c>
      <c r="AN24" s="1344" t="str">
        <f t="shared" si="13"/>
        <v/>
      </c>
      <c r="AO24" s="1344" t="str">
        <f t="shared" si="14"/>
        <v/>
      </c>
      <c r="AP24" s="1344" t="str">
        <f t="shared" si="15"/>
        <v/>
      </c>
      <c r="AQ24" s="1344" t="str">
        <f t="shared" si="16"/>
        <v/>
      </c>
      <c r="AR24" s="1344" t="str">
        <f t="shared" si="17"/>
        <v/>
      </c>
      <c r="AS24" s="1344" t="str">
        <f t="shared" si="18"/>
        <v/>
      </c>
      <c r="AT24" s="1344" t="str">
        <f t="shared" si="19"/>
        <v/>
      </c>
      <c r="AU24" s="1344" t="str">
        <f t="shared" si="20"/>
        <v/>
      </c>
      <c r="AV24" s="1344" t="str">
        <f t="shared" si="21"/>
        <v/>
      </c>
      <c r="AW24" s="1344" t="str">
        <f t="shared" si="22"/>
        <v/>
      </c>
      <c r="AX24" s="1344" t="str">
        <f t="shared" si="23"/>
        <v/>
      </c>
      <c r="AY24" s="1344" t="str">
        <f t="shared" si="24"/>
        <v/>
      </c>
      <c r="AZ24" s="1344" t="str">
        <f t="shared" si="25"/>
        <v/>
      </c>
      <c r="BA24" s="1344" t="str">
        <f t="shared" si="26"/>
        <v/>
      </c>
      <c r="BB24" s="1344" t="str">
        <f t="shared" si="27"/>
        <v/>
      </c>
      <c r="BC24" s="1346" t="str">
        <f t="shared" si="28"/>
        <v/>
      </c>
      <c r="BD24" s="553"/>
      <c r="BE24" s="553"/>
      <c r="BF24" s="499" t="str">
        <f>IFERROR(INDEX($AC$6:$AC$31,_xlfn.AGGREGATE(15,6,(ROW($AC$6:$AC$31)-ROW($AC$6)+1)/($BC$6:$BC$31="SÍ"),ROWS($BF$6:BF24))),"")</f>
        <v/>
      </c>
      <c r="BG24" s="500" t="str">
        <f t="shared" si="29"/>
        <v/>
      </c>
      <c r="BH24" s="458" t="str">
        <f t="shared" si="30"/>
        <v/>
      </c>
      <c r="BI24" s="501" t="str">
        <f t="shared" si="31"/>
        <v/>
      </c>
    </row>
    <row r="25" spans="1:61" ht="36" customHeight="1">
      <c r="A25" s="2257"/>
      <c r="C25" s="1313">
        <f>+PP!B43</f>
        <v>20</v>
      </c>
      <c r="D25" s="1309" t="str">
        <f>+PP!C43</f>
        <v>MANTO BLANCO C/M C/T 500-1000 g/pza</v>
      </c>
      <c r="E25" s="1291"/>
      <c r="F25" s="1292"/>
      <c r="G25" s="1292"/>
      <c r="H25" s="1292"/>
      <c r="I25" s="1292"/>
      <c r="J25" s="1292"/>
      <c r="K25" s="1292"/>
      <c r="L25" s="1292"/>
      <c r="M25" s="1292"/>
      <c r="N25" s="1292"/>
      <c r="O25" s="1292"/>
      <c r="P25" s="1292"/>
      <c r="Q25" s="1292"/>
      <c r="R25" s="1732"/>
      <c r="S25" s="1732"/>
      <c r="T25" s="1732"/>
      <c r="U25" s="1732"/>
      <c r="V25" s="1732"/>
      <c r="W25" s="1732"/>
      <c r="X25" s="2089"/>
      <c r="Y25" s="2098">
        <f t="shared" si="0"/>
        <v>0</v>
      </c>
      <c r="Z25" s="1319">
        <f t="shared" si="1"/>
        <v>0</v>
      </c>
      <c r="AA25" s="1320">
        <f t="shared" si="2"/>
        <v>0</v>
      </c>
      <c r="AB25" s="549"/>
      <c r="AC25" s="1342" t="str">
        <f>IFERROR(INDEX($C$6:$C$53,_xlfn.AGGREGATE(15,6,(ROW($C$6:$C$53)-ROW($C$6)+1)/($Y$6:$Y$53&gt;0),ROWS($AC$6:AC25))),"")</f>
        <v/>
      </c>
      <c r="AD25" s="1343" t="str">
        <f t="shared" si="3"/>
        <v/>
      </c>
      <c r="AE25" s="1344" t="str">
        <f t="shared" si="4"/>
        <v/>
      </c>
      <c r="AF25" s="1344" t="str">
        <f t="shared" si="5"/>
        <v/>
      </c>
      <c r="AG25" s="1344" t="str">
        <f t="shared" si="6"/>
        <v/>
      </c>
      <c r="AH25" s="1344" t="str">
        <f t="shared" si="7"/>
        <v/>
      </c>
      <c r="AI25" s="1344" t="str">
        <f t="shared" si="8"/>
        <v/>
      </c>
      <c r="AJ25" s="1344" t="str">
        <f t="shared" si="9"/>
        <v/>
      </c>
      <c r="AK25" s="1344" t="str">
        <f t="shared" si="10"/>
        <v/>
      </c>
      <c r="AL25" s="1344" t="str">
        <f t="shared" si="11"/>
        <v/>
      </c>
      <c r="AM25" s="1344" t="str">
        <f t="shared" si="12"/>
        <v/>
      </c>
      <c r="AN25" s="1344" t="str">
        <f t="shared" si="13"/>
        <v/>
      </c>
      <c r="AO25" s="1344" t="str">
        <f t="shared" si="14"/>
        <v/>
      </c>
      <c r="AP25" s="1344" t="str">
        <f t="shared" si="15"/>
        <v/>
      </c>
      <c r="AQ25" s="1344" t="str">
        <f t="shared" si="16"/>
        <v/>
      </c>
      <c r="AR25" s="1344" t="str">
        <f t="shared" si="17"/>
        <v/>
      </c>
      <c r="AS25" s="1344" t="str">
        <f t="shared" si="18"/>
        <v/>
      </c>
      <c r="AT25" s="1344" t="str">
        <f t="shared" si="19"/>
        <v/>
      </c>
      <c r="AU25" s="1344" t="str">
        <f t="shared" si="20"/>
        <v/>
      </c>
      <c r="AV25" s="1344" t="str">
        <f t="shared" si="21"/>
        <v/>
      </c>
      <c r="AW25" s="1344" t="str">
        <f t="shared" si="22"/>
        <v/>
      </c>
      <c r="AX25" s="1344" t="str">
        <f t="shared" si="23"/>
        <v/>
      </c>
      <c r="AY25" s="1344" t="str">
        <f t="shared" si="24"/>
        <v/>
      </c>
      <c r="AZ25" s="1344" t="str">
        <f t="shared" si="25"/>
        <v/>
      </c>
      <c r="BA25" s="1344" t="str">
        <f t="shared" si="26"/>
        <v/>
      </c>
      <c r="BB25" s="1344" t="str">
        <f t="shared" si="27"/>
        <v/>
      </c>
      <c r="BC25" s="1346" t="str">
        <f t="shared" si="28"/>
        <v/>
      </c>
      <c r="BD25" s="553"/>
      <c r="BE25" s="553"/>
      <c r="BF25" s="499" t="str">
        <f>IFERROR(INDEX($AC$6:$AC$31,_xlfn.AGGREGATE(15,6,(ROW($AC$6:$AC$31)-ROW($AC$6)+1)/($BC$6:$BC$31="SÍ"),ROWS($BF$6:BF25))),"")</f>
        <v/>
      </c>
      <c r="BG25" s="500" t="str">
        <f t="shared" si="29"/>
        <v/>
      </c>
      <c r="BH25" s="458" t="str">
        <f t="shared" si="30"/>
        <v/>
      </c>
      <c r="BI25" s="501" t="str">
        <f t="shared" si="31"/>
        <v/>
      </c>
    </row>
    <row r="26" spans="1:61" ht="33.75" customHeight="1">
      <c r="A26" s="2257"/>
      <c r="C26" s="1314">
        <f>+PP!B44</f>
        <v>21</v>
      </c>
      <c r="D26" s="1310" t="str">
        <f>+PP!C44</f>
        <v>MANTO BLANCO C/M C/T 1.0-2.0 kg/pza</v>
      </c>
      <c r="E26" s="1293"/>
      <c r="F26" s="1294"/>
      <c r="G26" s="1294"/>
      <c r="H26" s="1294"/>
      <c r="I26" s="1294"/>
      <c r="J26" s="1294"/>
      <c r="K26" s="1294"/>
      <c r="L26" s="1294"/>
      <c r="M26" s="1294"/>
      <c r="N26" s="1294"/>
      <c r="O26" s="1294"/>
      <c r="P26" s="1294"/>
      <c r="Q26" s="1294"/>
      <c r="R26" s="1731"/>
      <c r="S26" s="1731"/>
      <c r="T26" s="1731"/>
      <c r="U26" s="1731"/>
      <c r="V26" s="1731"/>
      <c r="W26" s="1731"/>
      <c r="X26" s="2090"/>
      <c r="Y26" s="2099">
        <f t="shared" si="0"/>
        <v>0</v>
      </c>
      <c r="Z26" s="1321">
        <f t="shared" si="1"/>
        <v>0</v>
      </c>
      <c r="AA26" s="1322">
        <f t="shared" si="2"/>
        <v>0</v>
      </c>
      <c r="AB26" s="549"/>
      <c r="AC26" s="1342" t="str">
        <f>IFERROR(INDEX($C$6:$C$53,_xlfn.AGGREGATE(15,6,(ROW($C$6:$C$53)-ROW($C$6)+1)/($Y$6:$Y$53&gt;0),ROWS($AC$6:AC26))),"")</f>
        <v/>
      </c>
      <c r="AD26" s="1343" t="str">
        <f t="shared" si="3"/>
        <v/>
      </c>
      <c r="AE26" s="1344" t="str">
        <f t="shared" si="4"/>
        <v/>
      </c>
      <c r="AF26" s="1344" t="str">
        <f t="shared" si="5"/>
        <v/>
      </c>
      <c r="AG26" s="1344" t="str">
        <f t="shared" si="6"/>
        <v/>
      </c>
      <c r="AH26" s="1344" t="str">
        <f t="shared" si="7"/>
        <v/>
      </c>
      <c r="AI26" s="1344" t="str">
        <f t="shared" si="8"/>
        <v/>
      </c>
      <c r="AJ26" s="1344" t="str">
        <f t="shared" si="9"/>
        <v/>
      </c>
      <c r="AK26" s="1344" t="str">
        <f t="shared" si="10"/>
        <v/>
      </c>
      <c r="AL26" s="1344" t="str">
        <f t="shared" si="11"/>
        <v/>
      </c>
      <c r="AM26" s="1344" t="str">
        <f t="shared" si="12"/>
        <v/>
      </c>
      <c r="AN26" s="1344" t="str">
        <f t="shared" si="13"/>
        <v/>
      </c>
      <c r="AO26" s="1344" t="str">
        <f t="shared" si="14"/>
        <v/>
      </c>
      <c r="AP26" s="1344" t="str">
        <f t="shared" si="15"/>
        <v/>
      </c>
      <c r="AQ26" s="1344" t="str">
        <f t="shared" si="16"/>
        <v/>
      </c>
      <c r="AR26" s="1344" t="str">
        <f t="shared" si="17"/>
        <v/>
      </c>
      <c r="AS26" s="1344" t="str">
        <f t="shared" si="18"/>
        <v/>
      </c>
      <c r="AT26" s="1344" t="str">
        <f t="shared" si="19"/>
        <v/>
      </c>
      <c r="AU26" s="1344" t="str">
        <f t="shared" si="20"/>
        <v/>
      </c>
      <c r="AV26" s="1344" t="str">
        <f t="shared" si="21"/>
        <v/>
      </c>
      <c r="AW26" s="1344" t="str">
        <f t="shared" si="22"/>
        <v/>
      </c>
      <c r="AX26" s="1344" t="str">
        <f t="shared" si="23"/>
        <v/>
      </c>
      <c r="AY26" s="1344" t="str">
        <f t="shared" si="24"/>
        <v/>
      </c>
      <c r="AZ26" s="1344" t="str">
        <f t="shared" si="25"/>
        <v/>
      </c>
      <c r="BA26" s="1344" t="str">
        <f t="shared" si="26"/>
        <v/>
      </c>
      <c r="BB26" s="1344" t="str">
        <f t="shared" si="27"/>
        <v/>
      </c>
      <c r="BC26" s="1346" t="str">
        <f t="shared" si="28"/>
        <v/>
      </c>
      <c r="BD26" s="553"/>
      <c r="BE26" s="553"/>
      <c r="BF26" s="499" t="str">
        <f>IFERROR(INDEX($AC$6:$AC$31,_xlfn.AGGREGATE(15,6,(ROW($AC$6:$AC$31)-ROW($AC$6)+1)/($BC$6:$BC$31="SÍ"),ROWS($BF$6:BF26))),"")</f>
        <v/>
      </c>
      <c r="BG26" s="500" t="str">
        <f t="shared" si="29"/>
        <v/>
      </c>
      <c r="BH26" s="458" t="str">
        <f t="shared" si="30"/>
        <v/>
      </c>
      <c r="BI26" s="501" t="str">
        <f t="shared" si="31"/>
        <v/>
      </c>
    </row>
    <row r="27" spans="1:61" ht="36.75" customHeight="1" thickBot="1">
      <c r="A27" s="2257"/>
      <c r="C27" s="1314">
        <f>+PP!B45</f>
        <v>22</v>
      </c>
      <c r="D27" s="1310" t="str">
        <f>+PP!C45</f>
        <v>MANTO BLANCO C/M C/T 2.0-4.0 kg/pza</v>
      </c>
      <c r="E27" s="1293"/>
      <c r="F27" s="1294"/>
      <c r="G27" s="1294"/>
      <c r="H27" s="1294"/>
      <c r="I27" s="1294"/>
      <c r="J27" s="1294"/>
      <c r="K27" s="1294"/>
      <c r="L27" s="1294"/>
      <c r="M27" s="1294"/>
      <c r="N27" s="1294"/>
      <c r="O27" s="1294"/>
      <c r="P27" s="1294"/>
      <c r="Q27" s="1294"/>
      <c r="R27" s="1731"/>
      <c r="S27" s="1731"/>
      <c r="T27" s="1731"/>
      <c r="U27" s="1731"/>
      <c r="V27" s="1731"/>
      <c r="W27" s="1731"/>
      <c r="X27" s="2090"/>
      <c r="Y27" s="2099">
        <f t="shared" si="0"/>
        <v>0</v>
      </c>
      <c r="Z27" s="1321">
        <f t="shared" si="1"/>
        <v>0</v>
      </c>
      <c r="AA27" s="1322">
        <f t="shared" si="2"/>
        <v>0</v>
      </c>
      <c r="AB27" s="549"/>
      <c r="AC27" s="1347" t="str">
        <f>IFERROR(INDEX($C$6:$C$53,_xlfn.AGGREGATE(15,6,(ROW($C$6:$C$53)-ROW($C$6)+1)/($Y$6:$Y$53&gt;0),ROWS($AC$6:AC27))),"")</f>
        <v/>
      </c>
      <c r="AD27" s="1348" t="str">
        <f t="shared" si="3"/>
        <v/>
      </c>
      <c r="AE27" s="1349" t="str">
        <f t="shared" si="4"/>
        <v/>
      </c>
      <c r="AF27" s="1349" t="str">
        <f t="shared" si="5"/>
        <v/>
      </c>
      <c r="AG27" s="1349" t="str">
        <f t="shared" si="6"/>
        <v/>
      </c>
      <c r="AH27" s="1349" t="str">
        <f t="shared" si="7"/>
        <v/>
      </c>
      <c r="AI27" s="1349" t="str">
        <f t="shared" si="8"/>
        <v/>
      </c>
      <c r="AJ27" s="1349" t="str">
        <f t="shared" si="9"/>
        <v/>
      </c>
      <c r="AK27" s="1349" t="str">
        <f t="shared" si="10"/>
        <v/>
      </c>
      <c r="AL27" s="1349" t="str">
        <f t="shared" si="11"/>
        <v/>
      </c>
      <c r="AM27" s="1349" t="str">
        <f t="shared" si="12"/>
        <v/>
      </c>
      <c r="AN27" s="1349" t="str">
        <f t="shared" si="13"/>
        <v/>
      </c>
      <c r="AO27" s="1349" t="str">
        <f t="shared" si="14"/>
        <v/>
      </c>
      <c r="AP27" s="1349" t="str">
        <f t="shared" si="15"/>
        <v/>
      </c>
      <c r="AQ27" s="1349" t="str">
        <f t="shared" si="16"/>
        <v/>
      </c>
      <c r="AR27" s="1349" t="str">
        <f t="shared" si="17"/>
        <v/>
      </c>
      <c r="AS27" s="1349" t="str">
        <f t="shared" si="18"/>
        <v/>
      </c>
      <c r="AT27" s="1349" t="str">
        <f t="shared" si="19"/>
        <v/>
      </c>
      <c r="AU27" s="1349" t="str">
        <f t="shared" si="20"/>
        <v/>
      </c>
      <c r="AV27" s="1349" t="str">
        <f t="shared" si="21"/>
        <v/>
      </c>
      <c r="AW27" s="1349" t="str">
        <f t="shared" si="22"/>
        <v/>
      </c>
      <c r="AX27" s="1349" t="str">
        <f t="shared" si="23"/>
        <v/>
      </c>
      <c r="AY27" s="1349" t="str">
        <f t="shared" si="24"/>
        <v/>
      </c>
      <c r="AZ27" s="1349" t="str">
        <f t="shared" si="25"/>
        <v/>
      </c>
      <c r="BA27" s="1349" t="str">
        <f t="shared" si="26"/>
        <v/>
      </c>
      <c r="BB27" s="1349" t="str">
        <f t="shared" si="27"/>
        <v/>
      </c>
      <c r="BC27" s="1346" t="str">
        <f t="shared" si="28"/>
        <v/>
      </c>
      <c r="BD27" s="553"/>
      <c r="BE27" s="553"/>
      <c r="BF27" s="515" t="str">
        <f>IFERROR(INDEX($AC$6:$AC$31,_xlfn.AGGREGATE(15,6,(ROW($AC$6:$AC$31)-ROW($AC$6)+1)/($BC$6:$BC$31="SÍ"),ROWS($BF$6:BF27))),"")</f>
        <v/>
      </c>
      <c r="BG27" s="516" t="str">
        <f t="shared" si="29"/>
        <v/>
      </c>
      <c r="BH27" s="517" t="str">
        <f t="shared" si="30"/>
        <v/>
      </c>
      <c r="BI27" s="518" t="str">
        <f t="shared" si="31"/>
        <v/>
      </c>
    </row>
    <row r="28" spans="1:61" ht="34.5" customHeight="1" thickBot="1">
      <c r="A28" s="2257"/>
      <c r="C28" s="1314">
        <f>+PP!B46</f>
        <v>23</v>
      </c>
      <c r="D28" s="1310" t="str">
        <f>+PP!C46</f>
        <v>MANTO LP C/M C/T 500-1000 g/pza</v>
      </c>
      <c r="E28" s="1293"/>
      <c r="F28" s="1294"/>
      <c r="G28" s="1294"/>
      <c r="H28" s="1294"/>
      <c r="I28" s="1294"/>
      <c r="J28" s="1294"/>
      <c r="K28" s="1294"/>
      <c r="L28" s="1294"/>
      <c r="M28" s="1294"/>
      <c r="N28" s="1294"/>
      <c r="O28" s="1294"/>
      <c r="P28" s="1294"/>
      <c r="Q28" s="1294"/>
      <c r="R28" s="1731"/>
      <c r="S28" s="1731"/>
      <c r="T28" s="1731"/>
      <c r="U28" s="1731"/>
      <c r="V28" s="1731"/>
      <c r="W28" s="1731"/>
      <c r="X28" s="2090"/>
      <c r="Y28" s="2099">
        <f t="shared" si="0"/>
        <v>0</v>
      </c>
      <c r="Z28" s="1321">
        <f t="shared" si="1"/>
        <v>0</v>
      </c>
      <c r="AA28" s="1322">
        <f t="shared" si="2"/>
        <v>0</v>
      </c>
      <c r="AB28" s="549"/>
      <c r="AC28" s="1347" t="str">
        <f>IFERROR(INDEX($C$6:$C$53,_xlfn.AGGREGATE(15,6,(ROW($C$6:$C$53)-ROW($C$6)+1)/($Y$6:$Y$53&gt;0),ROWS($AC$6:AC28))),"")</f>
        <v/>
      </c>
      <c r="AD28" s="1348" t="str">
        <f t="shared" si="3"/>
        <v/>
      </c>
      <c r="AE28" s="1349" t="str">
        <f t="shared" si="4"/>
        <v/>
      </c>
      <c r="AF28" s="1349" t="str">
        <f t="shared" si="5"/>
        <v/>
      </c>
      <c r="AG28" s="1349" t="str">
        <f t="shared" si="6"/>
        <v/>
      </c>
      <c r="AH28" s="1349" t="str">
        <f t="shared" si="7"/>
        <v/>
      </c>
      <c r="AI28" s="1349" t="str">
        <f t="shared" si="8"/>
        <v/>
      </c>
      <c r="AJ28" s="1349" t="str">
        <f t="shared" si="9"/>
        <v/>
      </c>
      <c r="AK28" s="1349" t="str">
        <f t="shared" si="10"/>
        <v/>
      </c>
      <c r="AL28" s="1349" t="str">
        <f t="shared" si="11"/>
        <v/>
      </c>
      <c r="AM28" s="1349" t="str">
        <f t="shared" si="12"/>
        <v/>
      </c>
      <c r="AN28" s="1349" t="str">
        <f t="shared" si="13"/>
        <v/>
      </c>
      <c r="AO28" s="1349" t="str">
        <f t="shared" si="14"/>
        <v/>
      </c>
      <c r="AP28" s="1349" t="str">
        <f t="shared" si="15"/>
        <v/>
      </c>
      <c r="AQ28" s="1349" t="str">
        <f t="shared" si="16"/>
        <v/>
      </c>
      <c r="AR28" s="1349" t="str">
        <f t="shared" si="17"/>
        <v/>
      </c>
      <c r="AS28" s="1349" t="str">
        <f t="shared" si="18"/>
        <v/>
      </c>
      <c r="AT28" s="1349" t="str">
        <f t="shared" si="19"/>
        <v/>
      </c>
      <c r="AU28" s="1349" t="str">
        <f t="shared" si="20"/>
        <v/>
      </c>
      <c r="AV28" s="1349" t="str">
        <f t="shared" si="21"/>
        <v/>
      </c>
      <c r="AW28" s="1349" t="str">
        <f t="shared" si="22"/>
        <v/>
      </c>
      <c r="AX28" s="1349" t="str">
        <f t="shared" si="23"/>
        <v/>
      </c>
      <c r="AY28" s="1349" t="str">
        <f t="shared" si="24"/>
        <v/>
      </c>
      <c r="AZ28" s="1349" t="str">
        <f t="shared" si="25"/>
        <v/>
      </c>
      <c r="BA28" s="1349" t="str">
        <f t="shared" si="26"/>
        <v/>
      </c>
      <c r="BB28" s="1349" t="str">
        <f t="shared" si="27"/>
        <v/>
      </c>
      <c r="BC28" s="1346" t="str">
        <f t="shared" si="28"/>
        <v/>
      </c>
      <c r="BD28" s="558"/>
      <c r="BE28" s="558"/>
      <c r="BF28" s="2517" t="s">
        <v>514</v>
      </c>
      <c r="BG28" s="2518"/>
      <c r="BH28" s="559">
        <f>COUNT($BF$6:$BF$27)</f>
        <v>0</v>
      </c>
      <c r="BI28" s="560"/>
    </row>
    <row r="29" spans="1:61" s="561" customFormat="1" ht="33" customHeight="1">
      <c r="A29" s="2257"/>
      <c r="C29" s="1314">
        <f>+PP!B47</f>
        <v>24</v>
      </c>
      <c r="D29" s="1310" t="str">
        <f>+PP!C47</f>
        <v>MANTO LP C/M C/T 1.0-2.0 Kg/pza</v>
      </c>
      <c r="E29" s="1293"/>
      <c r="F29" s="1294"/>
      <c r="G29" s="1294"/>
      <c r="H29" s="1294"/>
      <c r="I29" s="1294"/>
      <c r="J29" s="1294"/>
      <c r="K29" s="1294"/>
      <c r="L29" s="1294"/>
      <c r="M29" s="1294"/>
      <c r="N29" s="1294"/>
      <c r="O29" s="1294"/>
      <c r="P29" s="1294"/>
      <c r="Q29" s="1294"/>
      <c r="R29" s="1731"/>
      <c r="S29" s="1731"/>
      <c r="T29" s="1731"/>
      <c r="U29" s="1731"/>
      <c r="V29" s="1731"/>
      <c r="W29" s="1731"/>
      <c r="X29" s="2090"/>
      <c r="Y29" s="2099">
        <f t="shared" si="0"/>
        <v>0</v>
      </c>
      <c r="Z29" s="1331">
        <f t="shared" si="1"/>
        <v>0</v>
      </c>
      <c r="AA29" s="1332">
        <f t="shared" si="2"/>
        <v>0</v>
      </c>
      <c r="AB29" s="549"/>
      <c r="AC29" s="1350" t="str">
        <f>IFERROR(INDEX($C$6:$C$53,_xlfn.AGGREGATE(15,6,(ROW($C$6:$C$53)-ROW($C$6)+1)/($Y$6:$Y$53&gt;0),ROWS($AC$6:AC29))),"")</f>
        <v/>
      </c>
      <c r="AD29" s="1351" t="str">
        <f t="shared" si="3"/>
        <v/>
      </c>
      <c r="AE29" s="1352" t="str">
        <f t="shared" si="4"/>
        <v/>
      </c>
      <c r="AF29" s="1352" t="str">
        <f t="shared" si="5"/>
        <v/>
      </c>
      <c r="AG29" s="1352" t="str">
        <f t="shared" si="6"/>
        <v/>
      </c>
      <c r="AH29" s="1352" t="str">
        <f t="shared" si="7"/>
        <v/>
      </c>
      <c r="AI29" s="1352" t="str">
        <f t="shared" si="8"/>
        <v/>
      </c>
      <c r="AJ29" s="1352" t="str">
        <f t="shared" si="9"/>
        <v/>
      </c>
      <c r="AK29" s="1352" t="str">
        <f t="shared" si="10"/>
        <v/>
      </c>
      <c r="AL29" s="1352" t="str">
        <f t="shared" si="11"/>
        <v/>
      </c>
      <c r="AM29" s="1352" t="str">
        <f t="shared" si="12"/>
        <v/>
      </c>
      <c r="AN29" s="1352" t="str">
        <f t="shared" si="13"/>
        <v/>
      </c>
      <c r="AO29" s="1352" t="str">
        <f t="shared" si="14"/>
        <v/>
      </c>
      <c r="AP29" s="1352" t="str">
        <f t="shared" si="15"/>
        <v/>
      </c>
      <c r="AQ29" s="1352" t="str">
        <f t="shared" si="16"/>
        <v/>
      </c>
      <c r="AR29" s="1352" t="str">
        <f t="shared" si="17"/>
        <v/>
      </c>
      <c r="AS29" s="1352" t="str">
        <f t="shared" si="18"/>
        <v/>
      </c>
      <c r="AT29" s="1352" t="str">
        <f t="shared" si="19"/>
        <v/>
      </c>
      <c r="AU29" s="1352" t="str">
        <f t="shared" si="20"/>
        <v/>
      </c>
      <c r="AV29" s="1352" t="str">
        <f t="shared" si="21"/>
        <v/>
      </c>
      <c r="AW29" s="1352" t="str">
        <f t="shared" si="22"/>
        <v/>
      </c>
      <c r="AX29" s="1352" t="str">
        <f t="shared" si="23"/>
        <v/>
      </c>
      <c r="AY29" s="1352" t="str">
        <f t="shared" si="24"/>
        <v/>
      </c>
      <c r="AZ29" s="1352" t="str">
        <f t="shared" si="25"/>
        <v/>
      </c>
      <c r="BA29" s="1352" t="str">
        <f t="shared" si="26"/>
        <v/>
      </c>
      <c r="BB29" s="1352" t="str">
        <f t="shared" si="27"/>
        <v/>
      </c>
      <c r="BC29" s="1353" t="str">
        <f t="shared" si="28"/>
        <v/>
      </c>
      <c r="BD29"/>
      <c r="BE29"/>
    </row>
    <row r="30" spans="1:61" ht="39" customHeight="1" thickBot="1">
      <c r="A30" s="2257"/>
      <c r="C30" s="2940">
        <f>+PP!B48</f>
        <v>25</v>
      </c>
      <c r="D30" s="2941" t="str">
        <f>+PP!C48</f>
        <v>MANTO LP C/M C/T 2.0-4.0 Kg/pza</v>
      </c>
      <c r="E30" s="1733"/>
      <c r="F30" s="2942"/>
      <c r="G30" s="2942"/>
      <c r="H30" s="2942"/>
      <c r="I30" s="2942"/>
      <c r="J30" s="2942"/>
      <c r="K30" s="2942"/>
      <c r="L30" s="2942"/>
      <c r="M30" s="2942"/>
      <c r="N30" s="2942"/>
      <c r="O30" s="2942"/>
      <c r="P30" s="2942"/>
      <c r="Q30" s="2942"/>
      <c r="R30" s="1734"/>
      <c r="S30" s="1734"/>
      <c r="T30" s="1734"/>
      <c r="U30" s="1734"/>
      <c r="V30" s="1734"/>
      <c r="W30" s="1734"/>
      <c r="X30" s="2091"/>
      <c r="Y30" s="2102">
        <f t="shared" si="0"/>
        <v>0</v>
      </c>
      <c r="Z30" s="1327">
        <f t="shared" si="1"/>
        <v>0</v>
      </c>
      <c r="AA30" s="1328">
        <f t="shared" si="2"/>
        <v>0</v>
      </c>
      <c r="AB30" s="549"/>
      <c r="AC30" s="1354" t="str">
        <f>IFERROR(INDEX($C$6:$C$53,_xlfn.AGGREGATE(15,6,(ROW($C$6:$C$53)-ROW($C$6)+1)/($Y$6:$Y$53&gt;0),ROWS($AC$6:AC30))),"")</f>
        <v/>
      </c>
      <c r="AD30" s="1355" t="str">
        <f t="shared" si="3"/>
        <v/>
      </c>
      <c r="AE30" s="1356" t="str">
        <f t="shared" si="4"/>
        <v/>
      </c>
      <c r="AF30" s="1356" t="str">
        <f t="shared" si="5"/>
        <v/>
      </c>
      <c r="AG30" s="1356" t="str">
        <f t="shared" si="6"/>
        <v/>
      </c>
      <c r="AH30" s="1356" t="str">
        <f t="shared" si="7"/>
        <v/>
      </c>
      <c r="AI30" s="1356" t="str">
        <f t="shared" si="8"/>
        <v/>
      </c>
      <c r="AJ30" s="1356" t="str">
        <f t="shared" si="9"/>
        <v/>
      </c>
      <c r="AK30" s="1356" t="str">
        <f t="shared" si="10"/>
        <v/>
      </c>
      <c r="AL30" s="1356" t="str">
        <f t="shared" si="11"/>
        <v/>
      </c>
      <c r="AM30" s="1356" t="str">
        <f t="shared" si="12"/>
        <v/>
      </c>
      <c r="AN30" s="1356" t="str">
        <f t="shared" si="13"/>
        <v/>
      </c>
      <c r="AO30" s="1356" t="str">
        <f t="shared" si="14"/>
        <v/>
      </c>
      <c r="AP30" s="1356" t="str">
        <f t="shared" si="15"/>
        <v/>
      </c>
      <c r="AQ30" s="1356" t="str">
        <f t="shared" si="16"/>
        <v/>
      </c>
      <c r="AR30" s="1356" t="str">
        <f t="shared" si="17"/>
        <v/>
      </c>
      <c r="AS30" s="1356" t="str">
        <f t="shared" si="18"/>
        <v/>
      </c>
      <c r="AT30" s="1356" t="str">
        <f t="shared" si="19"/>
        <v/>
      </c>
      <c r="AU30" s="1356" t="str">
        <f t="shared" si="20"/>
        <v/>
      </c>
      <c r="AV30" s="1356" t="str">
        <f t="shared" si="21"/>
        <v/>
      </c>
      <c r="AW30" s="1356" t="str">
        <f t="shared" si="22"/>
        <v/>
      </c>
      <c r="AX30" s="1356" t="str">
        <f t="shared" si="23"/>
        <v/>
      </c>
      <c r="AY30" s="1356" t="str">
        <f t="shared" si="24"/>
        <v/>
      </c>
      <c r="AZ30" s="1356" t="str">
        <f t="shared" si="25"/>
        <v/>
      </c>
      <c r="BA30" s="1356" t="str">
        <f t="shared" si="26"/>
        <v/>
      </c>
      <c r="BB30" s="1356" t="str">
        <f t="shared" si="27"/>
        <v/>
      </c>
      <c r="BC30" s="1357" t="str">
        <f t="shared" si="28"/>
        <v/>
      </c>
      <c r="BD30"/>
      <c r="BE30"/>
    </row>
    <row r="31" spans="1:61" ht="38.25" customHeight="1" thickBot="1">
      <c r="A31" s="2257"/>
      <c r="C31" s="1313">
        <f>+PP!B49</f>
        <v>26</v>
      </c>
      <c r="D31" s="2946" t="str">
        <f>+PP!C49</f>
        <v>NUCA C/C CERRADO 0-100 g/pza</v>
      </c>
      <c r="E31" s="2943"/>
      <c r="F31" s="1300"/>
      <c r="G31" s="1300"/>
      <c r="H31" s="1300"/>
      <c r="I31" s="1300"/>
      <c r="J31" s="1300"/>
      <c r="K31" s="1300"/>
      <c r="L31" s="1300"/>
      <c r="M31" s="1300"/>
      <c r="N31" s="1300"/>
      <c r="O31" s="1300"/>
      <c r="P31" s="1300"/>
      <c r="Q31" s="1300"/>
      <c r="R31" s="1736"/>
      <c r="S31" s="1736"/>
      <c r="T31" s="1736"/>
      <c r="U31" s="1736"/>
      <c r="V31" s="1736"/>
      <c r="W31" s="1736"/>
      <c r="X31" s="2092"/>
      <c r="Y31" s="2098">
        <f>SUM(E31:X31)</f>
        <v>0</v>
      </c>
      <c r="Z31" s="2952">
        <f t="shared" si="1"/>
        <v>0</v>
      </c>
      <c r="AA31" s="2949">
        <f t="shared" si="2"/>
        <v>0</v>
      </c>
      <c r="AB31" s="563"/>
      <c r="AC31" s="1354" t="str">
        <f>IFERROR(INDEX($C$6:$C$53,_xlfn.AGGREGATE(15,6,(ROW($C$6:$C$53)-ROW($C$6)+1)/($Y$6:$Y$53&gt;0),ROWS($AC$6:AC31))),"")</f>
        <v/>
      </c>
      <c r="AD31" s="1355" t="str">
        <f t="shared" si="3"/>
        <v/>
      </c>
      <c r="AE31" s="1356" t="str">
        <f t="shared" si="4"/>
        <v/>
      </c>
      <c r="AF31" s="1356" t="str">
        <f t="shared" si="5"/>
        <v/>
      </c>
      <c r="AG31" s="1356" t="str">
        <f t="shared" si="6"/>
        <v/>
      </c>
      <c r="AH31" s="1356" t="str">
        <f t="shared" si="7"/>
        <v/>
      </c>
      <c r="AI31" s="1356" t="str">
        <f t="shared" si="8"/>
        <v/>
      </c>
      <c r="AJ31" s="1356" t="str">
        <f t="shared" si="9"/>
        <v/>
      </c>
      <c r="AK31" s="1356" t="str">
        <f t="shared" si="10"/>
        <v/>
      </c>
      <c r="AL31" s="1356" t="str">
        <f t="shared" si="11"/>
        <v/>
      </c>
      <c r="AM31" s="1356" t="str">
        <f t="shared" si="12"/>
        <v/>
      </c>
      <c r="AN31" s="1356" t="str">
        <f t="shared" si="13"/>
        <v/>
      </c>
      <c r="AO31" s="1356" t="str">
        <f t="shared" si="14"/>
        <v/>
      </c>
      <c r="AP31" s="1356" t="str">
        <f t="shared" si="15"/>
        <v/>
      </c>
      <c r="AQ31" s="1356" t="str">
        <f t="shared" si="16"/>
        <v/>
      </c>
      <c r="AR31" s="1356" t="str">
        <f t="shared" si="17"/>
        <v/>
      </c>
      <c r="AS31" s="1356" t="str">
        <f t="shared" si="18"/>
        <v/>
      </c>
      <c r="AT31" s="1356" t="str">
        <f t="shared" si="19"/>
        <v/>
      </c>
      <c r="AU31" s="1356" t="str">
        <f t="shared" si="20"/>
        <v/>
      </c>
      <c r="AV31" s="1356" t="str">
        <f t="shared" si="21"/>
        <v/>
      </c>
      <c r="AW31" s="1356" t="str">
        <f t="shared" si="22"/>
        <v/>
      </c>
      <c r="AX31" s="1356" t="str">
        <f t="shared" si="23"/>
        <v/>
      </c>
      <c r="AY31" s="1356" t="str">
        <f t="shared" si="24"/>
        <v/>
      </c>
      <c r="AZ31" s="1356" t="str">
        <f t="shared" si="25"/>
        <v/>
      </c>
      <c r="BA31" s="1356" t="str">
        <f t="shared" si="26"/>
        <v/>
      </c>
      <c r="BB31" s="1356" t="str">
        <f t="shared" si="27"/>
        <v/>
      </c>
      <c r="BC31" s="1357" t="str">
        <f t="shared" si="28"/>
        <v/>
      </c>
      <c r="BD31"/>
      <c r="BE31"/>
    </row>
    <row r="32" spans="1:61" ht="33.75" customHeight="1" thickBot="1">
      <c r="A32" s="2257"/>
      <c r="C32" s="1314">
        <f>+PP!B50</f>
        <v>27</v>
      </c>
      <c r="D32" s="2947" t="str">
        <f>+PP!C50</f>
        <v>NUCA C/C ABIERTO 100-300 g/pza</v>
      </c>
      <c r="E32" s="2944"/>
      <c r="F32" s="1302"/>
      <c r="G32" s="1302"/>
      <c r="H32" s="1302"/>
      <c r="I32" s="1302"/>
      <c r="J32" s="1302"/>
      <c r="K32" s="1302"/>
      <c r="L32" s="1302"/>
      <c r="M32" s="1302"/>
      <c r="N32" s="1302"/>
      <c r="O32" s="1302"/>
      <c r="P32" s="1302"/>
      <c r="Q32" s="1302"/>
      <c r="R32" s="1735"/>
      <c r="S32" s="1735"/>
      <c r="T32" s="1735"/>
      <c r="U32" s="1735"/>
      <c r="V32" s="1735"/>
      <c r="W32" s="1735"/>
      <c r="X32" s="2093"/>
      <c r="Y32" s="2099">
        <f t="shared" ref="Y32:Y39" si="32">SUM(E32:X32)</f>
        <v>0</v>
      </c>
      <c r="Z32" s="2953">
        <f t="shared" si="1"/>
        <v>0</v>
      </c>
      <c r="AA32" s="2950">
        <f t="shared" si="2"/>
        <v>0</v>
      </c>
      <c r="AB32" s="1721"/>
      <c r="AC32" s="1358"/>
      <c r="AD32" s="1359" t="s">
        <v>3</v>
      </c>
      <c r="AE32" s="1359">
        <f t="shared" ref="AE32:AY32" si="33">SUM(AE6:AE31)</f>
        <v>0</v>
      </c>
      <c r="AF32" s="1359">
        <f t="shared" si="33"/>
        <v>0</v>
      </c>
      <c r="AG32" s="1359">
        <f t="shared" si="33"/>
        <v>0</v>
      </c>
      <c r="AH32" s="1359">
        <f t="shared" si="33"/>
        <v>0</v>
      </c>
      <c r="AI32" s="1359">
        <f t="shared" si="33"/>
        <v>0</v>
      </c>
      <c r="AJ32" s="1359">
        <f t="shared" si="33"/>
        <v>0</v>
      </c>
      <c r="AK32" s="1359">
        <f t="shared" si="33"/>
        <v>0</v>
      </c>
      <c r="AL32" s="1359">
        <f t="shared" si="33"/>
        <v>0</v>
      </c>
      <c r="AM32" s="1359">
        <f t="shared" si="33"/>
        <v>0</v>
      </c>
      <c r="AN32" s="1359">
        <f t="shared" si="33"/>
        <v>0</v>
      </c>
      <c r="AO32" s="1359">
        <f t="shared" si="33"/>
        <v>0</v>
      </c>
      <c r="AP32" s="1359">
        <f t="shared" si="33"/>
        <v>0</v>
      </c>
      <c r="AQ32" s="1359">
        <f t="shared" si="33"/>
        <v>0</v>
      </c>
      <c r="AR32" s="1359">
        <f t="shared" si="33"/>
        <v>0</v>
      </c>
      <c r="AS32" s="1359">
        <f t="shared" si="33"/>
        <v>0</v>
      </c>
      <c r="AT32" s="1359">
        <f t="shared" si="33"/>
        <v>0</v>
      </c>
      <c r="AU32" s="1359">
        <f t="shared" si="33"/>
        <v>0</v>
      </c>
      <c r="AV32" s="1359">
        <f t="shared" si="33"/>
        <v>0</v>
      </c>
      <c r="AW32" s="1359">
        <f t="shared" si="33"/>
        <v>0</v>
      </c>
      <c r="AX32" s="1359">
        <f t="shared" si="33"/>
        <v>0</v>
      </c>
      <c r="AY32" s="1359">
        <f t="shared" si="33"/>
        <v>0</v>
      </c>
      <c r="AZ32" s="1359">
        <f>AY32/2</f>
        <v>0</v>
      </c>
      <c r="BA32" s="1359">
        <f>AY32*10</f>
        <v>0</v>
      </c>
      <c r="BB32" s="1359" t="str">
        <f>IF(COUNTIF(BB6:BB31,"REVISIÓN*")&gt;0,"REVISAR","OK")</f>
        <v>OK</v>
      </c>
      <c r="BC32" s="1360" t="str">
        <f>IF(COUNTIF(BC6:BC31,"SÍ")&gt;0,"HAY","NO")</f>
        <v>NO</v>
      </c>
      <c r="BD32"/>
      <c r="BE32"/>
    </row>
    <row r="33" spans="1:57" ht="33.75" customHeight="1">
      <c r="A33" s="2257"/>
      <c r="C33" s="1314">
        <f>+PP!B51</f>
        <v>28</v>
      </c>
      <c r="D33" s="2947" t="str">
        <f>+PP!C51</f>
        <v>NUCA C/C ABIERTO 300-500 g/pza</v>
      </c>
      <c r="E33" s="2944"/>
      <c r="F33" s="1302"/>
      <c r="G33" s="1302"/>
      <c r="H33" s="1302"/>
      <c r="I33" s="1302"/>
      <c r="J33" s="1302"/>
      <c r="K33" s="1302"/>
      <c r="L33" s="1302"/>
      <c r="M33" s="1302"/>
      <c r="N33" s="1302"/>
      <c r="O33" s="1302"/>
      <c r="P33" s="1302"/>
      <c r="Q33" s="1302"/>
      <c r="R33" s="1735"/>
      <c r="S33" s="1735"/>
      <c r="T33" s="1735"/>
      <c r="U33" s="1735"/>
      <c r="V33" s="1735"/>
      <c r="W33" s="1735"/>
      <c r="X33" s="2093"/>
      <c r="Y33" s="2099">
        <f t="shared" si="32"/>
        <v>0</v>
      </c>
      <c r="Z33" s="2953">
        <f t="shared" si="1"/>
        <v>0</v>
      </c>
      <c r="AA33" s="2950">
        <f t="shared" si="2"/>
        <v>0</v>
      </c>
      <c r="AB33" s="1721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1:57" ht="32.25" customHeight="1">
      <c r="A34" s="2257"/>
      <c r="C34" s="1314">
        <f>+PP!B52</f>
        <v>29</v>
      </c>
      <c r="D34" s="2947" t="str">
        <f>+PP!C52</f>
        <v>NUCA C/C ABIERTO 500-1000 g/pza</v>
      </c>
      <c r="E34" s="2944"/>
      <c r="F34" s="1302"/>
      <c r="G34" s="1302"/>
      <c r="H34" s="1302"/>
      <c r="I34" s="1302"/>
      <c r="J34" s="1302"/>
      <c r="K34" s="1302"/>
      <c r="L34" s="1302"/>
      <c r="M34" s="1302"/>
      <c r="N34" s="1302"/>
      <c r="O34" s="1302"/>
      <c r="P34" s="1302"/>
      <c r="Q34" s="1302"/>
      <c r="R34" s="1735"/>
      <c r="S34" s="1735"/>
      <c r="T34" s="1735"/>
      <c r="U34" s="1735"/>
      <c r="V34" s="1735"/>
      <c r="W34" s="1735"/>
      <c r="X34" s="2093"/>
      <c r="Y34" s="2099">
        <f t="shared" si="32"/>
        <v>0</v>
      </c>
      <c r="Z34" s="2953">
        <f t="shared" si="1"/>
        <v>0</v>
      </c>
      <c r="AA34" s="2950">
        <f t="shared" si="2"/>
        <v>0</v>
      </c>
      <c r="AB34" s="1721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1:57" ht="38.25" customHeight="1" thickBot="1">
      <c r="A35" s="2257"/>
      <c r="C35" s="2934">
        <f>+PP!B53</f>
        <v>30</v>
      </c>
      <c r="D35" s="2948" t="str">
        <f>+PP!C53</f>
        <v>NUCA C/C ABIERTO 1.0 - UP kg/pza</v>
      </c>
      <c r="E35" s="2945"/>
      <c r="F35" s="1304"/>
      <c r="G35" s="1304"/>
      <c r="H35" s="1304"/>
      <c r="I35" s="1304"/>
      <c r="J35" s="1304"/>
      <c r="K35" s="1304"/>
      <c r="L35" s="1304"/>
      <c r="M35" s="1304"/>
      <c r="N35" s="1304"/>
      <c r="O35" s="1304"/>
      <c r="P35" s="1304"/>
      <c r="Q35" s="1304"/>
      <c r="R35" s="1737"/>
      <c r="S35" s="1737"/>
      <c r="T35" s="1737"/>
      <c r="U35" s="1737"/>
      <c r="V35" s="1737"/>
      <c r="W35" s="1737"/>
      <c r="X35" s="2094"/>
      <c r="Y35" s="2100">
        <f t="shared" si="32"/>
        <v>0</v>
      </c>
      <c r="Z35" s="2954">
        <f t="shared" si="1"/>
        <v>0</v>
      </c>
      <c r="AA35" s="2951">
        <f t="shared" si="2"/>
        <v>0</v>
      </c>
      <c r="AB35" s="1721"/>
      <c r="AC35"/>
      <c r="AD35">
        <f>17920+580</f>
        <v>18500</v>
      </c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1:57" ht="35.25" customHeight="1">
      <c r="A36" s="2257"/>
      <c r="C36" s="2955">
        <f>+PP!B54</f>
        <v>31</v>
      </c>
      <c r="D36" s="1309" t="str">
        <f>+PP!C54</f>
        <v>RECORTE BLANCO SM ST</v>
      </c>
      <c r="E36" s="1299"/>
      <c r="F36" s="1300"/>
      <c r="G36" s="1300"/>
      <c r="H36" s="1300"/>
      <c r="I36" s="1300"/>
      <c r="J36" s="1300"/>
      <c r="K36" s="1300"/>
      <c r="L36" s="1300"/>
      <c r="M36" s="1300"/>
      <c r="N36" s="1300"/>
      <c r="O36" s="1300"/>
      <c r="P36" s="1300"/>
      <c r="Q36" s="1300"/>
      <c r="R36" s="1736"/>
      <c r="S36" s="1736"/>
      <c r="T36" s="1736"/>
      <c r="U36" s="1736"/>
      <c r="V36" s="1736"/>
      <c r="W36" s="1736"/>
      <c r="X36" s="2092"/>
      <c r="Y36" s="2098">
        <f t="shared" si="32"/>
        <v>0</v>
      </c>
      <c r="Z36" s="1745">
        <f t="shared" si="1"/>
        <v>0</v>
      </c>
      <c r="AA36" s="1742">
        <f t="shared" si="2"/>
        <v>0</v>
      </c>
      <c r="AB36" s="1721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1:57" ht="33.75" customHeight="1">
      <c r="A37" s="2257"/>
      <c r="C37" s="1741">
        <f>+PP!B55</f>
        <v>32</v>
      </c>
      <c r="D37" s="1310" t="str">
        <f>+PP!C55</f>
        <v>RECORTE AMARILLO SM ST</v>
      </c>
      <c r="E37" s="1301"/>
      <c r="F37" s="1302"/>
      <c r="G37" s="1302"/>
      <c r="H37" s="1302"/>
      <c r="I37" s="1302"/>
      <c r="J37" s="1302"/>
      <c r="K37" s="1302"/>
      <c r="L37" s="1302"/>
      <c r="M37" s="1302"/>
      <c r="N37" s="1302"/>
      <c r="O37" s="1302"/>
      <c r="P37" s="1302"/>
      <c r="Q37" s="1302"/>
      <c r="R37" s="1735"/>
      <c r="S37" s="1735"/>
      <c r="T37" s="1735"/>
      <c r="U37" s="1735"/>
      <c r="V37" s="1735"/>
      <c r="W37" s="1735"/>
      <c r="X37" s="2093"/>
      <c r="Y37" s="2099">
        <f t="shared" si="32"/>
        <v>0</v>
      </c>
      <c r="Z37" s="2097">
        <f t="shared" si="1"/>
        <v>0</v>
      </c>
      <c r="AA37" s="1743">
        <f t="shared" si="2"/>
        <v>0</v>
      </c>
      <c r="AB37" s="1721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1:57" ht="31.5" customHeight="1" thickBot="1">
      <c r="A38" s="2257"/>
      <c r="C38" s="2956">
        <f>+PP!B56</f>
        <v>33</v>
      </c>
      <c r="D38" s="1311" t="str">
        <f>+PP!C56</f>
        <v>RECORTE PRECOCIDO</v>
      </c>
      <c r="E38" s="1303"/>
      <c r="F38" s="1304"/>
      <c r="G38" s="1304"/>
      <c r="H38" s="1304"/>
      <c r="I38" s="1304"/>
      <c r="J38" s="1304"/>
      <c r="K38" s="1304"/>
      <c r="L38" s="1304"/>
      <c r="M38" s="1304"/>
      <c r="N38" s="1304"/>
      <c r="O38" s="1304"/>
      <c r="P38" s="1304"/>
      <c r="Q38" s="1304"/>
      <c r="R38" s="1737"/>
      <c r="S38" s="1737"/>
      <c r="T38" s="1737"/>
      <c r="U38" s="1737"/>
      <c r="V38" s="1737"/>
      <c r="W38" s="1737"/>
      <c r="X38" s="2094"/>
      <c r="Y38" s="2100">
        <f t="shared" si="32"/>
        <v>0</v>
      </c>
      <c r="Z38" s="1746">
        <f t="shared" si="1"/>
        <v>0</v>
      </c>
      <c r="AA38" s="1744">
        <f t="shared" si="2"/>
        <v>0</v>
      </c>
      <c r="AB38" s="1721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1:57" ht="36" customHeight="1">
      <c r="A39" s="2257"/>
      <c r="C39" s="2955">
        <f>+PP!B57</f>
        <v>34</v>
      </c>
      <c r="D39" s="1309" t="str">
        <f>+PP!C57</f>
        <v>REPRODUCTORES SV, PEQUEÑO</v>
      </c>
      <c r="E39" s="1299"/>
      <c r="F39" s="1300"/>
      <c r="G39" s="1300"/>
      <c r="H39" s="1300"/>
      <c r="I39" s="1300"/>
      <c r="J39" s="1300"/>
      <c r="K39" s="1300"/>
      <c r="L39" s="1300"/>
      <c r="M39" s="1300"/>
      <c r="N39" s="1300"/>
      <c r="O39" s="1300"/>
      <c r="P39" s="1300"/>
      <c r="Q39" s="1300"/>
      <c r="R39" s="1736"/>
      <c r="S39" s="1736"/>
      <c r="T39" s="1736"/>
      <c r="U39" s="1736"/>
      <c r="V39" s="1736"/>
      <c r="W39" s="1736"/>
      <c r="X39" s="2092"/>
      <c r="Y39" s="2098">
        <f t="shared" si="32"/>
        <v>0</v>
      </c>
      <c r="Z39" s="1745">
        <f t="shared" si="1"/>
        <v>0</v>
      </c>
      <c r="AA39" s="1742">
        <f t="shared" si="2"/>
        <v>0</v>
      </c>
      <c r="AB39" s="563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</row>
    <row r="40" spans="1:57" ht="36" customHeight="1" thickBot="1">
      <c r="A40" s="2257"/>
      <c r="C40" s="2956">
        <f>+PP!B58</f>
        <v>35</v>
      </c>
      <c r="D40" s="1311" t="str">
        <f>+PP!C58</f>
        <v>REPRODUCTOR SV GRANDE</v>
      </c>
      <c r="E40" s="1303"/>
      <c r="F40" s="1304"/>
      <c r="G40" s="1304"/>
      <c r="H40" s="1304"/>
      <c r="I40" s="1304"/>
      <c r="J40" s="1304"/>
      <c r="K40" s="1304"/>
      <c r="L40" s="1304"/>
      <c r="M40" s="1304"/>
      <c r="N40" s="1304"/>
      <c r="O40" s="1304"/>
      <c r="P40" s="1304"/>
      <c r="Q40" s="1304"/>
      <c r="R40" s="1737"/>
      <c r="S40" s="1737"/>
      <c r="T40" s="1737"/>
      <c r="U40" s="1737"/>
      <c r="V40" s="1737"/>
      <c r="W40" s="1737"/>
      <c r="X40" s="2094"/>
      <c r="Y40" s="2100">
        <f t="shared" si="0"/>
        <v>0</v>
      </c>
      <c r="Z40" s="1746">
        <f t="shared" si="1"/>
        <v>0</v>
      </c>
      <c r="AA40" s="1744">
        <f t="shared" si="2"/>
        <v>0</v>
      </c>
      <c r="AB40" s="563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</row>
    <row r="41" spans="1:57" ht="33" customHeight="1" thickBot="1">
      <c r="A41" s="2257"/>
      <c r="C41" s="2937">
        <f>+PP!B59</f>
        <v>36</v>
      </c>
      <c r="D41" s="1308" t="str">
        <f>+PP!C59</f>
        <v>TUBO ALETA 1.0-2.0 Kg/pza</v>
      </c>
      <c r="E41" s="2086"/>
      <c r="F41" s="2087"/>
      <c r="G41" s="2087"/>
      <c r="H41" s="2087"/>
      <c r="I41" s="2087"/>
      <c r="J41" s="2087"/>
      <c r="K41" s="2087"/>
      <c r="L41" s="2087"/>
      <c r="M41" s="2087"/>
      <c r="N41" s="2087"/>
      <c r="O41" s="2087"/>
      <c r="P41" s="2087"/>
      <c r="Q41" s="2087"/>
      <c r="R41" s="2957"/>
      <c r="S41" s="2957"/>
      <c r="T41" s="2957"/>
      <c r="U41" s="2957"/>
      <c r="V41" s="2957"/>
      <c r="W41" s="2957"/>
      <c r="X41" s="2958"/>
      <c r="Y41" s="2088">
        <f t="shared" si="0"/>
        <v>0</v>
      </c>
      <c r="Z41" s="2959">
        <f t="shared" si="1"/>
        <v>0</v>
      </c>
      <c r="AA41" s="1326">
        <f t="shared" si="2"/>
        <v>0</v>
      </c>
      <c r="AB41" s="563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</row>
    <row r="42" spans="1:57" ht="35.25" customHeight="1">
      <c r="A42" s="2257"/>
      <c r="C42" s="2933">
        <f>+PP!B60</f>
        <v>37</v>
      </c>
      <c r="D42" s="1312" t="str">
        <f>+PP!C60</f>
        <v>TENTACULO C/B C/V SR 100-300 g/pza (SUCIO)</v>
      </c>
      <c r="E42" s="1740"/>
      <c r="F42" s="1738"/>
      <c r="G42" s="1738"/>
      <c r="H42" s="1738"/>
      <c r="I42" s="1738"/>
      <c r="J42" s="1738"/>
      <c r="K42" s="1738"/>
      <c r="L42" s="1738"/>
      <c r="M42" s="1738"/>
      <c r="N42" s="1738"/>
      <c r="O42" s="1738"/>
      <c r="P42" s="1738"/>
      <c r="Q42" s="1738"/>
      <c r="R42" s="1739"/>
      <c r="S42" s="1739"/>
      <c r="T42" s="1739"/>
      <c r="U42" s="1739"/>
      <c r="V42" s="1739"/>
      <c r="W42" s="1739"/>
      <c r="X42" s="2095"/>
      <c r="Y42" s="2101">
        <f t="shared" si="0"/>
        <v>0</v>
      </c>
      <c r="Z42" s="1325">
        <f t="shared" si="1"/>
        <v>0</v>
      </c>
      <c r="AA42" s="1322">
        <f t="shared" si="2"/>
        <v>0</v>
      </c>
      <c r="AB42" s="563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</row>
    <row r="43" spans="1:57" ht="33.75" customHeight="1">
      <c r="A43" s="2257"/>
      <c r="C43" s="1314">
        <f>+PP!B61</f>
        <v>38</v>
      </c>
      <c r="D43" s="1306" t="str">
        <f>+PP!C61</f>
        <v>TENTACULO C/B C/V SR 300-500 g/pza (SUCIO)</v>
      </c>
      <c r="E43" s="1301"/>
      <c r="F43" s="1302"/>
      <c r="G43" s="1302"/>
      <c r="H43" s="1302"/>
      <c r="I43" s="1302"/>
      <c r="J43" s="1302"/>
      <c r="K43" s="1302"/>
      <c r="L43" s="1302"/>
      <c r="M43" s="1302"/>
      <c r="N43" s="1302"/>
      <c r="O43" s="1302"/>
      <c r="P43" s="1302"/>
      <c r="Q43" s="1302"/>
      <c r="R43" s="1735"/>
      <c r="S43" s="1735"/>
      <c r="T43" s="1735"/>
      <c r="U43" s="1735"/>
      <c r="V43" s="1735"/>
      <c r="W43" s="1735"/>
      <c r="X43" s="2093"/>
      <c r="Y43" s="2099">
        <f t="shared" si="0"/>
        <v>0</v>
      </c>
      <c r="Z43" s="1321">
        <f t="shared" si="1"/>
        <v>0</v>
      </c>
      <c r="AA43" s="1322">
        <f t="shared" si="2"/>
        <v>0</v>
      </c>
      <c r="AB43" s="56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</row>
    <row r="44" spans="1:57" ht="35.25" customHeight="1">
      <c r="A44" s="2257"/>
      <c r="C44" s="1314">
        <f>+PP!B62</f>
        <v>39</v>
      </c>
      <c r="D44" s="1306" t="str">
        <f>+PP!C62</f>
        <v>TENTACULO C/B S/V SR 100-300 g/pza</v>
      </c>
      <c r="E44" s="1301"/>
      <c r="F44" s="1302"/>
      <c r="G44" s="1302"/>
      <c r="H44" s="1302"/>
      <c r="I44" s="1302"/>
      <c r="J44" s="1302"/>
      <c r="K44" s="1302"/>
      <c r="L44" s="1302"/>
      <c r="M44" s="1302"/>
      <c r="N44" s="1302"/>
      <c r="O44" s="1302"/>
      <c r="P44" s="1302"/>
      <c r="Q44" s="1302"/>
      <c r="R44" s="1735"/>
      <c r="S44" s="1735"/>
      <c r="T44" s="1735"/>
      <c r="U44" s="1735"/>
      <c r="V44" s="1735"/>
      <c r="W44" s="1735"/>
      <c r="X44" s="2093"/>
      <c r="Y44" s="2099">
        <f t="shared" si="0"/>
        <v>0</v>
      </c>
      <c r="Z44" s="1321">
        <f t="shared" si="1"/>
        <v>0</v>
      </c>
      <c r="AA44" s="1322">
        <f t="shared" si="2"/>
        <v>0</v>
      </c>
      <c r="AB44" s="563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</row>
    <row r="45" spans="1:57" ht="36" customHeight="1">
      <c r="A45" s="2257"/>
      <c r="C45" s="1314">
        <f>+PP!B63</f>
        <v>40</v>
      </c>
      <c r="D45" s="1306" t="str">
        <f>+PP!C63</f>
        <v>TENTACULO C/B C/V SR 100-500 g/pza (SUCIO)</v>
      </c>
      <c r="E45" s="1301"/>
      <c r="F45" s="1302"/>
      <c r="G45" s="1302"/>
      <c r="H45" s="1302"/>
      <c r="I45" s="1302"/>
      <c r="J45" s="1302"/>
      <c r="K45" s="1302"/>
      <c r="L45" s="1302"/>
      <c r="M45" s="1302"/>
      <c r="N45" s="1302"/>
      <c r="O45" s="1302"/>
      <c r="P45" s="1302"/>
      <c r="Q45" s="1302"/>
      <c r="R45" s="1735"/>
      <c r="S45" s="1735"/>
      <c r="T45" s="1735"/>
      <c r="U45" s="1735"/>
      <c r="V45" s="1735"/>
      <c r="W45" s="1735"/>
      <c r="X45" s="2093"/>
      <c r="Y45" s="2099">
        <f t="shared" si="0"/>
        <v>0</v>
      </c>
      <c r="Z45" s="1321">
        <f t="shared" si="1"/>
        <v>0</v>
      </c>
      <c r="AA45" s="1322">
        <f t="shared" si="2"/>
        <v>0</v>
      </c>
      <c r="AB45" s="563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</row>
    <row r="46" spans="1:57" ht="37.5" customHeight="1">
      <c r="A46" s="2257"/>
      <c r="C46" s="1314">
        <f>+PP!B64</f>
        <v>41</v>
      </c>
      <c r="D46" s="1306" t="str">
        <f>+PP!C64</f>
        <v>TENTACULO C/B S/V SR 100-500 g/pza</v>
      </c>
      <c r="E46" s="1301"/>
      <c r="F46" s="1302"/>
      <c r="G46" s="1302"/>
      <c r="H46" s="1302"/>
      <c r="I46" s="1302"/>
      <c r="J46" s="1302"/>
      <c r="K46" s="1302"/>
      <c r="L46" s="1302"/>
      <c r="M46" s="1302"/>
      <c r="N46" s="1302"/>
      <c r="O46" s="1302"/>
      <c r="P46" s="1302"/>
      <c r="Q46" s="1302"/>
      <c r="R46" s="1735"/>
      <c r="S46" s="1735"/>
      <c r="T46" s="1735"/>
      <c r="U46" s="1735"/>
      <c r="V46" s="1735"/>
      <c r="W46" s="1735"/>
      <c r="X46" s="2093"/>
      <c r="Y46" s="2099">
        <f t="shared" si="0"/>
        <v>0</v>
      </c>
      <c r="Z46" s="1321">
        <f t="shared" si="1"/>
        <v>0</v>
      </c>
      <c r="AA46" s="1322">
        <f t="shared" si="2"/>
        <v>0</v>
      </c>
      <c r="AB46" s="563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</row>
    <row r="47" spans="1:57" ht="36" customHeight="1">
      <c r="A47" s="2257"/>
      <c r="C47" s="1314">
        <f>+PP!B65</f>
        <v>42</v>
      </c>
      <c r="D47" s="1306" t="str">
        <f>+PP!C65</f>
        <v>TENTACULO C/B S/V SR 300-500 g/pza</v>
      </c>
      <c r="E47" s="1301"/>
      <c r="F47" s="1302"/>
      <c r="G47" s="1302"/>
      <c r="H47" s="1302"/>
      <c r="I47" s="1302"/>
      <c r="J47" s="1302"/>
      <c r="K47" s="1302"/>
      <c r="L47" s="1302"/>
      <c r="M47" s="1302"/>
      <c r="N47" s="1302"/>
      <c r="O47" s="1302"/>
      <c r="P47" s="1302"/>
      <c r="Q47" s="1302"/>
      <c r="R47" s="1735"/>
      <c r="S47" s="1735"/>
      <c r="T47" s="1735"/>
      <c r="U47" s="1735"/>
      <c r="V47" s="1735"/>
      <c r="W47" s="1735"/>
      <c r="X47" s="2093"/>
      <c r="Y47" s="2099">
        <f t="shared" si="0"/>
        <v>0</v>
      </c>
      <c r="Z47" s="1321">
        <f t="shared" si="1"/>
        <v>0</v>
      </c>
      <c r="AA47" s="1322">
        <f t="shared" si="2"/>
        <v>0</v>
      </c>
      <c r="AB47" s="563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</row>
    <row r="48" spans="1:57" ht="36" customHeight="1">
      <c r="A48" s="2257"/>
      <c r="C48" s="1314">
        <f>+PP!B66</f>
        <v>43</v>
      </c>
      <c r="D48" s="1306" t="str">
        <f>+PP!C66</f>
        <v>TENTACULO C/B C/V SR 500-1000 g/pza (SUCIO)</v>
      </c>
      <c r="E48" s="1301"/>
      <c r="F48" s="1302"/>
      <c r="G48" s="1302"/>
      <c r="H48" s="1302"/>
      <c r="I48" s="1302"/>
      <c r="J48" s="1302"/>
      <c r="K48" s="1302"/>
      <c r="L48" s="1302"/>
      <c r="M48" s="1302"/>
      <c r="N48" s="1302"/>
      <c r="O48" s="1302"/>
      <c r="P48" s="1302"/>
      <c r="Q48" s="1302"/>
      <c r="R48" s="1735"/>
      <c r="S48" s="1735"/>
      <c r="T48" s="1735"/>
      <c r="U48" s="1735"/>
      <c r="V48" s="1735"/>
      <c r="W48" s="1735"/>
      <c r="X48" s="2093"/>
      <c r="Y48" s="2099">
        <f t="shared" si="0"/>
        <v>0</v>
      </c>
      <c r="Z48" s="1321">
        <f t="shared" si="1"/>
        <v>0</v>
      </c>
      <c r="AA48" s="1322">
        <f t="shared" si="2"/>
        <v>0</v>
      </c>
      <c r="AB48" s="563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</row>
    <row r="49" spans="1:104" ht="33" customHeight="1">
      <c r="A49" s="2257"/>
      <c r="C49" s="1314">
        <f>+PP!B67</f>
        <v>44</v>
      </c>
      <c r="D49" s="1306" t="str">
        <f>+PP!C67</f>
        <v>TENTACULO C/B S/V SR 500-1000 g/pza</v>
      </c>
      <c r="E49" s="1301"/>
      <c r="F49" s="1302"/>
      <c r="G49" s="1302"/>
      <c r="H49" s="1302"/>
      <c r="I49" s="1302"/>
      <c r="J49" s="1302"/>
      <c r="K49" s="1302"/>
      <c r="L49" s="1302"/>
      <c r="M49" s="1302"/>
      <c r="N49" s="1302"/>
      <c r="O49" s="1302"/>
      <c r="P49" s="1302"/>
      <c r="Q49" s="1302"/>
      <c r="R49" s="1735"/>
      <c r="S49" s="1735"/>
      <c r="T49" s="1735"/>
      <c r="U49" s="1735"/>
      <c r="V49" s="1735"/>
      <c r="W49" s="1735"/>
      <c r="X49" s="2093"/>
      <c r="Y49" s="2099">
        <f t="shared" si="0"/>
        <v>0</v>
      </c>
      <c r="Z49" s="1321">
        <f t="shared" si="1"/>
        <v>0</v>
      </c>
      <c r="AA49" s="1322">
        <f t="shared" si="2"/>
        <v>0</v>
      </c>
      <c r="AB49" s="563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</row>
    <row r="50" spans="1:104" ht="33" customHeight="1">
      <c r="A50" s="2257"/>
      <c r="C50" s="1314">
        <f>+PP!B68</f>
        <v>45</v>
      </c>
      <c r="D50" s="1306" t="str">
        <f>+PP!C68</f>
        <v>TENTACULO C/B C/V SR 1.0-2.0 Kg/pza (SUCIO)</v>
      </c>
      <c r="E50" s="1301"/>
      <c r="F50" s="1302"/>
      <c r="G50" s="1302"/>
      <c r="H50" s="1302"/>
      <c r="I50" s="1302"/>
      <c r="J50" s="1302"/>
      <c r="K50" s="1302"/>
      <c r="L50" s="1302"/>
      <c r="M50" s="1302"/>
      <c r="N50" s="1302"/>
      <c r="O50" s="1302"/>
      <c r="P50" s="1302"/>
      <c r="Q50" s="1302"/>
      <c r="R50" s="1735"/>
      <c r="S50" s="1735"/>
      <c r="T50" s="1735"/>
      <c r="U50" s="1735"/>
      <c r="V50" s="1735"/>
      <c r="W50" s="1735"/>
      <c r="X50" s="2093"/>
      <c r="Y50" s="2099">
        <f t="shared" si="0"/>
        <v>0</v>
      </c>
      <c r="Z50" s="1321">
        <f t="shared" si="1"/>
        <v>0</v>
      </c>
      <c r="AA50" s="1322">
        <f t="shared" si="2"/>
        <v>0</v>
      </c>
      <c r="AB50" s="563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1:104" ht="36" customHeight="1">
      <c r="A51" s="2257"/>
      <c r="C51" s="1314">
        <f>+PP!B69</f>
        <v>46</v>
      </c>
      <c r="D51" s="1306" t="str">
        <f>+PP!C69</f>
        <v>TENTACULO C/B S/V SR 1.0-2.0 Kg/pza</v>
      </c>
      <c r="E51" s="1301"/>
      <c r="F51" s="1302"/>
      <c r="G51" s="1302"/>
      <c r="H51" s="1302"/>
      <c r="I51" s="1302"/>
      <c r="J51" s="1302"/>
      <c r="K51" s="1302"/>
      <c r="L51" s="1302"/>
      <c r="M51" s="1302"/>
      <c r="N51" s="1302"/>
      <c r="O51" s="1302"/>
      <c r="P51" s="1302"/>
      <c r="Q51" s="1302"/>
      <c r="R51" s="1735"/>
      <c r="S51" s="1735"/>
      <c r="T51" s="1735"/>
      <c r="U51" s="1735"/>
      <c r="V51" s="1735"/>
      <c r="W51" s="1735"/>
      <c r="X51" s="2093"/>
      <c r="Y51" s="2099">
        <f t="shared" si="0"/>
        <v>0</v>
      </c>
      <c r="Z51" s="1321">
        <f t="shared" si="1"/>
        <v>0</v>
      </c>
      <c r="AA51" s="1322">
        <f t="shared" si="2"/>
        <v>0</v>
      </c>
      <c r="AB51" s="563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1:104" ht="33.75" customHeight="1" thickBot="1">
      <c r="A52" s="2257"/>
      <c r="C52" s="1314">
        <f>+PP!B70</f>
        <v>47</v>
      </c>
      <c r="D52" s="1307" t="str">
        <f>+PP!C70</f>
        <v>TENTACULO C/B S/V SR 2 UP Kg/pza</v>
      </c>
      <c r="E52" s="2083"/>
      <c r="F52" s="2084"/>
      <c r="G52" s="2084"/>
      <c r="H52" s="2084"/>
      <c r="I52" s="2084"/>
      <c r="J52" s="2084"/>
      <c r="K52" s="2084"/>
      <c r="L52" s="2084"/>
      <c r="M52" s="2084"/>
      <c r="N52" s="2084"/>
      <c r="O52" s="2084"/>
      <c r="P52" s="2084"/>
      <c r="Q52" s="2084"/>
      <c r="R52" s="2085"/>
      <c r="S52" s="2085"/>
      <c r="T52" s="2085"/>
      <c r="U52" s="2085"/>
      <c r="V52" s="2085"/>
      <c r="W52" s="2085"/>
      <c r="X52" s="2096"/>
      <c r="Y52" s="2102">
        <f t="shared" si="0"/>
        <v>0</v>
      </c>
      <c r="Z52" s="1321">
        <f t="shared" si="1"/>
        <v>0</v>
      </c>
      <c r="AA52" s="1328">
        <f t="shared" si="2"/>
        <v>0</v>
      </c>
      <c r="AB52" s="563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</row>
    <row r="53" spans="1:104" ht="36" customHeight="1" thickBot="1">
      <c r="A53" s="2257"/>
      <c r="C53" s="1314">
        <f>+PP!B71</f>
        <v>48</v>
      </c>
      <c r="D53" s="1308" t="str">
        <f>+PP!C71</f>
        <v>TUBO ALETA 500-1000 g/pza</v>
      </c>
      <c r="E53" s="2086"/>
      <c r="F53" s="2087"/>
      <c r="G53" s="2087"/>
      <c r="H53" s="2087"/>
      <c r="I53" s="2087"/>
      <c r="J53" s="2087"/>
      <c r="K53" s="2087"/>
      <c r="L53" s="2087"/>
      <c r="M53" s="2087"/>
      <c r="N53" s="2087"/>
      <c r="O53" s="2087"/>
      <c r="P53" s="2087"/>
      <c r="Q53" s="2087"/>
      <c r="R53" s="2957"/>
      <c r="S53" s="2957"/>
      <c r="T53" s="2957"/>
      <c r="U53" s="2957"/>
      <c r="V53" s="2957"/>
      <c r="W53" s="2957"/>
      <c r="X53" s="2966"/>
      <c r="Y53" s="2960">
        <f t="shared" si="0"/>
        <v>0</v>
      </c>
      <c r="Z53" s="1329">
        <f t="shared" si="1"/>
        <v>0</v>
      </c>
      <c r="AA53" s="1330">
        <f t="shared" si="2"/>
        <v>0</v>
      </c>
      <c r="AB53" s="56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</row>
    <row r="54" spans="1:104" ht="36" thickBot="1">
      <c r="A54" s="2257"/>
      <c r="C54" s="564"/>
      <c r="D54" s="1333" t="s">
        <v>38</v>
      </c>
      <c r="E54" s="2961">
        <f t="shared" ref="E54:AA54" si="34">SUM(E6:E53)</f>
        <v>0</v>
      </c>
      <c r="F54" s="2962">
        <f t="shared" si="34"/>
        <v>0</v>
      </c>
      <c r="G54" s="2962">
        <f t="shared" si="34"/>
        <v>0</v>
      </c>
      <c r="H54" s="2962">
        <f t="shared" si="34"/>
        <v>0</v>
      </c>
      <c r="I54" s="2962">
        <f t="shared" si="34"/>
        <v>0</v>
      </c>
      <c r="J54" s="2962">
        <f t="shared" si="34"/>
        <v>0</v>
      </c>
      <c r="K54" s="2962">
        <f t="shared" si="34"/>
        <v>0</v>
      </c>
      <c r="L54" s="2962">
        <f t="shared" si="34"/>
        <v>0</v>
      </c>
      <c r="M54" s="2962">
        <f t="shared" si="34"/>
        <v>0</v>
      </c>
      <c r="N54" s="2962">
        <f t="shared" si="34"/>
        <v>0</v>
      </c>
      <c r="O54" s="2962">
        <f t="shared" si="34"/>
        <v>0</v>
      </c>
      <c r="P54" s="2963">
        <f t="shared" si="34"/>
        <v>0</v>
      </c>
      <c r="Q54" s="2961">
        <f t="shared" si="34"/>
        <v>0</v>
      </c>
      <c r="R54" s="2964">
        <f t="shared" si="34"/>
        <v>0</v>
      </c>
      <c r="S54" s="2964">
        <f t="shared" si="34"/>
        <v>0</v>
      </c>
      <c r="T54" s="2964">
        <f t="shared" si="34"/>
        <v>0</v>
      </c>
      <c r="U54" s="2964">
        <f t="shared" si="34"/>
        <v>0</v>
      </c>
      <c r="V54" s="2964">
        <f t="shared" si="34"/>
        <v>0</v>
      </c>
      <c r="W54" s="2964">
        <f t="shared" si="34"/>
        <v>0</v>
      </c>
      <c r="X54" s="2965">
        <f t="shared" si="34"/>
        <v>0</v>
      </c>
      <c r="Y54" s="2103">
        <f t="shared" si="34"/>
        <v>0</v>
      </c>
      <c r="Z54" s="1317">
        <f t="shared" si="34"/>
        <v>0</v>
      </c>
      <c r="AA54" s="1318">
        <f t="shared" si="34"/>
        <v>0</v>
      </c>
      <c r="AB54" s="565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</row>
    <row r="55" spans="1:104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1718"/>
      <c r="V55" s="1718"/>
      <c r="W55" s="1718"/>
      <c r="X55" s="1718"/>
      <c r="Y55" s="30"/>
      <c r="Z55" s="30"/>
      <c r="AA55" s="30"/>
      <c r="AB55" s="30"/>
      <c r="AC55" s="30"/>
      <c r="AD55" s="30"/>
      <c r="AE55" s="30"/>
      <c r="AF55" s="30"/>
    </row>
    <row r="56" spans="1:104" ht="46.5" customHeight="1" thickBot="1">
      <c r="D56" s="1334" t="s">
        <v>116</v>
      </c>
      <c r="E56" s="2556" t="s">
        <v>115</v>
      </c>
      <c r="F56" s="2557"/>
      <c r="G56" s="2557"/>
      <c r="H56" s="2557"/>
      <c r="I56" s="2557"/>
      <c r="J56" s="2557"/>
      <c r="K56" s="2557"/>
      <c r="L56" s="2557"/>
      <c r="M56" s="2557"/>
      <c r="N56" s="2557"/>
      <c r="O56" s="2557"/>
      <c r="P56" s="2557"/>
      <c r="Q56" s="2557"/>
      <c r="R56" s="2558"/>
      <c r="S56" s="2558"/>
      <c r="T56" s="2558"/>
      <c r="U56" s="2558"/>
      <c r="V56" s="2558"/>
      <c r="W56" s="2558"/>
      <c r="X56" s="2558"/>
      <c r="Y56" s="2557"/>
      <c r="Z56" s="2557"/>
      <c r="AA56" s="2559"/>
      <c r="AB56" s="566"/>
      <c r="AC56" s="566"/>
      <c r="AD56" s="566"/>
      <c r="AE56" s="566"/>
      <c r="AF56" s="566"/>
      <c r="AG56" s="566"/>
      <c r="CY56" s="33" t="s">
        <v>77</v>
      </c>
      <c r="CZ56" s="31" t="str">
        <f>IFERROR(AA54/PP!K20*100,"")</f>
        <v/>
      </c>
    </row>
    <row r="57" spans="1:104" ht="30">
      <c r="J57" s="30"/>
      <c r="K57" s="30"/>
      <c r="L57" s="30"/>
      <c r="M57" s="30"/>
      <c r="N57" s="30"/>
      <c r="O57" s="30"/>
      <c r="P57" s="30"/>
      <c r="Q57" s="30"/>
      <c r="R57" s="452"/>
      <c r="S57" s="452"/>
      <c r="T57" s="452"/>
      <c r="U57" s="452"/>
      <c r="V57" s="452"/>
      <c r="W57" s="452"/>
      <c r="X57" s="452"/>
    </row>
    <row r="58" spans="1:104" ht="30">
      <c r="J58" s="30"/>
      <c r="K58" s="30"/>
      <c r="L58" s="30"/>
      <c r="M58" s="30"/>
      <c r="N58" s="30"/>
      <c r="O58" s="30"/>
      <c r="P58" s="30"/>
      <c r="Q58" s="30"/>
      <c r="R58" s="452"/>
      <c r="S58" s="452"/>
      <c r="T58" s="452"/>
      <c r="U58" s="452"/>
      <c r="V58" s="452"/>
      <c r="W58" s="452"/>
      <c r="X58" s="452"/>
    </row>
    <row r="59" spans="1:104" ht="30.75" thickBot="1">
      <c r="J59" s="30"/>
      <c r="K59" s="30"/>
      <c r="L59" s="30"/>
      <c r="M59" s="30"/>
      <c r="N59" s="30"/>
      <c r="O59" s="30"/>
      <c r="P59" s="30"/>
      <c r="Q59" s="30"/>
      <c r="R59" s="1718"/>
      <c r="S59" s="1718"/>
      <c r="T59" s="1718"/>
      <c r="U59" s="1718"/>
      <c r="V59" s="1718"/>
      <c r="W59" s="1718"/>
      <c r="X59" s="1718"/>
      <c r="Y59" s="30"/>
      <c r="Z59" s="30"/>
      <c r="AA59" s="30"/>
      <c r="AB59" s="30"/>
      <c r="AC59" s="30"/>
      <c r="AD59" s="30"/>
      <c r="AE59" s="30"/>
      <c r="AF59" s="30"/>
    </row>
    <row r="60" spans="1:104" ht="33.950000000000003" customHeight="1" thickTop="1" thickBot="1">
      <c r="D60" s="2239" t="s">
        <v>657</v>
      </c>
      <c r="E60" s="2240"/>
      <c r="F60" s="2240"/>
      <c r="G60" s="2240"/>
      <c r="H60" s="2240"/>
      <c r="I60" s="2240"/>
      <c r="J60" s="2240"/>
      <c r="K60" s="2240"/>
      <c r="L60" s="2240"/>
      <c r="M60" s="2241"/>
      <c r="N60" s="1459"/>
      <c r="O60" s="30"/>
      <c r="P60" s="2529" t="s">
        <v>604</v>
      </c>
      <c r="Q60" s="2560"/>
      <c r="R60" s="2561"/>
      <c r="S60" s="452"/>
      <c r="T60" s="452"/>
      <c r="U60" s="452"/>
      <c r="V60" s="1718"/>
      <c r="W60" s="1718"/>
      <c r="X60" s="1718"/>
      <c r="Y60" s="30"/>
      <c r="Z60" s="30"/>
      <c r="AA60" s="30"/>
      <c r="AB60" s="30"/>
      <c r="AC60" s="30"/>
      <c r="AD60" s="30"/>
      <c r="AE60" s="30"/>
      <c r="AF60" s="30"/>
    </row>
    <row r="61" spans="1:104" ht="30.95" customHeight="1">
      <c r="D61" s="2562" t="s">
        <v>15</v>
      </c>
      <c r="E61" s="2546"/>
      <c r="F61" s="2546"/>
      <c r="G61" s="2546"/>
      <c r="H61" s="1447" t="s">
        <v>186</v>
      </c>
      <c r="I61" s="1447" t="s">
        <v>670</v>
      </c>
      <c r="J61" s="1447" t="s">
        <v>667</v>
      </c>
      <c r="K61" s="1447" t="s">
        <v>671</v>
      </c>
      <c r="L61" s="1447" t="s">
        <v>672</v>
      </c>
      <c r="M61" s="1450" t="s">
        <v>637</v>
      </c>
      <c r="N61" s="1463"/>
      <c r="O61" s="30"/>
      <c r="P61" s="2534" t="s">
        <v>658</v>
      </c>
      <c r="Q61" s="2563"/>
      <c r="R61" s="1723">
        <v>10000</v>
      </c>
      <c r="S61" s="452"/>
      <c r="T61" s="452"/>
      <c r="U61" s="452"/>
      <c r="V61" s="1718"/>
      <c r="W61" s="1718"/>
      <c r="X61" s="1718"/>
      <c r="Y61" s="30"/>
      <c r="Z61" s="30"/>
      <c r="AA61" s="30"/>
      <c r="AB61" s="30"/>
      <c r="AC61" s="30"/>
      <c r="AD61" s="30"/>
      <c r="AE61" s="30"/>
      <c r="AF61" s="30"/>
    </row>
    <row r="62" spans="1:104" ht="30.95" customHeight="1">
      <c r="D62" s="2521">
        <v>1</v>
      </c>
      <c r="E62" s="2522"/>
      <c r="F62" s="2522"/>
      <c r="G62" s="2522"/>
      <c r="H62" s="1449" t="str">
        <f>+'T1'!E62</f>
        <v xml:space="preserve">ANDRES </v>
      </c>
      <c r="I62" s="1443"/>
      <c r="J62" s="1443"/>
      <c r="K62" s="1443"/>
      <c r="L62" s="1443"/>
      <c r="M62" s="1470">
        <f t="shared" ref="M62:M71" si="35">SUM(I62+J62+K62+L62)</f>
        <v>0</v>
      </c>
      <c r="N62" s="1464"/>
      <c r="P62" s="2525" t="s">
        <v>8</v>
      </c>
      <c r="Q62" s="2555"/>
      <c r="R62" s="1723">
        <f>M73</f>
        <v>0</v>
      </c>
      <c r="S62" s="452"/>
      <c r="T62" s="452"/>
      <c r="U62" s="452"/>
      <c r="V62" s="452"/>
      <c r="W62" s="452"/>
      <c r="X62" s="452"/>
    </row>
    <row r="63" spans="1:104" ht="30.95" customHeight="1">
      <c r="D63" s="2521">
        <v>2</v>
      </c>
      <c r="E63" s="2522"/>
      <c r="F63" s="2522"/>
      <c r="G63" s="2522"/>
      <c r="H63" s="1449" t="str">
        <f>+'T1'!E63</f>
        <v xml:space="preserve">FLOR </v>
      </c>
      <c r="I63" s="1444"/>
      <c r="J63" s="1444"/>
      <c r="K63" s="1444"/>
      <c r="L63" s="1444"/>
      <c r="M63" s="1470">
        <f t="shared" si="35"/>
        <v>0</v>
      </c>
      <c r="N63" s="1464"/>
      <c r="P63" s="2525" t="s">
        <v>659</v>
      </c>
      <c r="Q63" s="2525"/>
      <c r="R63" s="1448">
        <f>R61-R62</f>
        <v>10000</v>
      </c>
    </row>
    <row r="64" spans="1:104" ht="30.95" customHeight="1">
      <c r="D64" s="2521">
        <v>3</v>
      </c>
      <c r="E64" s="2522"/>
      <c r="F64" s="2522"/>
      <c r="G64" s="2522"/>
      <c r="H64" s="1449" t="str">
        <f>+'T1'!E64</f>
        <v>HANNOY</v>
      </c>
      <c r="I64" s="1443"/>
      <c r="J64" s="1443"/>
      <c r="K64" s="1443"/>
      <c r="L64" s="1443"/>
      <c r="M64" s="1470">
        <f t="shared" si="35"/>
        <v>0</v>
      </c>
      <c r="N64" s="1464"/>
      <c r="P64" s="2525" t="s">
        <v>449</v>
      </c>
      <c r="Q64" s="2525"/>
      <c r="R64" s="1446" t="str">
        <f>IF(R63&lt;0,"SOBRA",IF(R63&gt;0,"FALTA","OK"))</f>
        <v>FALTA</v>
      </c>
    </row>
    <row r="65" spans="4:18" ht="30.95" customHeight="1">
      <c r="D65" s="2521">
        <v>4</v>
      </c>
      <c r="E65" s="2522"/>
      <c r="F65" s="2522"/>
      <c r="G65" s="2522"/>
      <c r="H65" s="1449" t="str">
        <f>+'T1'!E65</f>
        <v>CHERLITA</v>
      </c>
      <c r="I65" s="1443"/>
      <c r="J65" s="1443"/>
      <c r="K65" s="1443"/>
      <c r="L65" s="1443"/>
      <c r="M65" s="1470">
        <f t="shared" si="35"/>
        <v>0</v>
      </c>
      <c r="N65" s="1464"/>
      <c r="P65" s="28"/>
      <c r="Q65" s="28"/>
      <c r="R65" s="28"/>
    </row>
    <row r="66" spans="4:18" ht="33.950000000000003" customHeight="1">
      <c r="D66" s="2521">
        <v>5</v>
      </c>
      <c r="E66" s="2522"/>
      <c r="F66" s="2522"/>
      <c r="G66" s="2522"/>
      <c r="H66" s="1449" t="str">
        <f>+'T1'!E66</f>
        <v>CHARLY</v>
      </c>
      <c r="I66" s="1443"/>
      <c r="J66" s="1443"/>
      <c r="K66" s="1443"/>
      <c r="L66" s="1443"/>
      <c r="M66" s="1470">
        <f t="shared" si="35"/>
        <v>0</v>
      </c>
      <c r="N66" s="1464"/>
      <c r="P66" s="2249" t="s">
        <v>660</v>
      </c>
      <c r="Q66" s="2250"/>
      <c r="R66" s="2250"/>
    </row>
    <row r="67" spans="4:18" ht="33.950000000000003" customHeight="1">
      <c r="D67" s="2521">
        <v>6</v>
      </c>
      <c r="E67" s="2522"/>
      <c r="F67" s="2522"/>
      <c r="G67" s="2522"/>
      <c r="H67" s="1449" t="str">
        <f>+'T1'!E67</f>
        <v>POLANCO</v>
      </c>
      <c r="I67" s="1443"/>
      <c r="J67" s="1443"/>
      <c r="K67" s="1443"/>
      <c r="L67" s="1443"/>
      <c r="M67" s="1470">
        <f t="shared" si="35"/>
        <v>0</v>
      </c>
      <c r="N67" s="1464"/>
      <c r="P67" s="2250" t="s">
        <v>662</v>
      </c>
      <c r="Q67" s="2250"/>
      <c r="R67" s="2250"/>
    </row>
    <row r="68" spans="4:18" ht="33.950000000000003" customHeight="1">
      <c r="D68" s="2521">
        <v>7</v>
      </c>
      <c r="E68" s="2522"/>
      <c r="F68" s="2522"/>
      <c r="G68" s="2522"/>
      <c r="H68" s="1449" t="str">
        <f>+'T1'!E68</f>
        <v>ELIANA</v>
      </c>
      <c r="I68" s="1443"/>
      <c r="J68" s="1443"/>
      <c r="K68" s="1443"/>
      <c r="L68" s="1443"/>
      <c r="M68" s="1470">
        <f t="shared" si="35"/>
        <v>0</v>
      </c>
      <c r="N68" s="1464"/>
      <c r="O68" s="1461"/>
    </row>
    <row r="69" spans="4:18" ht="33.950000000000003" customHeight="1">
      <c r="D69" s="2521">
        <v>8</v>
      </c>
      <c r="E69" s="2522"/>
      <c r="F69" s="2522"/>
      <c r="G69" s="2522"/>
      <c r="H69" s="1449" t="str">
        <f>+'T1'!E69</f>
        <v>ALENET</v>
      </c>
      <c r="I69" s="1443"/>
      <c r="J69" s="1443"/>
      <c r="K69" s="1443"/>
      <c r="L69" s="1443"/>
      <c r="M69" s="1470">
        <f t="shared" si="35"/>
        <v>0</v>
      </c>
      <c r="N69" s="1464"/>
      <c r="O69" s="1461"/>
    </row>
    <row r="70" spans="4:18" ht="33.950000000000003" customHeight="1">
      <c r="D70" s="2521">
        <v>9</v>
      </c>
      <c r="E70" s="2522"/>
      <c r="F70" s="2522"/>
      <c r="G70" s="2522"/>
      <c r="H70" s="1449" t="str">
        <f>+'T1'!E70</f>
        <v>ERIKA</v>
      </c>
      <c r="I70" s="1443"/>
      <c r="J70" s="1443"/>
      <c r="K70" s="1443"/>
      <c r="L70" s="1443"/>
      <c r="M70" s="1470">
        <f t="shared" si="35"/>
        <v>0</v>
      </c>
      <c r="N70" s="1464"/>
      <c r="O70" s="1461"/>
    </row>
    <row r="71" spans="4:18" ht="30.95" customHeight="1">
      <c r="D71" s="2521">
        <v>10</v>
      </c>
      <c r="E71" s="2522"/>
      <c r="F71" s="2522"/>
      <c r="G71" s="2522"/>
      <c r="H71" s="1449" t="str">
        <f>+'T1'!E71</f>
        <v>MARILU</v>
      </c>
      <c r="I71" s="1443"/>
      <c r="J71" s="1443"/>
      <c r="K71" s="1443"/>
      <c r="L71" s="1443"/>
      <c r="M71" s="1470">
        <f t="shared" si="35"/>
        <v>0</v>
      </c>
      <c r="N71" s="1464"/>
    </row>
    <row r="72" spans="4:18" ht="30.95" customHeight="1">
      <c r="D72" s="2521">
        <v>11</v>
      </c>
      <c r="E72" s="2522"/>
      <c r="F72" s="2522"/>
      <c r="G72" s="2522"/>
      <c r="H72" s="1449">
        <f>+'T1'!E73</f>
        <v>0</v>
      </c>
      <c r="I72" s="1443"/>
      <c r="J72" s="1443"/>
      <c r="K72" s="1443"/>
      <c r="L72" s="1443"/>
      <c r="M72" s="1468"/>
      <c r="N72" s="1464"/>
    </row>
    <row r="73" spans="4:18" ht="30.95" customHeight="1" thickBot="1">
      <c r="D73" s="2523" t="s">
        <v>3</v>
      </c>
      <c r="E73" s="2524"/>
      <c r="F73" s="2524"/>
      <c r="G73" s="2524"/>
      <c r="H73" s="252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</row>
    <row r="74" spans="4:18">
      <c r="D74"/>
      <c r="E74"/>
      <c r="F74"/>
      <c r="G74"/>
      <c r="H74"/>
      <c r="I74"/>
      <c r="J74"/>
      <c r="K74"/>
      <c r="L74"/>
      <c r="M74"/>
      <c r="N74"/>
    </row>
    <row r="75" spans="4:18">
      <c r="D75"/>
      <c r="E75"/>
      <c r="F75"/>
      <c r="G75"/>
      <c r="H75"/>
      <c r="I75"/>
      <c r="J75"/>
      <c r="K75"/>
      <c r="L75"/>
      <c r="M75"/>
      <c r="N75"/>
    </row>
    <row r="76" spans="4:18">
      <c r="D76"/>
      <c r="E76"/>
      <c r="F76"/>
      <c r="G76"/>
      <c r="H76"/>
      <c r="I76"/>
      <c r="J76"/>
      <c r="K76"/>
      <c r="L76"/>
      <c r="M76"/>
      <c r="N76"/>
    </row>
    <row r="77" spans="4:18">
      <c r="D77"/>
      <c r="E77"/>
      <c r="F77"/>
      <c r="G77"/>
      <c r="H77"/>
      <c r="I77"/>
      <c r="J77"/>
      <c r="K77"/>
      <c r="L77"/>
      <c r="M77"/>
      <c r="N77"/>
    </row>
    <row r="78" spans="4:18" ht="60">
      <c r="E78" s="1207"/>
      <c r="F78" s="1207"/>
      <c r="G78" s="1207"/>
      <c r="H78" s="1207"/>
      <c r="I78" s="1207"/>
      <c r="J78" s="1207"/>
      <c r="K78" s="1207"/>
      <c r="L78" s="1207"/>
      <c r="M78" s="1207"/>
    </row>
    <row r="79" spans="4:18" ht="60">
      <c r="E79" s="1207"/>
      <c r="F79" s="1207"/>
      <c r="G79" s="1207"/>
      <c r="H79" s="1207"/>
      <c r="I79" s="1207"/>
      <c r="J79" s="1207"/>
      <c r="K79" s="1207"/>
      <c r="L79" s="1207"/>
      <c r="M79" s="1207"/>
    </row>
  </sheetData>
  <sheetProtection autoFilter="0"/>
  <mergeCells count="29">
    <mergeCell ref="D72:G72"/>
    <mergeCell ref="D73:H73"/>
    <mergeCell ref="D67:G67"/>
    <mergeCell ref="P67:R67"/>
    <mergeCell ref="D68:G68"/>
    <mergeCell ref="D69:G69"/>
    <mergeCell ref="D70:G70"/>
    <mergeCell ref="D71:G71"/>
    <mergeCell ref="D63:G63"/>
    <mergeCell ref="P63:Q63"/>
    <mergeCell ref="D64:G64"/>
    <mergeCell ref="P64:Q64"/>
    <mergeCell ref="D65:G65"/>
    <mergeCell ref="D66:G66"/>
    <mergeCell ref="P66:R66"/>
    <mergeCell ref="E56:AA56"/>
    <mergeCell ref="D60:M60"/>
    <mergeCell ref="P60:R60"/>
    <mergeCell ref="D61:G61"/>
    <mergeCell ref="P61:Q61"/>
    <mergeCell ref="D62:G62"/>
    <mergeCell ref="P62:Q62"/>
    <mergeCell ref="C2:D2"/>
    <mergeCell ref="E2:AA2"/>
    <mergeCell ref="E4:AA4"/>
    <mergeCell ref="AC4:BC4"/>
    <mergeCell ref="BF4:BI4"/>
    <mergeCell ref="A5:A54"/>
    <mergeCell ref="BF28:BG28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91DE8-58DF-4F35-9508-483160517D1E}">
  <sheetPr codeName="Hoja9">
    <pageSetUpPr fitToPage="1"/>
  </sheetPr>
  <dimension ref="A1:CU77"/>
  <sheetViews>
    <sheetView topLeftCell="B1" zoomScale="55" zoomScaleNormal="55" workbookViewId="0">
      <pane ySplit="5" topLeftCell="A50" activePane="bottomLeft" state="frozen"/>
      <selection activeCell="C32" sqref="C32"/>
      <selection pane="bottomLeft" activeCell="H47" sqref="H47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customWidth="1"/>
    <col min="4" max="4" width="102.28515625" style="26" customWidth="1"/>
    <col min="5" max="7" width="11.28515625" style="1800" customWidth="1"/>
    <col min="8" max="12" width="13.7109375" style="1800" customWidth="1"/>
    <col min="13" max="13" width="17.140625" style="1800" customWidth="1"/>
    <col min="14" max="24" width="11.28515625" style="1800" customWidth="1"/>
    <col min="25" max="29" width="30.85546875" style="26" customWidth="1"/>
    <col min="30" max="30" width="9" style="26" customWidth="1"/>
    <col min="31" max="31" width="83.7109375" style="26" customWidth="1"/>
    <col min="32" max="34" width="9" style="26" hidden="1" customWidth="1"/>
    <col min="35" max="36" width="11" style="26" hidden="1" customWidth="1"/>
    <col min="37" max="37" width="10.28515625" style="26" hidden="1" customWidth="1"/>
    <col min="38" max="48" width="9" style="26" hidden="1" customWidth="1"/>
    <col min="49" max="49" width="8.5703125" style="26" customWidth="1"/>
    <col min="50" max="50" width="8.7109375" style="26" customWidth="1"/>
    <col min="51" max="55" width="14.42578125" style="26" customWidth="1"/>
    <col min="56" max="57" width="13.85546875" style="26" customWidth="1"/>
    <col min="58" max="58" width="15" style="26" customWidth="1"/>
    <col min="59" max="59" width="64.28515625" style="26" customWidth="1"/>
    <col min="60" max="60" width="24.42578125" style="26" customWidth="1"/>
    <col min="61" max="61" width="29.42578125" style="26" customWidth="1"/>
    <col min="62" max="87" width="13.85546875" style="26" customWidth="1"/>
    <col min="88" max="88" width="12.140625" style="26" bestFit="1" customWidth="1"/>
    <col min="89" max="90" width="28.28515625" style="26" customWidth="1"/>
    <col min="91" max="16384" width="11.42578125" style="26"/>
  </cols>
  <sheetData>
    <row r="1" spans="1:99" ht="17.25" customHeight="1" thickBot="1">
      <c r="B1" s="37"/>
      <c r="C1" s="37"/>
      <c r="D1" s="43"/>
      <c r="E1" s="1796"/>
      <c r="F1" s="1796"/>
      <c r="G1" s="1796"/>
      <c r="H1" s="1796"/>
      <c r="I1" s="1796"/>
      <c r="J1" s="1796"/>
      <c r="K1" s="1796"/>
      <c r="L1" s="1796"/>
      <c r="M1" s="1796"/>
      <c r="N1" s="1796"/>
      <c r="O1" s="1797"/>
      <c r="P1" s="1797"/>
      <c r="Q1" s="1797"/>
      <c r="R1" s="1797"/>
      <c r="S1" s="1797"/>
      <c r="T1" s="1797"/>
      <c r="U1" s="1797"/>
      <c r="V1" s="1797"/>
      <c r="W1" s="1797"/>
      <c r="X1" s="179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CN1"/>
      <c r="CO1"/>
      <c r="CP1"/>
      <c r="CQ1"/>
      <c r="CR1"/>
      <c r="CS1"/>
      <c r="CT1"/>
      <c r="CU1"/>
    </row>
    <row r="2" spans="1:99" ht="46.5" customHeight="1" thickBot="1">
      <c r="B2" s="38"/>
      <c r="C2" s="2266" t="s">
        <v>41</v>
      </c>
      <c r="D2" s="2267"/>
      <c r="E2" s="2588" t="s">
        <v>691</v>
      </c>
      <c r="F2" s="2589"/>
      <c r="G2" s="2589"/>
      <c r="H2" s="2589"/>
      <c r="I2" s="2589"/>
      <c r="J2" s="2589"/>
      <c r="K2" s="2589"/>
      <c r="L2" s="2589"/>
      <c r="M2" s="2589"/>
      <c r="N2" s="2590"/>
      <c r="O2" s="1798"/>
      <c r="P2" s="1798"/>
      <c r="Q2" s="1798"/>
      <c r="R2" s="1722"/>
      <c r="S2" s="1722"/>
      <c r="T2" s="1852"/>
      <c r="U2" s="1799"/>
      <c r="V2" s="1799"/>
      <c r="W2" s="1799"/>
      <c r="X2" s="1799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CN2"/>
      <c r="CO2"/>
      <c r="CP2"/>
      <c r="CQ2"/>
      <c r="CR2"/>
      <c r="CS2"/>
      <c r="CT2"/>
      <c r="CU2"/>
    </row>
    <row r="3" spans="1:99" ht="17.25" thickBot="1">
      <c r="C3" s="28"/>
      <c r="R3" s="1801"/>
      <c r="S3" s="1801"/>
      <c r="U3" s="1801"/>
      <c r="V3" s="1801"/>
      <c r="W3" s="1801"/>
      <c r="X3" s="1801"/>
      <c r="BG3" s="28"/>
      <c r="BH3" s="28"/>
      <c r="BI3" s="28"/>
      <c r="CN3"/>
      <c r="CO3"/>
      <c r="CP3"/>
      <c r="CQ3"/>
      <c r="CR3"/>
      <c r="CS3"/>
      <c r="CT3"/>
      <c r="CU3"/>
    </row>
    <row r="4" spans="1:99" ht="30.75" thickBot="1">
      <c r="C4" s="28"/>
      <c r="E4" s="2586" t="s">
        <v>112</v>
      </c>
      <c r="F4" s="2586"/>
      <c r="G4" s="2586"/>
      <c r="H4" s="2586"/>
      <c r="I4" s="2586"/>
      <c r="J4" s="2586"/>
      <c r="K4" s="2586"/>
      <c r="L4" s="2586"/>
      <c r="M4" s="2586"/>
      <c r="N4" s="2586"/>
      <c r="O4" s="2586"/>
      <c r="P4" s="2586"/>
      <c r="Q4" s="2586"/>
      <c r="R4" s="2587"/>
      <c r="S4" s="2587"/>
      <c r="T4" s="2587"/>
      <c r="U4" s="2587"/>
      <c r="V4" s="2587"/>
      <c r="W4" s="2587"/>
      <c r="X4" s="2587"/>
      <c r="AD4" s="2577" t="s">
        <v>506</v>
      </c>
      <c r="AE4" s="2578"/>
      <c r="AF4" s="2578"/>
      <c r="AG4" s="2578"/>
      <c r="AH4" s="2578"/>
      <c r="AI4" s="2578"/>
      <c r="AJ4" s="2578"/>
      <c r="AK4" s="2578"/>
      <c r="AL4" s="2578"/>
      <c r="AM4" s="2578"/>
      <c r="AN4" s="2578"/>
      <c r="AO4" s="2578"/>
      <c r="AP4" s="2578"/>
      <c r="AQ4" s="2578"/>
      <c r="AR4" s="2578"/>
      <c r="AS4" s="2578"/>
      <c r="AT4" s="2578"/>
      <c r="AU4" s="2578"/>
      <c r="AV4" s="2578"/>
      <c r="AW4" s="2578"/>
      <c r="AX4" s="2578"/>
      <c r="AY4" s="2578"/>
      <c r="AZ4" s="2578"/>
      <c r="BA4" s="2578"/>
      <c r="BB4" s="2578"/>
      <c r="BC4" s="2579"/>
      <c r="BD4" s="30"/>
      <c r="BE4" s="30"/>
      <c r="BF4" s="2577" t="s">
        <v>511</v>
      </c>
      <c r="BG4" s="2582"/>
      <c r="BH4" s="2582"/>
      <c r="BI4" s="2583"/>
      <c r="CN4"/>
      <c r="CO4"/>
      <c r="CP4"/>
      <c r="CQ4"/>
      <c r="CR4"/>
      <c r="CS4"/>
      <c r="CT4"/>
      <c r="CU4"/>
    </row>
    <row r="5" spans="1:99" ht="90.75" thickBot="1">
      <c r="A5" s="2257"/>
      <c r="C5" s="543" t="s">
        <v>15</v>
      </c>
      <c r="D5" s="954" t="s">
        <v>6</v>
      </c>
      <c r="E5" s="35" t="s">
        <v>316</v>
      </c>
      <c r="F5" s="36" t="s">
        <v>317</v>
      </c>
      <c r="G5" s="36" t="s">
        <v>318</v>
      </c>
      <c r="H5" s="36" t="s">
        <v>319</v>
      </c>
      <c r="I5" s="36" t="s">
        <v>320</v>
      </c>
      <c r="J5" s="36" t="s">
        <v>321</v>
      </c>
      <c r="K5" s="36" t="s">
        <v>322</v>
      </c>
      <c r="L5" s="36" t="s">
        <v>323</v>
      </c>
      <c r="M5" s="36" t="s">
        <v>324</v>
      </c>
      <c r="N5" s="36" t="s">
        <v>325</v>
      </c>
      <c r="O5" s="36" t="s">
        <v>326</v>
      </c>
      <c r="P5" s="36" t="s">
        <v>327</v>
      </c>
      <c r="Q5" s="36" t="s">
        <v>328</v>
      </c>
      <c r="R5" s="36" t="s">
        <v>329</v>
      </c>
      <c r="S5" s="36" t="s">
        <v>330</v>
      </c>
      <c r="T5" s="36" t="s">
        <v>331</v>
      </c>
      <c r="U5" s="36" t="s">
        <v>332</v>
      </c>
      <c r="V5" s="36" t="s">
        <v>333</v>
      </c>
      <c r="W5" s="36" t="s">
        <v>334</v>
      </c>
      <c r="X5" s="48" t="s">
        <v>343</v>
      </c>
      <c r="Y5" s="487" t="s">
        <v>108</v>
      </c>
      <c r="Z5" s="545" t="s">
        <v>107</v>
      </c>
      <c r="AA5" s="61" t="s">
        <v>3</v>
      </c>
      <c r="AB5" s="567"/>
      <c r="AC5" s="567"/>
      <c r="AD5" s="1122" t="s">
        <v>15</v>
      </c>
      <c r="AE5" s="568" t="s">
        <v>6</v>
      </c>
      <c r="AF5" s="568" t="s">
        <v>316</v>
      </c>
      <c r="AG5" s="568" t="s">
        <v>317</v>
      </c>
      <c r="AH5" s="568" t="s">
        <v>318</v>
      </c>
      <c r="AI5" s="568" t="s">
        <v>319</v>
      </c>
      <c r="AJ5" s="568" t="s">
        <v>320</v>
      </c>
      <c r="AK5" s="568" t="s">
        <v>321</v>
      </c>
      <c r="AL5" s="568" t="s">
        <v>322</v>
      </c>
      <c r="AM5" s="568" t="s">
        <v>323</v>
      </c>
      <c r="AN5" s="568" t="s">
        <v>324</v>
      </c>
      <c r="AO5" s="568" t="s">
        <v>325</v>
      </c>
      <c r="AP5" s="568" t="s">
        <v>326</v>
      </c>
      <c r="AQ5" s="568" t="s">
        <v>327</v>
      </c>
      <c r="AR5" s="568" t="s">
        <v>328</v>
      </c>
      <c r="AS5" s="568" t="s">
        <v>329</v>
      </c>
      <c r="AT5" s="568" t="s">
        <v>330</v>
      </c>
      <c r="AU5" s="568" t="s">
        <v>331</v>
      </c>
      <c r="AV5" s="568" t="s">
        <v>332</v>
      </c>
      <c r="AW5" s="568" t="s">
        <v>333</v>
      </c>
      <c r="AX5" s="568" t="s">
        <v>334</v>
      </c>
      <c r="AY5" s="568" t="s">
        <v>502</v>
      </c>
      <c r="AZ5" s="568" t="s">
        <v>503</v>
      </c>
      <c r="BA5" s="568" t="s">
        <v>8</v>
      </c>
      <c r="BB5" s="568" t="s">
        <v>505</v>
      </c>
      <c r="BC5" s="569" t="s">
        <v>511</v>
      </c>
      <c r="BD5" s="30"/>
      <c r="BE5" s="30"/>
      <c r="BF5" s="570" t="s">
        <v>15</v>
      </c>
      <c r="BG5" s="571" t="s">
        <v>6</v>
      </c>
      <c r="BH5" s="571" t="s">
        <v>8</v>
      </c>
      <c r="BI5" s="572" t="s">
        <v>513</v>
      </c>
      <c r="CN5"/>
      <c r="CO5"/>
      <c r="CP5"/>
      <c r="CQ5"/>
      <c r="CR5"/>
      <c r="CS5"/>
      <c r="CT5"/>
      <c r="CU5"/>
    </row>
    <row r="6" spans="1:99" ht="46.5" thickBot="1">
      <c r="A6" s="2257"/>
      <c r="C6" s="41">
        <f>+PP!B24</f>
        <v>1</v>
      </c>
      <c r="D6" s="259" t="str">
        <f>+PP!C24</f>
        <v>ANILLAS BLANCAS SM ST</v>
      </c>
      <c r="E6" s="2967"/>
      <c r="F6" s="2968"/>
      <c r="G6" s="2968"/>
      <c r="H6" s="2968"/>
      <c r="I6" s="2968"/>
      <c r="J6" s="2968"/>
      <c r="K6" s="2968"/>
      <c r="L6" s="2968"/>
      <c r="M6" s="2968"/>
      <c r="N6" s="2968"/>
      <c r="O6" s="2968"/>
      <c r="P6" s="2968"/>
      <c r="Q6" s="2968"/>
      <c r="R6" s="2969"/>
      <c r="S6" s="2969"/>
      <c r="T6" s="2970"/>
      <c r="U6" s="2969"/>
      <c r="V6" s="2969"/>
      <c r="W6" s="2969"/>
      <c r="X6" s="2971"/>
      <c r="Y6" s="510">
        <f t="shared" ref="Y6:Y14" si="0">SUM(E6:X6)</f>
        <v>0</v>
      </c>
      <c r="Z6" s="573">
        <f>Y6/2</f>
        <v>0</v>
      </c>
      <c r="AA6" s="490">
        <f>+Y6*10</f>
        <v>0</v>
      </c>
      <c r="AB6" s="574"/>
      <c r="AC6" s="574"/>
      <c r="AD6" s="136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</f>
        <v/>
      </c>
      <c r="AE6" s="1372" t="str">
        <f>IF($AD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)</f>
        <v/>
      </c>
      <c r="AF6" s="1838" t="str">
        <f t="shared" ref="AF6:AF53" si="1">IF($AD6="","",IFERROR(IF(INDEX($E$6:$E$53,MATCH($AD6,$C$6:$C$53,0))&gt;0,INDEX($E$6:$E$53,MATCH($AD6,$C$6:$C$53,0)),""),""))</f>
        <v/>
      </c>
      <c r="AG6" s="1838" t="str">
        <f t="shared" ref="AG6:AG53" si="2">IF($AD6="","",IFERROR(IF(INDEX($F$6:$F$53,MATCH($AD6,$C$6:$C$53,0))&gt;0,INDEX($F$6:$F$53,MATCH($AD6,$C$6:$C$53,0)),""),""))</f>
        <v/>
      </c>
      <c r="AH6" s="1838" t="str">
        <f t="shared" ref="AH6:AH53" si="3">IF($AD6="","",IFERROR(IF(INDEX($G$6:$G$53,MATCH($AD6,$C$6:$C$53,0))&gt;0,INDEX($G$6:$G$53,MATCH($AD6,$C$6:$C$53,0)),""),""))</f>
        <v/>
      </c>
      <c r="AI6" s="1838" t="str">
        <f t="shared" ref="AI6:AI53" si="4">IF($AD6="","",IFERROR(IF(INDEX($H$6:$H$53,MATCH($AD6,$C$6:$C$53,0))&gt;0,INDEX($H$6:$H$53,MATCH($AD6,$C$6:$C$53,0)),""),""))</f>
        <v/>
      </c>
      <c r="AJ6" s="1838" t="str">
        <f t="shared" ref="AJ6:AJ53" si="5">IF($AD6="","",IFERROR(IF(INDEX($I$6:$I$53,MATCH($AD6,$C$6:$C$53,0))&gt;0,INDEX($I$6:$I$53,MATCH($AD6,$C$6:$C$53,0)),""),""))</f>
        <v/>
      </c>
      <c r="AK6" s="1839" t="str">
        <f t="shared" ref="AK6:AK53" si="6">IF($AD6="","",IFERROR(IF(INDEX($J$6:$J$53,MATCH($AD6,$C$6:$C$53,0))&gt;0,INDEX($J$6:$J$53,MATCH($AD6,$C$6:$C$53,0)),""),""))</f>
        <v/>
      </c>
      <c r="AL6" s="1839" t="str">
        <f t="shared" ref="AL6:AL53" si="7">IF($AD6="","",IFERROR(IF(INDEX($K$6:$K$53,MATCH($AD6,$C$6:$C$53,0))&gt;0,INDEX($K$6:$K$53,MATCH($AD6,$C$6:$C$53,0)),""),""))</f>
        <v/>
      </c>
      <c r="AM6" s="1839" t="str">
        <f t="shared" ref="AM6:AM53" si="8">IF($AD6="","",IFERROR(IF(INDEX($L$6:$L$53,MATCH($AD6,$C$6:$C$53,0))&gt;0,INDEX($L$6:$L$53,MATCH($AD6,$C$6:$C$53,0)),""),""))</f>
        <v/>
      </c>
      <c r="AN6" s="1839" t="str">
        <f t="shared" ref="AN6:AN53" si="9">IF($AD6="","",IFERROR(IF(INDEX($M$6:$M$53,MATCH($AD6,$C$6:$C$53,0))&gt;0,INDEX($M$6:$M$53,MATCH($AD6,$C$6:$C$53,0)),""),""))</f>
        <v/>
      </c>
      <c r="AO6" s="1839" t="str">
        <f t="shared" ref="AO6:AO53" si="10">IF($AD6="","",IFERROR(IF(INDEX($N$6:$N$53,MATCH($AD6,$C$6:$C$53,0))&gt;0,INDEX($N$6:$N$53,MATCH($AD6,$C$6:$C$53,0)),""),""))</f>
        <v/>
      </c>
      <c r="AP6" s="1839" t="str">
        <f t="shared" ref="AP6:AP53" si="11">IF($AD6="","",IFERROR(IF(INDEX($O$6:$O$53,MATCH($AD6,$C$6:$C$53,0))&gt;0,INDEX($O$6:$O$53,MATCH($AD6,$C$6:$C$53,0)),""),""))</f>
        <v/>
      </c>
      <c r="AQ6" s="1839" t="str">
        <f t="shared" ref="AQ6:AQ53" si="12">IF($AD6="","",IFERROR(IF(INDEX($P$6:$P$53,MATCH($AD6,$C$6:$C$53,0))&gt;0,INDEX($P$6:$P$53,MATCH($AD6,$C$6:$C$53,0)),""),""))</f>
        <v/>
      </c>
      <c r="AR6" s="1839" t="str">
        <f t="shared" ref="AR6:AR53" si="13">IF($AD6="","",IFERROR(IF(INDEX($Q$6:$Q$53,MATCH($AD6,$C$6:$C$53,0))&gt;0,INDEX($Q$6:$Q$53,MATCH($AD6,$C$6:$C$53,0)),""),""))</f>
        <v/>
      </c>
      <c r="AS6" s="1839" t="str">
        <f t="shared" ref="AS6:AS53" si="14">IF($AD6="","",IFERROR(IF(INDEX($R$6:$R$53,MATCH($AD6,$C$6:$C$53,0))&gt;0,INDEX($R$6:$R$53,MATCH($AD6,$C$6:$C$53,0)),""),""))</f>
        <v/>
      </c>
      <c r="AT6" s="1839" t="str">
        <f t="shared" ref="AT6:AT53" si="15">IF($AD6="","",IFERROR(IF(INDEX($S$6:$S$53,MATCH($AD6,$C$6:$C$53,0))&gt;0,INDEX($S$6:$S$53,MATCH($AD6,$C$6:$C$53,0)),""),""))</f>
        <v/>
      </c>
      <c r="AU6" s="1839" t="str">
        <f t="shared" ref="AU6:AU53" si="16">IF($AD6="","",IFERROR(IF(INDEX($T$6:$T$53,MATCH($AD6,$C$6:$C$53,0))&gt;0,INDEX($T$6:$T$53,MATCH($AD6,$C$6:$C$53,0)),""),""))</f>
        <v/>
      </c>
      <c r="AV6" s="1839" t="str">
        <f t="shared" ref="AV6:AV53" si="17">IF($AD6="","",IFERROR(IF(INDEX($U$6:$U$53,MATCH($AD6,$C$6:$C$53,0))&gt;0,INDEX($U$6:$U$53,MATCH($AD6,$C$6:$C$53,0)),""),""))</f>
        <v/>
      </c>
      <c r="AW6" s="1839" t="str">
        <f t="shared" ref="AW6:AW53" si="18">IF($AD6="","",IFERROR(IF(INDEX($V$6:$V$53,MATCH($AD6,$C$6:$C$53,0))&gt;0,INDEX($V$6:$V$53,MATCH($AD6,$C$6:$C$53,0)),""),""))</f>
        <v/>
      </c>
      <c r="AX6" s="1839" t="str">
        <f t="shared" ref="AX6:AX53" si="19">IF($AD6="","",IFERROR(IF(INDEX($W$6:$W$53,MATCH($AD6,$C$6:$C$53,0))&gt;0,INDEX($W$6:$W$53,MATCH($AD6,$C$6:$C$53,0)),""),""))</f>
        <v/>
      </c>
      <c r="AY6" s="1368" t="str">
        <f t="shared" ref="AY6:AY27" si="20">IF($AD6="","",SUM($AF6:$AX6))</f>
        <v/>
      </c>
      <c r="AZ6" s="1368" t="str">
        <f t="shared" ref="AZ6:AZ27" si="21">IF($AD6="","",$AY6/2)</f>
        <v/>
      </c>
      <c r="BA6" s="1368" t="str">
        <f t="shared" ref="BA6:BA27" si="22">IF($AD6="","",$AY6*10)</f>
        <v/>
      </c>
      <c r="BB6" s="1368" t="str">
        <f t="shared" ref="BB6:BB27" si="23">IF($AD6="","",IF(MAX($AF6:$AX6)&gt;50,"REVISIÓN: EXCEDE 50","OK"))</f>
        <v/>
      </c>
      <c r="BC6" s="1369" t="str">
        <f t="shared" ref="BC6:BC27" si="24">IF($AD6="","",IF(MOD($BA6,20)=10,"SÍ","NO"))</f>
        <v/>
      </c>
      <c r="BD6" s="30"/>
      <c r="BE6" s="30"/>
      <c r="BF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6))),"")</f>
        <v/>
      </c>
      <c r="BG6" s="576" t="str">
        <f t="shared" ref="BG6:BG27" si="25">IF($BF6="","",IFERROR(INDEX($D$6:$D$53,MATCH($BF6,$C$6:$C$53,0)),""))</f>
        <v/>
      </c>
      <c r="BH6" s="577" t="str">
        <f t="shared" ref="BH6:BH27" si="26">IF($BF6="","",SUMPRODUCT(($C$6:$C$53=$BF6)*$E$6:$W$53)*10)</f>
        <v/>
      </c>
      <c r="BI6" s="578" t="str">
        <f t="shared" ref="BI6:BI27" si="27">IF($BF6="","","10 KG")</f>
        <v/>
      </c>
      <c r="CN6"/>
      <c r="CO6"/>
      <c r="CP6"/>
      <c r="CQ6"/>
      <c r="CR6"/>
      <c r="CS6"/>
      <c r="CT6"/>
      <c r="CU6"/>
    </row>
    <row r="7" spans="1:99" ht="45.75">
      <c r="A7" s="2257"/>
      <c r="C7" s="42">
        <f>+PP!B25</f>
        <v>2</v>
      </c>
      <c r="D7" s="229" t="str">
        <f>+PP!C25</f>
        <v>ANILLAS AMARILLAS SM ST</v>
      </c>
      <c r="E7" s="2013"/>
      <c r="F7" s="1802"/>
      <c r="G7" s="1802"/>
      <c r="H7" s="1802"/>
      <c r="I7" s="1802"/>
      <c r="J7" s="1802"/>
      <c r="K7" s="1802"/>
      <c r="L7" s="1802"/>
      <c r="M7" s="1802"/>
      <c r="N7" s="1802"/>
      <c r="O7" s="1802"/>
      <c r="P7" s="1802"/>
      <c r="Q7" s="1802"/>
      <c r="R7" s="1803"/>
      <c r="S7" s="1803"/>
      <c r="T7" s="1847"/>
      <c r="U7" s="1803"/>
      <c r="V7" s="1803"/>
      <c r="W7" s="1803"/>
      <c r="X7" s="2011"/>
      <c r="Y7" s="525">
        <f t="shared" si="0"/>
        <v>0</v>
      </c>
      <c r="Z7" s="579">
        <f t="shared" ref="Z7:Z53" si="28">Y7/2</f>
        <v>0</v>
      </c>
      <c r="AA7" s="490">
        <f>+Y7*10</f>
        <v>0</v>
      </c>
      <c r="AB7" s="580"/>
      <c r="AC7" s="580"/>
      <c r="AD7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</f>
        <v/>
      </c>
      <c r="AE7" s="1372" t="str">
        <f>IF($AD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)</f>
        <v/>
      </c>
      <c r="AF7" s="1838" t="str">
        <f t="shared" si="1"/>
        <v/>
      </c>
      <c r="AG7" s="1838" t="str">
        <f t="shared" si="2"/>
        <v/>
      </c>
      <c r="AH7" s="1838" t="str">
        <f t="shared" si="3"/>
        <v/>
      </c>
      <c r="AI7" s="1838" t="str">
        <f t="shared" si="4"/>
        <v/>
      </c>
      <c r="AJ7" s="1838" t="str">
        <f t="shared" si="5"/>
        <v/>
      </c>
      <c r="AK7" s="1839" t="str">
        <f t="shared" si="6"/>
        <v/>
      </c>
      <c r="AL7" s="1839" t="str">
        <f t="shared" si="7"/>
        <v/>
      </c>
      <c r="AM7" s="1839" t="str">
        <f t="shared" si="8"/>
        <v/>
      </c>
      <c r="AN7" s="1839" t="str">
        <f t="shared" si="9"/>
        <v/>
      </c>
      <c r="AO7" s="1839" t="str">
        <f t="shared" si="10"/>
        <v/>
      </c>
      <c r="AP7" s="1839" t="str">
        <f t="shared" si="11"/>
        <v/>
      </c>
      <c r="AQ7" s="1839" t="str">
        <f t="shared" si="12"/>
        <v/>
      </c>
      <c r="AR7" s="1839" t="str">
        <f t="shared" si="13"/>
        <v/>
      </c>
      <c r="AS7" s="1839" t="str">
        <f t="shared" si="14"/>
        <v/>
      </c>
      <c r="AT7" s="1839" t="str">
        <f t="shared" si="15"/>
        <v/>
      </c>
      <c r="AU7" s="1839" t="str">
        <f t="shared" si="16"/>
        <v/>
      </c>
      <c r="AV7" s="1839" t="str">
        <f t="shared" si="17"/>
        <v/>
      </c>
      <c r="AW7" s="1839" t="str">
        <f t="shared" si="18"/>
        <v/>
      </c>
      <c r="AX7" s="1839" t="str">
        <f t="shared" si="19"/>
        <v/>
      </c>
      <c r="AY7" s="1368" t="str">
        <f t="shared" si="20"/>
        <v/>
      </c>
      <c r="AZ7" s="1368" t="str">
        <f t="shared" si="21"/>
        <v/>
      </c>
      <c r="BA7" s="1368" t="str">
        <f t="shared" si="22"/>
        <v/>
      </c>
      <c r="BB7" s="1368" t="str">
        <f t="shared" si="23"/>
        <v/>
      </c>
      <c r="BC7" s="1369" t="str">
        <f t="shared" si="24"/>
        <v/>
      </c>
      <c r="BD7" s="30"/>
      <c r="BE7" s="30"/>
      <c r="BF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7))),"")</f>
        <v/>
      </c>
      <c r="BG7" s="576" t="str">
        <f t="shared" si="25"/>
        <v/>
      </c>
      <c r="BH7" s="577" t="str">
        <f t="shared" si="26"/>
        <v/>
      </c>
      <c r="BI7" s="578" t="str">
        <f t="shared" si="27"/>
        <v/>
      </c>
      <c r="CN7"/>
      <c r="CO7"/>
      <c r="CP7"/>
      <c r="CQ7"/>
      <c r="CR7"/>
      <c r="CS7"/>
      <c r="CT7"/>
      <c r="CU7"/>
    </row>
    <row r="8" spans="1:99" ht="46.5" thickBot="1">
      <c r="A8" s="2257"/>
      <c r="C8" s="40">
        <f>+PP!B26</f>
        <v>3</v>
      </c>
      <c r="D8" s="591" t="str">
        <f>+PP!C26</f>
        <v>ANILLAS BLANCAS SM ST MEDIANA</v>
      </c>
      <c r="E8" s="2972"/>
      <c r="F8" s="2973"/>
      <c r="G8" s="2973"/>
      <c r="H8" s="2973"/>
      <c r="I8" s="2973"/>
      <c r="J8" s="2973"/>
      <c r="K8" s="2973"/>
      <c r="L8" s="2973"/>
      <c r="M8" s="2973"/>
      <c r="N8" s="2973"/>
      <c r="O8" s="2973"/>
      <c r="P8" s="2973"/>
      <c r="Q8" s="2973"/>
      <c r="R8" s="2974"/>
      <c r="S8" s="2974"/>
      <c r="T8" s="2975"/>
      <c r="U8" s="2974"/>
      <c r="V8" s="2974"/>
      <c r="W8" s="2974"/>
      <c r="X8" s="2976"/>
      <c r="Y8" s="511">
        <f t="shared" si="0"/>
        <v>0</v>
      </c>
      <c r="Z8" s="582">
        <f t="shared" si="28"/>
        <v>0</v>
      </c>
      <c r="AA8" s="507">
        <f t="shared" ref="AA8:AA53" si="29">+Y8*10</f>
        <v>0</v>
      </c>
      <c r="AB8" s="574"/>
      <c r="AC8" s="574"/>
      <c r="AD8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</f>
        <v/>
      </c>
      <c r="AE8" s="1372" t="str">
        <f>IF($AD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)</f>
        <v/>
      </c>
      <c r="AF8" s="1838" t="str">
        <f t="shared" si="1"/>
        <v/>
      </c>
      <c r="AG8" s="1838" t="str">
        <f t="shared" si="2"/>
        <v/>
      </c>
      <c r="AH8" s="1838" t="str">
        <f t="shared" si="3"/>
        <v/>
      </c>
      <c r="AI8" s="1838" t="str">
        <f t="shared" si="4"/>
        <v/>
      </c>
      <c r="AJ8" s="1838" t="str">
        <f t="shared" si="5"/>
        <v/>
      </c>
      <c r="AK8" s="1839" t="str">
        <f t="shared" si="6"/>
        <v/>
      </c>
      <c r="AL8" s="1839" t="str">
        <f t="shared" si="7"/>
        <v/>
      </c>
      <c r="AM8" s="1839" t="str">
        <f t="shared" si="8"/>
        <v/>
      </c>
      <c r="AN8" s="1839" t="str">
        <f t="shared" si="9"/>
        <v/>
      </c>
      <c r="AO8" s="1839" t="str">
        <f t="shared" si="10"/>
        <v/>
      </c>
      <c r="AP8" s="1839" t="str">
        <f t="shared" si="11"/>
        <v/>
      </c>
      <c r="AQ8" s="1839" t="str">
        <f t="shared" si="12"/>
        <v/>
      </c>
      <c r="AR8" s="1839" t="str">
        <f t="shared" si="13"/>
        <v/>
      </c>
      <c r="AS8" s="1839" t="str">
        <f t="shared" si="14"/>
        <v/>
      </c>
      <c r="AT8" s="1839" t="str">
        <f t="shared" si="15"/>
        <v/>
      </c>
      <c r="AU8" s="1839" t="str">
        <f t="shared" si="16"/>
        <v/>
      </c>
      <c r="AV8" s="1839" t="str">
        <f t="shared" si="17"/>
        <v/>
      </c>
      <c r="AW8" s="1839" t="str">
        <f t="shared" si="18"/>
        <v/>
      </c>
      <c r="AX8" s="1839" t="str">
        <f t="shared" si="19"/>
        <v/>
      </c>
      <c r="AY8" s="1368" t="str">
        <f t="shared" si="20"/>
        <v/>
      </c>
      <c r="AZ8" s="1368" t="str">
        <f t="shared" si="21"/>
        <v/>
      </c>
      <c r="BA8" s="1368" t="str">
        <f t="shared" si="22"/>
        <v/>
      </c>
      <c r="BB8" s="1368" t="str">
        <f t="shared" si="23"/>
        <v/>
      </c>
      <c r="BC8" s="1369" t="str">
        <f t="shared" si="24"/>
        <v/>
      </c>
      <c r="BD8" s="30"/>
      <c r="BE8" s="30"/>
      <c r="BF8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8))),"")</f>
        <v/>
      </c>
      <c r="BG8" s="576" t="str">
        <f t="shared" si="25"/>
        <v/>
      </c>
      <c r="BH8" s="577" t="str">
        <f t="shared" si="26"/>
        <v/>
      </c>
      <c r="BI8" s="578" t="str">
        <f t="shared" si="27"/>
        <v/>
      </c>
      <c r="CN8"/>
      <c r="CO8"/>
      <c r="CP8"/>
      <c r="CQ8"/>
      <c r="CR8"/>
      <c r="CS8"/>
      <c r="CT8"/>
      <c r="CU8"/>
    </row>
    <row r="9" spans="1:99" ht="45.75">
      <c r="A9" s="2257"/>
      <c r="C9" s="41">
        <f>+PP!B27</f>
        <v>4</v>
      </c>
      <c r="D9" s="259" t="str">
        <f>+PP!C27</f>
        <v>ALETA FRESCA CORTE CRUZ</v>
      </c>
      <c r="E9" s="2967"/>
      <c r="F9" s="2968"/>
      <c r="G9" s="2968"/>
      <c r="H9" s="2968"/>
      <c r="I9" s="2968"/>
      <c r="J9" s="2968"/>
      <c r="K9" s="2968"/>
      <c r="L9" s="2968"/>
      <c r="M9" s="2968"/>
      <c r="N9" s="2968"/>
      <c r="O9" s="2968"/>
      <c r="P9" s="2968"/>
      <c r="Q9" s="2968"/>
      <c r="R9" s="2970"/>
      <c r="S9" s="2970"/>
      <c r="T9" s="2970"/>
      <c r="U9" s="2970"/>
      <c r="V9" s="2970"/>
      <c r="W9" s="2970"/>
      <c r="X9" s="2977"/>
      <c r="Y9" s="510">
        <f t="shared" si="0"/>
        <v>0</v>
      </c>
      <c r="Z9" s="573">
        <f t="shared" si="28"/>
        <v>0</v>
      </c>
      <c r="AA9" s="490">
        <f t="shared" si="29"/>
        <v>0</v>
      </c>
      <c r="AB9" s="574"/>
      <c r="AC9" s="574"/>
      <c r="AD9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</f>
        <v/>
      </c>
      <c r="AE9" s="1372" t="str">
        <f>IF($AD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)</f>
        <v/>
      </c>
      <c r="AF9" s="1838" t="str">
        <f t="shared" si="1"/>
        <v/>
      </c>
      <c r="AG9" s="1838" t="str">
        <f t="shared" si="2"/>
        <v/>
      </c>
      <c r="AH9" s="1838" t="str">
        <f t="shared" si="3"/>
        <v/>
      </c>
      <c r="AI9" s="1838" t="str">
        <f t="shared" si="4"/>
        <v/>
      </c>
      <c r="AJ9" s="1838" t="str">
        <f t="shared" si="5"/>
        <v/>
      </c>
      <c r="AK9" s="1839" t="str">
        <f t="shared" si="6"/>
        <v/>
      </c>
      <c r="AL9" s="1839" t="str">
        <f t="shared" si="7"/>
        <v/>
      </c>
      <c r="AM9" s="1839" t="str">
        <f t="shared" si="8"/>
        <v/>
      </c>
      <c r="AN9" s="1839" t="str">
        <f t="shared" si="9"/>
        <v/>
      </c>
      <c r="AO9" s="1839" t="str">
        <f t="shared" si="10"/>
        <v/>
      </c>
      <c r="AP9" s="1839" t="str">
        <f t="shared" si="11"/>
        <v/>
      </c>
      <c r="AQ9" s="1839" t="str">
        <f t="shared" si="12"/>
        <v/>
      </c>
      <c r="AR9" s="1839" t="str">
        <f t="shared" si="13"/>
        <v/>
      </c>
      <c r="AS9" s="1839" t="str">
        <f t="shared" si="14"/>
        <v/>
      </c>
      <c r="AT9" s="1839" t="str">
        <f t="shared" si="15"/>
        <v/>
      </c>
      <c r="AU9" s="1839" t="str">
        <f t="shared" si="16"/>
        <v/>
      </c>
      <c r="AV9" s="1839" t="str">
        <f t="shared" si="17"/>
        <v/>
      </c>
      <c r="AW9" s="1839" t="str">
        <f t="shared" si="18"/>
        <v/>
      </c>
      <c r="AX9" s="1839" t="str">
        <f t="shared" si="19"/>
        <v/>
      </c>
      <c r="AY9" s="1368" t="str">
        <f t="shared" si="20"/>
        <v/>
      </c>
      <c r="AZ9" s="1368" t="str">
        <f t="shared" si="21"/>
        <v/>
      </c>
      <c r="BA9" s="1368" t="str">
        <f t="shared" si="22"/>
        <v/>
      </c>
      <c r="BB9" s="1368" t="str">
        <f t="shared" si="23"/>
        <v/>
      </c>
      <c r="BC9" s="1369" t="str">
        <f t="shared" si="24"/>
        <v/>
      </c>
      <c r="BD9" s="30"/>
      <c r="BE9" s="30"/>
      <c r="BF9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9))),"")</f>
        <v/>
      </c>
      <c r="BG9" s="576" t="str">
        <f t="shared" si="25"/>
        <v/>
      </c>
      <c r="BH9" s="577" t="str">
        <f t="shared" si="26"/>
        <v/>
      </c>
      <c r="BI9" s="578" t="str">
        <f t="shared" si="27"/>
        <v/>
      </c>
      <c r="CN9"/>
      <c r="CO9"/>
      <c r="CP9"/>
      <c r="CQ9"/>
      <c r="CR9"/>
      <c r="CS9"/>
      <c r="CT9"/>
      <c r="CU9"/>
    </row>
    <row r="10" spans="1:99" ht="45.75">
      <c r="A10" s="2257"/>
      <c r="C10" s="42">
        <f>+PP!B28</f>
        <v>5</v>
      </c>
      <c r="D10" s="229" t="str">
        <f>+PP!C28</f>
        <v>ALETA ENTERA 100-500 g/pza</v>
      </c>
      <c r="E10" s="2013"/>
      <c r="F10" s="1802"/>
      <c r="G10" s="1802"/>
      <c r="H10" s="1802"/>
      <c r="I10" s="1802"/>
      <c r="J10" s="1802"/>
      <c r="K10" s="1802"/>
      <c r="L10" s="1802"/>
      <c r="M10" s="1802"/>
      <c r="N10" s="1802"/>
      <c r="O10" s="1802"/>
      <c r="P10" s="1802"/>
      <c r="Q10" s="1802"/>
      <c r="R10" s="1847"/>
      <c r="S10" s="1847"/>
      <c r="T10" s="1847"/>
      <c r="U10" s="1847"/>
      <c r="V10" s="1847"/>
      <c r="W10" s="1847"/>
      <c r="X10" s="1848"/>
      <c r="Y10" s="525">
        <f t="shared" si="0"/>
        <v>0</v>
      </c>
      <c r="Z10" s="579">
        <f t="shared" si="28"/>
        <v>0</v>
      </c>
      <c r="AA10" s="552">
        <f t="shared" si="29"/>
        <v>0</v>
      </c>
      <c r="AB10" s="574"/>
      <c r="AC10" s="574"/>
      <c r="AD10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</f>
        <v/>
      </c>
      <c r="AE10" s="1372" t="str">
        <f>IF($AD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)</f>
        <v/>
      </c>
      <c r="AF10" s="1838" t="str">
        <f t="shared" si="1"/>
        <v/>
      </c>
      <c r="AG10" s="1838" t="str">
        <f t="shared" si="2"/>
        <v/>
      </c>
      <c r="AH10" s="1838" t="str">
        <f t="shared" si="3"/>
        <v/>
      </c>
      <c r="AI10" s="1838" t="str">
        <f t="shared" si="4"/>
        <v/>
      </c>
      <c r="AJ10" s="1838" t="str">
        <f t="shared" si="5"/>
        <v/>
      </c>
      <c r="AK10" s="1839" t="str">
        <f t="shared" si="6"/>
        <v/>
      </c>
      <c r="AL10" s="1839" t="str">
        <f t="shared" si="7"/>
        <v/>
      </c>
      <c r="AM10" s="1839" t="str">
        <f t="shared" si="8"/>
        <v/>
      </c>
      <c r="AN10" s="1839" t="str">
        <f t="shared" si="9"/>
        <v/>
      </c>
      <c r="AO10" s="1839" t="str">
        <f t="shared" si="10"/>
        <v/>
      </c>
      <c r="AP10" s="1839" t="str">
        <f t="shared" si="11"/>
        <v/>
      </c>
      <c r="AQ10" s="1839" t="str">
        <f t="shared" si="12"/>
        <v/>
      </c>
      <c r="AR10" s="1839" t="str">
        <f t="shared" si="13"/>
        <v/>
      </c>
      <c r="AS10" s="1839" t="str">
        <f t="shared" si="14"/>
        <v/>
      </c>
      <c r="AT10" s="1839" t="str">
        <f t="shared" si="15"/>
        <v/>
      </c>
      <c r="AU10" s="1839" t="str">
        <f t="shared" si="16"/>
        <v/>
      </c>
      <c r="AV10" s="1839" t="str">
        <f t="shared" si="17"/>
        <v/>
      </c>
      <c r="AW10" s="1839" t="str">
        <f t="shared" si="18"/>
        <v/>
      </c>
      <c r="AX10" s="1839" t="str">
        <f t="shared" si="19"/>
        <v/>
      </c>
      <c r="AY10" s="1368" t="str">
        <f t="shared" si="20"/>
        <v/>
      </c>
      <c r="AZ10" s="1368" t="str">
        <f t="shared" si="21"/>
        <v/>
      </c>
      <c r="BA10" s="1368" t="str">
        <f t="shared" si="22"/>
        <v/>
      </c>
      <c r="BB10" s="1368" t="str">
        <f t="shared" si="23"/>
        <v/>
      </c>
      <c r="BC10" s="1369" t="str">
        <f t="shared" si="24"/>
        <v/>
      </c>
      <c r="BD10" s="30"/>
      <c r="BE10" s="30"/>
      <c r="BF10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10))),"")</f>
        <v/>
      </c>
      <c r="BG10" s="576" t="str">
        <f t="shared" si="25"/>
        <v/>
      </c>
      <c r="BH10" s="577" t="str">
        <f t="shared" si="26"/>
        <v/>
      </c>
      <c r="BI10" s="578" t="str">
        <f t="shared" si="27"/>
        <v/>
      </c>
      <c r="CN10"/>
      <c r="CO10"/>
      <c r="CP10"/>
      <c r="CQ10"/>
      <c r="CR10"/>
      <c r="CS10"/>
      <c r="CT10"/>
      <c r="CU10"/>
    </row>
    <row r="11" spans="1:99" ht="45.75">
      <c r="A11" s="2257"/>
      <c r="C11" s="42">
        <f>+PP!B29</f>
        <v>6</v>
      </c>
      <c r="D11" s="229" t="str">
        <f>+PP!C29</f>
        <v>ALETA ENTERA 500-1000 g/pza</v>
      </c>
      <c r="E11" s="2013"/>
      <c r="F11" s="1802"/>
      <c r="G11" s="1802"/>
      <c r="H11" s="1802"/>
      <c r="I11" s="1802"/>
      <c r="J11" s="1802"/>
      <c r="K11" s="1802"/>
      <c r="L11" s="1802"/>
      <c r="M11" s="1802"/>
      <c r="N11" s="1802"/>
      <c r="O11" s="1802"/>
      <c r="P11" s="1802"/>
      <c r="Q11" s="1802"/>
      <c r="R11" s="1847"/>
      <c r="S11" s="1847"/>
      <c r="T11" s="1847"/>
      <c r="U11" s="1847"/>
      <c r="V11" s="1847"/>
      <c r="W11" s="1847"/>
      <c r="X11" s="1848"/>
      <c r="Y11" s="525">
        <f t="shared" si="0"/>
        <v>0</v>
      </c>
      <c r="Z11" s="579">
        <f t="shared" si="28"/>
        <v>0</v>
      </c>
      <c r="AA11" s="552">
        <f t="shared" si="29"/>
        <v>0</v>
      </c>
      <c r="AB11" s="574"/>
      <c r="AC11" s="574"/>
      <c r="AD11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</f>
        <v/>
      </c>
      <c r="AE11" s="1372" t="str">
        <f>IF($AD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)</f>
        <v/>
      </c>
      <c r="AF11" s="1838" t="str">
        <f t="shared" si="1"/>
        <v/>
      </c>
      <c r="AG11" s="1838" t="str">
        <f t="shared" si="2"/>
        <v/>
      </c>
      <c r="AH11" s="1838" t="str">
        <f t="shared" si="3"/>
        <v/>
      </c>
      <c r="AI11" s="1838" t="str">
        <f t="shared" si="4"/>
        <v/>
      </c>
      <c r="AJ11" s="1838" t="str">
        <f t="shared" si="5"/>
        <v/>
      </c>
      <c r="AK11" s="1839" t="str">
        <f t="shared" si="6"/>
        <v/>
      </c>
      <c r="AL11" s="1839" t="str">
        <f t="shared" si="7"/>
        <v/>
      </c>
      <c r="AM11" s="1839" t="str">
        <f t="shared" si="8"/>
        <v/>
      </c>
      <c r="AN11" s="1839" t="str">
        <f t="shared" si="9"/>
        <v/>
      </c>
      <c r="AO11" s="1839" t="str">
        <f t="shared" si="10"/>
        <v/>
      </c>
      <c r="AP11" s="1839" t="str">
        <f t="shared" si="11"/>
        <v/>
      </c>
      <c r="AQ11" s="1839" t="str">
        <f t="shared" si="12"/>
        <v/>
      </c>
      <c r="AR11" s="1839" t="str">
        <f t="shared" si="13"/>
        <v/>
      </c>
      <c r="AS11" s="1839" t="str">
        <f t="shared" si="14"/>
        <v/>
      </c>
      <c r="AT11" s="1839" t="str">
        <f t="shared" si="15"/>
        <v/>
      </c>
      <c r="AU11" s="1839" t="str">
        <f t="shared" si="16"/>
        <v/>
      </c>
      <c r="AV11" s="1839" t="str">
        <f t="shared" si="17"/>
        <v/>
      </c>
      <c r="AW11" s="1839" t="str">
        <f t="shared" si="18"/>
        <v/>
      </c>
      <c r="AX11" s="1839" t="str">
        <f t="shared" si="19"/>
        <v/>
      </c>
      <c r="AY11" s="1368" t="str">
        <f t="shared" si="20"/>
        <v/>
      </c>
      <c r="AZ11" s="1368" t="str">
        <f t="shared" si="21"/>
        <v/>
      </c>
      <c r="BA11" s="1368" t="str">
        <f t="shared" si="22"/>
        <v/>
      </c>
      <c r="BB11" s="1368" t="str">
        <f t="shared" si="23"/>
        <v/>
      </c>
      <c r="BC11" s="1369" t="str">
        <f t="shared" si="24"/>
        <v/>
      </c>
      <c r="BD11" s="30"/>
      <c r="BE11" s="30"/>
      <c r="BF11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11))),"")</f>
        <v/>
      </c>
      <c r="BG11" s="576" t="str">
        <f t="shared" si="25"/>
        <v/>
      </c>
      <c r="BH11" s="577" t="str">
        <f t="shared" si="26"/>
        <v/>
      </c>
      <c r="BI11" s="578" t="str">
        <f t="shared" si="27"/>
        <v/>
      </c>
      <c r="CN11"/>
      <c r="CO11"/>
      <c r="CP11"/>
      <c r="CQ11"/>
      <c r="CR11"/>
      <c r="CS11"/>
      <c r="CT11"/>
      <c r="CU11"/>
    </row>
    <row r="12" spans="1:99" ht="45.75">
      <c r="A12" s="2257"/>
      <c r="C12" s="42">
        <f>+PP!B30</f>
        <v>7</v>
      </c>
      <c r="D12" s="229" t="str">
        <f>+PP!C30</f>
        <v>ALETA ENTERA 1.0-2.0 kg/pza</v>
      </c>
      <c r="E12" s="2013"/>
      <c r="F12" s="1802"/>
      <c r="G12" s="1802"/>
      <c r="H12" s="1802"/>
      <c r="I12" s="1802"/>
      <c r="J12" s="1802"/>
      <c r="K12" s="1802"/>
      <c r="L12" s="1802"/>
      <c r="M12" s="1802"/>
      <c r="N12" s="1802"/>
      <c r="O12" s="1802"/>
      <c r="P12" s="1802"/>
      <c r="Q12" s="1802"/>
      <c r="R12" s="1847"/>
      <c r="S12" s="1847"/>
      <c r="T12" s="1847"/>
      <c r="U12" s="1847"/>
      <c r="V12" s="1847"/>
      <c r="W12" s="1847"/>
      <c r="X12" s="1848"/>
      <c r="Y12" s="525">
        <f t="shared" si="0"/>
        <v>0</v>
      </c>
      <c r="Z12" s="579">
        <f t="shared" si="28"/>
        <v>0</v>
      </c>
      <c r="AA12" s="552">
        <f t="shared" si="29"/>
        <v>0</v>
      </c>
      <c r="AB12" s="574"/>
      <c r="AC12" s="574"/>
      <c r="AD12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</f>
        <v/>
      </c>
      <c r="AE12" s="1372" t="str">
        <f>IF($AD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)</f>
        <v/>
      </c>
      <c r="AF12" s="1838" t="str">
        <f t="shared" si="1"/>
        <v/>
      </c>
      <c r="AG12" s="1838" t="str">
        <f t="shared" si="2"/>
        <v/>
      </c>
      <c r="AH12" s="1838" t="str">
        <f t="shared" si="3"/>
        <v/>
      </c>
      <c r="AI12" s="1838" t="str">
        <f t="shared" si="4"/>
        <v/>
      </c>
      <c r="AJ12" s="1838" t="str">
        <f t="shared" si="5"/>
        <v/>
      </c>
      <c r="AK12" s="1839" t="str">
        <f t="shared" si="6"/>
        <v/>
      </c>
      <c r="AL12" s="1839" t="str">
        <f t="shared" si="7"/>
        <v/>
      </c>
      <c r="AM12" s="1839" t="str">
        <f t="shared" si="8"/>
        <v/>
      </c>
      <c r="AN12" s="1839" t="str">
        <f t="shared" si="9"/>
        <v/>
      </c>
      <c r="AO12" s="1839" t="str">
        <f t="shared" si="10"/>
        <v/>
      </c>
      <c r="AP12" s="1839" t="str">
        <f t="shared" si="11"/>
        <v/>
      </c>
      <c r="AQ12" s="1839" t="str">
        <f t="shared" si="12"/>
        <v/>
      </c>
      <c r="AR12" s="1839" t="str">
        <f t="shared" si="13"/>
        <v/>
      </c>
      <c r="AS12" s="1839" t="str">
        <f t="shared" si="14"/>
        <v/>
      </c>
      <c r="AT12" s="1839" t="str">
        <f t="shared" si="15"/>
        <v/>
      </c>
      <c r="AU12" s="1839" t="str">
        <f t="shared" si="16"/>
        <v/>
      </c>
      <c r="AV12" s="1839" t="str">
        <f t="shared" si="17"/>
        <v/>
      </c>
      <c r="AW12" s="1839" t="str">
        <f t="shared" si="18"/>
        <v/>
      </c>
      <c r="AX12" s="1839" t="str">
        <f t="shared" si="19"/>
        <v/>
      </c>
      <c r="AY12" s="1368" t="str">
        <f t="shared" si="20"/>
        <v/>
      </c>
      <c r="AZ12" s="1368" t="str">
        <f t="shared" si="21"/>
        <v/>
      </c>
      <c r="BA12" s="1368" t="str">
        <f t="shared" si="22"/>
        <v/>
      </c>
      <c r="BB12" s="1368" t="str">
        <f t="shared" si="23"/>
        <v/>
      </c>
      <c r="BC12" s="1369" t="str">
        <f t="shared" si="24"/>
        <v/>
      </c>
      <c r="BD12" s="30"/>
      <c r="BE12" s="30"/>
      <c r="BF12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12))),"")</f>
        <v/>
      </c>
      <c r="BG12" s="576" t="str">
        <f t="shared" si="25"/>
        <v/>
      </c>
      <c r="BH12" s="577" t="str">
        <f t="shared" si="26"/>
        <v/>
      </c>
      <c r="BI12" s="578" t="str">
        <f t="shared" si="27"/>
        <v/>
      </c>
      <c r="CN12"/>
      <c r="CO12"/>
      <c r="CP12"/>
      <c r="CQ12"/>
      <c r="CR12"/>
      <c r="CS12"/>
      <c r="CT12"/>
      <c r="CU12"/>
    </row>
    <row r="13" spans="1:99" ht="45.75">
      <c r="A13" s="2257"/>
      <c r="C13" s="42">
        <f>+PP!B31</f>
        <v>8</v>
      </c>
      <c r="D13" s="229" t="str">
        <f>+PP!C31</f>
        <v>ALETA FRESCA PARTIDA 2.0-4.0 kg/pza</v>
      </c>
      <c r="E13" s="2013"/>
      <c r="F13" s="1802"/>
      <c r="G13" s="1802"/>
      <c r="H13" s="1802"/>
      <c r="I13" s="1802"/>
      <c r="J13" s="1802"/>
      <c r="K13" s="1802"/>
      <c r="L13" s="1802"/>
      <c r="M13" s="1802"/>
      <c r="N13" s="1802"/>
      <c r="O13" s="1802"/>
      <c r="P13" s="1802"/>
      <c r="Q13" s="1802"/>
      <c r="R13" s="1847"/>
      <c r="S13" s="1847"/>
      <c r="T13" s="1847"/>
      <c r="U13" s="1847"/>
      <c r="V13" s="1847"/>
      <c r="W13" s="1847"/>
      <c r="X13" s="1848"/>
      <c r="Y13" s="525">
        <f t="shared" si="0"/>
        <v>0</v>
      </c>
      <c r="Z13" s="579">
        <f t="shared" si="28"/>
        <v>0</v>
      </c>
      <c r="AA13" s="552">
        <f t="shared" si="29"/>
        <v>0</v>
      </c>
      <c r="AB13" s="574"/>
      <c r="AC13" s="574"/>
      <c r="AD13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</f>
        <v/>
      </c>
      <c r="AE13" s="1372" t="str">
        <f>IF($AD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)</f>
        <v/>
      </c>
      <c r="AF13" s="1838" t="str">
        <f t="shared" si="1"/>
        <v/>
      </c>
      <c r="AG13" s="1838" t="str">
        <f t="shared" si="2"/>
        <v/>
      </c>
      <c r="AH13" s="1838" t="str">
        <f t="shared" si="3"/>
        <v/>
      </c>
      <c r="AI13" s="1838" t="str">
        <f t="shared" si="4"/>
        <v/>
      </c>
      <c r="AJ13" s="1838" t="str">
        <f t="shared" si="5"/>
        <v/>
      </c>
      <c r="AK13" s="1839" t="str">
        <f t="shared" si="6"/>
        <v/>
      </c>
      <c r="AL13" s="1839" t="str">
        <f t="shared" si="7"/>
        <v/>
      </c>
      <c r="AM13" s="1839" t="str">
        <f t="shared" si="8"/>
        <v/>
      </c>
      <c r="AN13" s="1839" t="str">
        <f t="shared" si="9"/>
        <v/>
      </c>
      <c r="AO13" s="1839" t="str">
        <f t="shared" si="10"/>
        <v/>
      </c>
      <c r="AP13" s="1839" t="str">
        <f t="shared" si="11"/>
        <v/>
      </c>
      <c r="AQ13" s="1839" t="str">
        <f t="shared" si="12"/>
        <v/>
      </c>
      <c r="AR13" s="1839" t="str">
        <f t="shared" si="13"/>
        <v/>
      </c>
      <c r="AS13" s="1839" t="str">
        <f t="shared" si="14"/>
        <v/>
      </c>
      <c r="AT13" s="1839" t="str">
        <f t="shared" si="15"/>
        <v/>
      </c>
      <c r="AU13" s="1839" t="str">
        <f t="shared" si="16"/>
        <v/>
      </c>
      <c r="AV13" s="1839" t="str">
        <f t="shared" si="17"/>
        <v/>
      </c>
      <c r="AW13" s="1839" t="str">
        <f t="shared" si="18"/>
        <v/>
      </c>
      <c r="AX13" s="1839" t="str">
        <f t="shared" si="19"/>
        <v/>
      </c>
      <c r="AY13" s="1368" t="str">
        <f t="shared" si="20"/>
        <v/>
      </c>
      <c r="AZ13" s="1368" t="str">
        <f t="shared" si="21"/>
        <v/>
      </c>
      <c r="BA13" s="1368" t="str">
        <f t="shared" si="22"/>
        <v/>
      </c>
      <c r="BB13" s="1368" t="str">
        <f t="shared" si="23"/>
        <v/>
      </c>
      <c r="BC13" s="1369" t="str">
        <f t="shared" si="24"/>
        <v/>
      </c>
      <c r="BD13" s="30"/>
      <c r="BE13" s="30"/>
      <c r="BF13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13))),"")</f>
        <v/>
      </c>
      <c r="BG13" s="576" t="str">
        <f t="shared" si="25"/>
        <v/>
      </c>
      <c r="BH13" s="577" t="str">
        <f t="shared" si="26"/>
        <v/>
      </c>
      <c r="BI13" s="578" t="str">
        <f t="shared" si="27"/>
        <v/>
      </c>
      <c r="CN13"/>
      <c r="CO13"/>
      <c r="CP13"/>
      <c r="CQ13"/>
      <c r="CR13"/>
      <c r="CS13"/>
      <c r="CT13"/>
      <c r="CU13"/>
    </row>
    <row r="14" spans="1:99" ht="45.75">
      <c r="A14" s="2257"/>
      <c r="C14" s="42">
        <f>+PP!B32</f>
        <v>9</v>
      </c>
      <c r="D14" s="229" t="str">
        <f>+PP!C32</f>
        <v>ALETA PRECOCIDA ENTERA 300-UP g/pza</v>
      </c>
      <c r="E14" s="2013"/>
      <c r="F14" s="1802"/>
      <c r="G14" s="1802"/>
      <c r="H14" s="1802"/>
      <c r="I14" s="1802"/>
      <c r="J14" s="1802"/>
      <c r="K14" s="1802"/>
      <c r="L14" s="1802"/>
      <c r="M14" s="1802"/>
      <c r="N14" s="1802"/>
      <c r="O14" s="1802"/>
      <c r="P14" s="1802"/>
      <c r="Q14" s="1802"/>
      <c r="R14" s="1847"/>
      <c r="S14" s="1847"/>
      <c r="T14" s="1847"/>
      <c r="U14" s="1847"/>
      <c r="V14" s="1847"/>
      <c r="W14" s="1847"/>
      <c r="X14" s="1848"/>
      <c r="Y14" s="525">
        <f t="shared" si="0"/>
        <v>0</v>
      </c>
      <c r="Z14" s="579">
        <f t="shared" si="28"/>
        <v>0</v>
      </c>
      <c r="AA14" s="552">
        <f t="shared" si="29"/>
        <v>0</v>
      </c>
      <c r="AB14" s="574"/>
      <c r="AC14" s="574"/>
      <c r="AD14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</f>
        <v/>
      </c>
      <c r="AE14" s="1372" t="str">
        <f>IF($AD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)</f>
        <v/>
      </c>
      <c r="AF14" s="1838" t="str">
        <f t="shared" si="1"/>
        <v/>
      </c>
      <c r="AG14" s="1838" t="str">
        <f t="shared" si="2"/>
        <v/>
      </c>
      <c r="AH14" s="1838" t="str">
        <f t="shared" si="3"/>
        <v/>
      </c>
      <c r="AI14" s="1838" t="str">
        <f t="shared" si="4"/>
        <v/>
      </c>
      <c r="AJ14" s="1838" t="str">
        <f t="shared" si="5"/>
        <v/>
      </c>
      <c r="AK14" s="1839" t="str">
        <f t="shared" si="6"/>
        <v/>
      </c>
      <c r="AL14" s="1839" t="str">
        <f t="shared" si="7"/>
        <v/>
      </c>
      <c r="AM14" s="1839" t="str">
        <f t="shared" si="8"/>
        <v/>
      </c>
      <c r="AN14" s="1839" t="str">
        <f t="shared" si="9"/>
        <v/>
      </c>
      <c r="AO14" s="1839" t="str">
        <f t="shared" si="10"/>
        <v/>
      </c>
      <c r="AP14" s="1839" t="str">
        <f t="shared" si="11"/>
        <v/>
      </c>
      <c r="AQ14" s="1839" t="str">
        <f t="shared" si="12"/>
        <v/>
      </c>
      <c r="AR14" s="1839" t="str">
        <f t="shared" si="13"/>
        <v/>
      </c>
      <c r="AS14" s="1839" t="str">
        <f t="shared" si="14"/>
        <v/>
      </c>
      <c r="AT14" s="1839" t="str">
        <f t="shared" si="15"/>
        <v/>
      </c>
      <c r="AU14" s="1839" t="str">
        <f t="shared" si="16"/>
        <v/>
      </c>
      <c r="AV14" s="1839" t="str">
        <f t="shared" si="17"/>
        <v/>
      </c>
      <c r="AW14" s="1839" t="str">
        <f t="shared" si="18"/>
        <v/>
      </c>
      <c r="AX14" s="1839" t="str">
        <f t="shared" si="19"/>
        <v/>
      </c>
      <c r="AY14" s="1368" t="str">
        <f t="shared" si="20"/>
        <v/>
      </c>
      <c r="AZ14" s="1368" t="str">
        <f t="shared" si="21"/>
        <v/>
      </c>
      <c r="BA14" s="1368" t="str">
        <f t="shared" si="22"/>
        <v/>
      </c>
      <c r="BB14" s="1368" t="str">
        <f t="shared" si="23"/>
        <v/>
      </c>
      <c r="BC14" s="1369" t="str">
        <f t="shared" si="24"/>
        <v/>
      </c>
      <c r="BD14" s="30"/>
      <c r="BE14" s="30"/>
      <c r="BF14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14))),"")</f>
        <v/>
      </c>
      <c r="BG14" s="576" t="str">
        <f t="shared" si="25"/>
        <v/>
      </c>
      <c r="BH14" s="577" t="str">
        <f t="shared" si="26"/>
        <v/>
      </c>
      <c r="BI14" s="578" t="str">
        <f t="shared" si="27"/>
        <v/>
      </c>
      <c r="CN14"/>
      <c r="CO14"/>
      <c r="CP14"/>
      <c r="CQ14"/>
      <c r="CR14"/>
      <c r="CS14"/>
      <c r="CT14"/>
      <c r="CU14"/>
    </row>
    <row r="15" spans="1:99" ht="46.5" thickBot="1">
      <c r="A15" s="2257"/>
      <c r="C15" s="40">
        <f>+PP!B33</f>
        <v>10</v>
      </c>
      <c r="D15" s="591" t="str">
        <f>+PP!C33</f>
        <v>ALETA PRECOCIDA PARTIDA 300-UP g/pza</v>
      </c>
      <c r="E15" s="2972"/>
      <c r="F15" s="2973"/>
      <c r="G15" s="2973"/>
      <c r="H15" s="2973"/>
      <c r="I15" s="2973"/>
      <c r="J15" s="2973"/>
      <c r="K15" s="2973"/>
      <c r="L15" s="2973"/>
      <c r="M15" s="2973"/>
      <c r="N15" s="2973"/>
      <c r="O15" s="2973"/>
      <c r="P15" s="2973"/>
      <c r="Q15" s="2973"/>
      <c r="R15" s="2975"/>
      <c r="S15" s="2975"/>
      <c r="T15" s="2975"/>
      <c r="U15" s="2975"/>
      <c r="V15" s="2975"/>
      <c r="W15" s="2975"/>
      <c r="X15" s="2978"/>
      <c r="Y15" s="511">
        <f t="shared" ref="Y15:Y53" si="30">SUM(E15:X15)</f>
        <v>0</v>
      </c>
      <c r="Z15" s="582">
        <f t="shared" si="28"/>
        <v>0</v>
      </c>
      <c r="AA15" s="507">
        <f t="shared" si="29"/>
        <v>0</v>
      </c>
      <c r="AB15" s="574"/>
      <c r="AC15" s="574"/>
      <c r="AD15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</f>
        <v/>
      </c>
      <c r="AE15" s="1372" t="str">
        <f>IF($AD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)</f>
        <v/>
      </c>
      <c r="AF15" s="1838" t="str">
        <f t="shared" si="1"/>
        <v/>
      </c>
      <c r="AG15" s="1838" t="str">
        <f t="shared" si="2"/>
        <v/>
      </c>
      <c r="AH15" s="1838" t="str">
        <f t="shared" si="3"/>
        <v/>
      </c>
      <c r="AI15" s="1838" t="str">
        <f t="shared" si="4"/>
        <v/>
      </c>
      <c r="AJ15" s="1838" t="str">
        <f t="shared" si="5"/>
        <v/>
      </c>
      <c r="AK15" s="1839" t="str">
        <f t="shared" si="6"/>
        <v/>
      </c>
      <c r="AL15" s="1839" t="str">
        <f t="shared" si="7"/>
        <v/>
      </c>
      <c r="AM15" s="1839" t="str">
        <f t="shared" si="8"/>
        <v/>
      </c>
      <c r="AN15" s="1839" t="str">
        <f t="shared" si="9"/>
        <v/>
      </c>
      <c r="AO15" s="1839" t="str">
        <f t="shared" si="10"/>
        <v/>
      </c>
      <c r="AP15" s="1839" t="str">
        <f t="shared" si="11"/>
        <v/>
      </c>
      <c r="AQ15" s="1839" t="str">
        <f t="shared" si="12"/>
        <v/>
      </c>
      <c r="AR15" s="1839" t="str">
        <f t="shared" si="13"/>
        <v/>
      </c>
      <c r="AS15" s="1839" t="str">
        <f t="shared" si="14"/>
        <v/>
      </c>
      <c r="AT15" s="1839" t="str">
        <f t="shared" si="15"/>
        <v/>
      </c>
      <c r="AU15" s="1839" t="str">
        <f t="shared" si="16"/>
        <v/>
      </c>
      <c r="AV15" s="1839" t="str">
        <f t="shared" si="17"/>
        <v/>
      </c>
      <c r="AW15" s="1839" t="str">
        <f t="shared" si="18"/>
        <v/>
      </c>
      <c r="AX15" s="1839" t="str">
        <f t="shared" si="19"/>
        <v/>
      </c>
      <c r="AY15" s="1368" t="str">
        <f t="shared" si="20"/>
        <v/>
      </c>
      <c r="AZ15" s="1368" t="str">
        <f t="shared" si="21"/>
        <v/>
      </c>
      <c r="BA15" s="1368" t="str">
        <f t="shared" si="22"/>
        <v/>
      </c>
      <c r="BB15" s="1368" t="str">
        <f t="shared" si="23"/>
        <v/>
      </c>
      <c r="BC15" s="1369" t="str">
        <f t="shared" si="24"/>
        <v/>
      </c>
      <c r="BD15" s="30"/>
      <c r="BE15" s="30"/>
      <c r="BF15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15))),"")</f>
        <v/>
      </c>
      <c r="BG15" s="576" t="str">
        <f t="shared" si="25"/>
        <v/>
      </c>
      <c r="BH15" s="577" t="str">
        <f t="shared" si="26"/>
        <v/>
      </c>
      <c r="BI15" s="578" t="str">
        <f t="shared" si="27"/>
        <v/>
      </c>
      <c r="CN15"/>
      <c r="CO15"/>
      <c r="CP15"/>
      <c r="CQ15"/>
      <c r="CR15"/>
      <c r="CS15"/>
      <c r="CT15"/>
      <c r="CU15"/>
    </row>
    <row r="16" spans="1:99" ht="45.75">
      <c r="A16" s="2257"/>
      <c r="C16" s="41">
        <f>+PP!B34</f>
        <v>11</v>
      </c>
      <c r="D16" s="259" t="str">
        <f>+PP!C34</f>
        <v>BOTON BLANCO SM ST</v>
      </c>
      <c r="E16" s="2967"/>
      <c r="F16" s="2968"/>
      <c r="G16" s="2968"/>
      <c r="H16" s="2968"/>
      <c r="I16" s="2968"/>
      <c r="J16" s="2968"/>
      <c r="K16" s="2968"/>
      <c r="L16" s="2968"/>
      <c r="M16" s="2968"/>
      <c r="N16" s="2968"/>
      <c r="O16" s="2968"/>
      <c r="P16" s="2968"/>
      <c r="Q16" s="2968"/>
      <c r="R16" s="2970"/>
      <c r="S16" s="2970"/>
      <c r="T16" s="2970"/>
      <c r="U16" s="2970"/>
      <c r="V16" s="2970"/>
      <c r="W16" s="2970"/>
      <c r="X16" s="2977"/>
      <c r="Y16" s="510">
        <f t="shared" si="30"/>
        <v>0</v>
      </c>
      <c r="Z16" s="573">
        <f t="shared" si="28"/>
        <v>0</v>
      </c>
      <c r="AA16" s="490">
        <f t="shared" si="29"/>
        <v>0</v>
      </c>
      <c r="AB16" s="574"/>
      <c r="AC16" s="574"/>
      <c r="AD16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</f>
        <v/>
      </c>
      <c r="AE16" s="1372" t="str">
        <f>IF($AD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)</f>
        <v/>
      </c>
      <c r="AF16" s="1838" t="str">
        <f t="shared" si="1"/>
        <v/>
      </c>
      <c r="AG16" s="1838" t="str">
        <f t="shared" si="2"/>
        <v/>
      </c>
      <c r="AH16" s="1838" t="str">
        <f t="shared" si="3"/>
        <v/>
      </c>
      <c r="AI16" s="1838" t="str">
        <f t="shared" si="4"/>
        <v/>
      </c>
      <c r="AJ16" s="1838" t="str">
        <f t="shared" si="5"/>
        <v/>
      </c>
      <c r="AK16" s="1839" t="str">
        <f t="shared" si="6"/>
        <v/>
      </c>
      <c r="AL16" s="1839" t="str">
        <f t="shared" si="7"/>
        <v/>
      </c>
      <c r="AM16" s="1839" t="str">
        <f t="shared" si="8"/>
        <v/>
      </c>
      <c r="AN16" s="1839" t="str">
        <f t="shared" si="9"/>
        <v/>
      </c>
      <c r="AO16" s="1839" t="str">
        <f t="shared" si="10"/>
        <v/>
      </c>
      <c r="AP16" s="1839" t="str">
        <f t="shared" si="11"/>
        <v/>
      </c>
      <c r="AQ16" s="1839" t="str">
        <f t="shared" si="12"/>
        <v/>
      </c>
      <c r="AR16" s="1839" t="str">
        <f t="shared" si="13"/>
        <v/>
      </c>
      <c r="AS16" s="1839" t="str">
        <f t="shared" si="14"/>
        <v/>
      </c>
      <c r="AT16" s="1839" t="str">
        <f t="shared" si="15"/>
        <v/>
      </c>
      <c r="AU16" s="1839" t="str">
        <f t="shared" si="16"/>
        <v/>
      </c>
      <c r="AV16" s="1839" t="str">
        <f t="shared" si="17"/>
        <v/>
      </c>
      <c r="AW16" s="1839" t="str">
        <f t="shared" si="18"/>
        <v/>
      </c>
      <c r="AX16" s="1839" t="str">
        <f t="shared" si="19"/>
        <v/>
      </c>
      <c r="AY16" s="1368" t="str">
        <f t="shared" si="20"/>
        <v/>
      </c>
      <c r="AZ16" s="1368" t="str">
        <f t="shared" si="21"/>
        <v/>
      </c>
      <c r="BA16" s="1368" t="str">
        <f t="shared" si="22"/>
        <v/>
      </c>
      <c r="BB16" s="1368" t="str">
        <f t="shared" si="23"/>
        <v/>
      </c>
      <c r="BC16" s="1369" t="str">
        <f t="shared" si="24"/>
        <v/>
      </c>
      <c r="BD16" s="30"/>
      <c r="BE16" s="30"/>
      <c r="BF1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16))),"")</f>
        <v/>
      </c>
      <c r="BG16" s="576" t="str">
        <f t="shared" si="25"/>
        <v/>
      </c>
      <c r="BH16" s="577" t="str">
        <f t="shared" si="26"/>
        <v/>
      </c>
      <c r="BI16" s="578" t="str">
        <f t="shared" si="27"/>
        <v/>
      </c>
      <c r="CN16"/>
      <c r="CO16"/>
      <c r="CP16"/>
      <c r="CQ16"/>
      <c r="CR16"/>
      <c r="CS16"/>
      <c r="CT16"/>
      <c r="CU16"/>
    </row>
    <row r="17" spans="1:99" ht="46.5" thickBot="1">
      <c r="A17" s="2257"/>
      <c r="C17" s="40">
        <f>+PP!B35</f>
        <v>12</v>
      </c>
      <c r="D17" s="591" t="str">
        <f>+PP!C35</f>
        <v>BOTON AMARILLO SM ST</v>
      </c>
      <c r="E17" s="2972"/>
      <c r="F17" s="2973"/>
      <c r="G17" s="2973"/>
      <c r="H17" s="2973"/>
      <c r="I17" s="2973"/>
      <c r="J17" s="2973"/>
      <c r="K17" s="2973"/>
      <c r="L17" s="2973"/>
      <c r="M17" s="2973"/>
      <c r="N17" s="2973"/>
      <c r="O17" s="2973"/>
      <c r="P17" s="2973"/>
      <c r="Q17" s="2973"/>
      <c r="R17" s="2975"/>
      <c r="S17" s="2975"/>
      <c r="T17" s="2975"/>
      <c r="U17" s="2975"/>
      <c r="V17" s="2975"/>
      <c r="W17" s="2975"/>
      <c r="X17" s="2978"/>
      <c r="Y17" s="511">
        <f t="shared" si="30"/>
        <v>0</v>
      </c>
      <c r="Z17" s="582">
        <f t="shared" si="28"/>
        <v>0</v>
      </c>
      <c r="AA17" s="507">
        <f t="shared" si="29"/>
        <v>0</v>
      </c>
      <c r="AB17" s="574"/>
      <c r="AC17" s="574"/>
      <c r="AD17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</f>
        <v/>
      </c>
      <c r="AE17" s="1372" t="str">
        <f>IF($AD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)</f>
        <v/>
      </c>
      <c r="AF17" s="1838" t="str">
        <f t="shared" si="1"/>
        <v/>
      </c>
      <c r="AG17" s="1838" t="str">
        <f t="shared" si="2"/>
        <v/>
      </c>
      <c r="AH17" s="1838" t="str">
        <f t="shared" si="3"/>
        <v/>
      </c>
      <c r="AI17" s="1838" t="str">
        <f t="shared" si="4"/>
        <v/>
      </c>
      <c r="AJ17" s="1838" t="str">
        <f t="shared" si="5"/>
        <v/>
      </c>
      <c r="AK17" s="1839" t="str">
        <f t="shared" si="6"/>
        <v/>
      </c>
      <c r="AL17" s="1839" t="str">
        <f t="shared" si="7"/>
        <v/>
      </c>
      <c r="AM17" s="1839" t="str">
        <f t="shared" si="8"/>
        <v/>
      </c>
      <c r="AN17" s="1839" t="str">
        <f t="shared" si="9"/>
        <v/>
      </c>
      <c r="AO17" s="1839" t="str">
        <f t="shared" si="10"/>
        <v/>
      </c>
      <c r="AP17" s="1839" t="str">
        <f t="shared" si="11"/>
        <v/>
      </c>
      <c r="AQ17" s="1839" t="str">
        <f t="shared" si="12"/>
        <v/>
      </c>
      <c r="AR17" s="1839" t="str">
        <f t="shared" si="13"/>
        <v/>
      </c>
      <c r="AS17" s="1839" t="str">
        <f t="shared" si="14"/>
        <v/>
      </c>
      <c r="AT17" s="1839" t="str">
        <f t="shared" si="15"/>
        <v/>
      </c>
      <c r="AU17" s="1839" t="str">
        <f t="shared" si="16"/>
        <v/>
      </c>
      <c r="AV17" s="1839" t="str">
        <f t="shared" si="17"/>
        <v/>
      </c>
      <c r="AW17" s="1839" t="str">
        <f t="shared" si="18"/>
        <v/>
      </c>
      <c r="AX17" s="1839" t="str">
        <f t="shared" si="19"/>
        <v/>
      </c>
      <c r="AY17" s="1368" t="str">
        <f t="shared" si="20"/>
        <v/>
      </c>
      <c r="AZ17" s="1368" t="str">
        <f t="shared" si="21"/>
        <v/>
      </c>
      <c r="BA17" s="1368" t="str">
        <f t="shared" si="22"/>
        <v/>
      </c>
      <c r="BB17" s="1368" t="str">
        <f t="shared" si="23"/>
        <v/>
      </c>
      <c r="BC17" s="1369" t="str">
        <f t="shared" si="24"/>
        <v/>
      </c>
      <c r="BD17" s="30"/>
      <c r="BE17" s="30"/>
      <c r="BF1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17))),"")</f>
        <v/>
      </c>
      <c r="BG17" s="576" t="str">
        <f t="shared" si="25"/>
        <v/>
      </c>
      <c r="BH17" s="577" t="str">
        <f t="shared" si="26"/>
        <v/>
      </c>
      <c r="BI17" s="578" t="str">
        <f t="shared" si="27"/>
        <v/>
      </c>
      <c r="CN17"/>
      <c r="CO17"/>
      <c r="CP17"/>
      <c r="CQ17"/>
      <c r="CR17"/>
      <c r="CS17"/>
      <c r="CT17"/>
      <c r="CU17"/>
    </row>
    <row r="18" spans="1:99" ht="46.5" thickBot="1">
      <c r="A18" s="2257"/>
      <c r="C18" s="526">
        <f>+PP!B36</f>
        <v>13</v>
      </c>
      <c r="D18" s="538" t="str">
        <f>+PP!C36</f>
        <v>CONOS DE POTA</v>
      </c>
      <c r="E18" s="2979"/>
      <c r="F18" s="2980"/>
      <c r="G18" s="2980"/>
      <c r="H18" s="2980"/>
      <c r="I18" s="2980"/>
      <c r="J18" s="2980"/>
      <c r="K18" s="2980"/>
      <c r="L18" s="2980"/>
      <c r="M18" s="2980"/>
      <c r="N18" s="2980"/>
      <c r="O18" s="2980"/>
      <c r="P18" s="2980"/>
      <c r="Q18" s="2980"/>
      <c r="R18" s="2981"/>
      <c r="S18" s="2981"/>
      <c r="T18" s="2981"/>
      <c r="U18" s="2981"/>
      <c r="V18" s="2981"/>
      <c r="W18" s="2981"/>
      <c r="X18" s="2982"/>
      <c r="Y18" s="1696">
        <f t="shared" si="30"/>
        <v>0</v>
      </c>
      <c r="Z18" s="2983">
        <f t="shared" si="28"/>
        <v>0</v>
      </c>
      <c r="AA18" s="2916">
        <f t="shared" si="29"/>
        <v>0</v>
      </c>
      <c r="AB18" s="574"/>
      <c r="AC18" s="574"/>
      <c r="AD18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</f>
        <v/>
      </c>
      <c r="AE18" s="1372" t="str">
        <f>IF($AD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)</f>
        <v/>
      </c>
      <c r="AF18" s="1838" t="str">
        <f t="shared" si="1"/>
        <v/>
      </c>
      <c r="AG18" s="1838" t="str">
        <f t="shared" si="2"/>
        <v/>
      </c>
      <c r="AH18" s="1838" t="str">
        <f t="shared" si="3"/>
        <v/>
      </c>
      <c r="AI18" s="1838" t="str">
        <f t="shared" si="4"/>
        <v/>
      </c>
      <c r="AJ18" s="1838" t="str">
        <f t="shared" si="5"/>
        <v/>
      </c>
      <c r="AK18" s="1839" t="str">
        <f t="shared" si="6"/>
        <v/>
      </c>
      <c r="AL18" s="1839" t="str">
        <f t="shared" si="7"/>
        <v/>
      </c>
      <c r="AM18" s="1839" t="str">
        <f t="shared" si="8"/>
        <v/>
      </c>
      <c r="AN18" s="1839" t="str">
        <f t="shared" si="9"/>
        <v/>
      </c>
      <c r="AO18" s="1839" t="str">
        <f t="shared" si="10"/>
        <v/>
      </c>
      <c r="AP18" s="1839" t="str">
        <f t="shared" si="11"/>
        <v/>
      </c>
      <c r="AQ18" s="1839" t="str">
        <f t="shared" si="12"/>
        <v/>
      </c>
      <c r="AR18" s="1839" t="str">
        <f t="shared" si="13"/>
        <v/>
      </c>
      <c r="AS18" s="1839" t="str">
        <f t="shared" si="14"/>
        <v/>
      </c>
      <c r="AT18" s="1839" t="str">
        <f t="shared" si="15"/>
        <v/>
      </c>
      <c r="AU18" s="1839" t="str">
        <f t="shared" si="16"/>
        <v/>
      </c>
      <c r="AV18" s="1839" t="str">
        <f t="shared" si="17"/>
        <v/>
      </c>
      <c r="AW18" s="1839" t="str">
        <f t="shared" si="18"/>
        <v/>
      </c>
      <c r="AX18" s="1839" t="str">
        <f t="shared" si="19"/>
        <v/>
      </c>
      <c r="AY18" s="1368" t="str">
        <f t="shared" si="20"/>
        <v/>
      </c>
      <c r="AZ18" s="1368" t="str">
        <f t="shared" si="21"/>
        <v/>
      </c>
      <c r="BA18" s="1368" t="str">
        <f t="shared" si="22"/>
        <v/>
      </c>
      <c r="BB18" s="1368" t="str">
        <f t="shared" si="23"/>
        <v/>
      </c>
      <c r="BC18" s="1369" t="str">
        <f t="shared" si="24"/>
        <v/>
      </c>
      <c r="BD18" s="30"/>
      <c r="BE18" s="30"/>
      <c r="BF18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18))),"")</f>
        <v/>
      </c>
      <c r="BG18" s="576" t="str">
        <f t="shared" si="25"/>
        <v/>
      </c>
      <c r="BH18" s="577" t="str">
        <f t="shared" si="26"/>
        <v/>
      </c>
      <c r="BI18" s="578" t="str">
        <f t="shared" si="27"/>
        <v/>
      </c>
      <c r="CN18"/>
      <c r="CO18"/>
      <c r="CP18"/>
      <c r="CQ18"/>
      <c r="CR18"/>
      <c r="CS18"/>
      <c r="CT18"/>
      <c r="CU18"/>
    </row>
    <row r="19" spans="1:99" ht="45.75">
      <c r="A19" s="2257"/>
      <c r="C19" s="41">
        <f>+PP!B37</f>
        <v>14</v>
      </c>
      <c r="D19" s="259" t="str">
        <f>+PP!C37</f>
        <v>FILETE C/TT DARUMA</v>
      </c>
      <c r="E19" s="2967"/>
      <c r="F19" s="2968"/>
      <c r="G19" s="2968"/>
      <c r="H19" s="2968"/>
      <c r="I19" s="2968"/>
      <c r="J19" s="2968"/>
      <c r="K19" s="2968"/>
      <c r="L19" s="2968"/>
      <c r="M19" s="2968"/>
      <c r="N19" s="2968"/>
      <c r="O19" s="2968"/>
      <c r="P19" s="2968"/>
      <c r="Q19" s="2968"/>
      <c r="R19" s="2970"/>
      <c r="S19" s="2970"/>
      <c r="T19" s="2970"/>
      <c r="U19" s="2970"/>
      <c r="V19" s="2970"/>
      <c r="W19" s="2970"/>
      <c r="X19" s="2977"/>
      <c r="Y19" s="510">
        <f t="shared" si="30"/>
        <v>0</v>
      </c>
      <c r="Z19" s="148">
        <f t="shared" si="28"/>
        <v>0</v>
      </c>
      <c r="AA19" s="145">
        <f t="shared" si="29"/>
        <v>0</v>
      </c>
      <c r="AB19" s="574"/>
      <c r="AC19" s="574"/>
      <c r="AD19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</f>
        <v/>
      </c>
      <c r="AE19" s="1372" t="str">
        <f>IF($AD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)</f>
        <v/>
      </c>
      <c r="AF19" s="1838" t="str">
        <f t="shared" si="1"/>
        <v/>
      </c>
      <c r="AG19" s="1838" t="str">
        <f t="shared" si="2"/>
        <v/>
      </c>
      <c r="AH19" s="1838" t="str">
        <f t="shared" si="3"/>
        <v/>
      </c>
      <c r="AI19" s="1838" t="str">
        <f t="shared" si="4"/>
        <v/>
      </c>
      <c r="AJ19" s="1838" t="str">
        <f t="shared" si="5"/>
        <v/>
      </c>
      <c r="AK19" s="1838" t="str">
        <f t="shared" si="6"/>
        <v/>
      </c>
      <c r="AL19" s="1838" t="str">
        <f t="shared" si="7"/>
        <v/>
      </c>
      <c r="AM19" s="1838" t="str">
        <f t="shared" si="8"/>
        <v/>
      </c>
      <c r="AN19" s="1838" t="str">
        <f t="shared" si="9"/>
        <v/>
      </c>
      <c r="AO19" s="1838" t="str">
        <f t="shared" si="10"/>
        <v/>
      </c>
      <c r="AP19" s="1838" t="str">
        <f t="shared" si="11"/>
        <v/>
      </c>
      <c r="AQ19" s="1838" t="str">
        <f t="shared" si="12"/>
        <v/>
      </c>
      <c r="AR19" s="1838" t="str">
        <f t="shared" si="13"/>
        <v/>
      </c>
      <c r="AS19" s="1838" t="str">
        <f t="shared" si="14"/>
        <v/>
      </c>
      <c r="AT19" s="1838" t="str">
        <f t="shared" si="15"/>
        <v/>
      </c>
      <c r="AU19" s="1838" t="str">
        <f t="shared" si="16"/>
        <v/>
      </c>
      <c r="AV19" s="1838" t="str">
        <f t="shared" si="17"/>
        <v/>
      </c>
      <c r="AW19" s="1838" t="str">
        <f t="shared" si="18"/>
        <v/>
      </c>
      <c r="AX19" s="1838" t="str">
        <f t="shared" si="19"/>
        <v/>
      </c>
      <c r="AY19" s="1368" t="str">
        <f t="shared" si="20"/>
        <v/>
      </c>
      <c r="AZ19" s="1368" t="str">
        <f t="shared" si="21"/>
        <v/>
      </c>
      <c r="BA19" s="1368" t="str">
        <f t="shared" si="22"/>
        <v/>
      </c>
      <c r="BB19" s="1368" t="str">
        <f t="shared" si="23"/>
        <v/>
      </c>
      <c r="BC19" s="1369" t="str">
        <f t="shared" si="24"/>
        <v/>
      </c>
      <c r="BD19" s="30"/>
      <c r="BE19" s="30"/>
      <c r="BF19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19))),"")</f>
        <v/>
      </c>
      <c r="BG19" s="576" t="str">
        <f t="shared" si="25"/>
        <v/>
      </c>
      <c r="BH19" s="577" t="str">
        <f t="shared" si="26"/>
        <v/>
      </c>
      <c r="BI19" s="578" t="str">
        <f t="shared" si="27"/>
        <v/>
      </c>
      <c r="CN19"/>
      <c r="CO19"/>
      <c r="CP19"/>
      <c r="CQ19"/>
      <c r="CR19"/>
      <c r="CS19"/>
      <c r="CT19"/>
      <c r="CU19"/>
    </row>
    <row r="20" spans="1:99" ht="46.5" thickBot="1">
      <c r="A20" s="2257"/>
      <c r="C20" s="42">
        <f>+PP!B38</f>
        <v>15</v>
      </c>
      <c r="D20" s="229" t="str">
        <f>+PP!C38</f>
        <v>FILETE C/M C/T TRES PIELES 1.0-2.0 kg/pza</v>
      </c>
      <c r="E20" s="2013"/>
      <c r="F20" s="1802"/>
      <c r="G20" s="1802"/>
      <c r="H20" s="1802"/>
      <c r="I20" s="1802"/>
      <c r="J20" s="1802"/>
      <c r="K20" s="1802"/>
      <c r="L20" s="1802"/>
      <c r="M20" s="1802"/>
      <c r="N20" s="1802"/>
      <c r="O20" s="1802"/>
      <c r="P20" s="1802"/>
      <c r="Q20" s="1802"/>
      <c r="R20" s="1847"/>
      <c r="S20" s="1847"/>
      <c r="T20" s="1847"/>
      <c r="U20" s="1847"/>
      <c r="V20" s="1847"/>
      <c r="W20" s="1847"/>
      <c r="X20" s="1848"/>
      <c r="Y20" s="525">
        <f t="shared" si="30"/>
        <v>0</v>
      </c>
      <c r="Z20" s="149">
        <f t="shared" si="28"/>
        <v>0</v>
      </c>
      <c r="AA20" s="146">
        <f t="shared" si="29"/>
        <v>0</v>
      </c>
      <c r="AB20" s="574"/>
      <c r="AC20" s="574"/>
      <c r="AD20" s="13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</f>
        <v/>
      </c>
      <c r="AE20" s="1372" t="str">
        <f>IF($AD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)</f>
        <v/>
      </c>
      <c r="AF20" s="1838" t="str">
        <f t="shared" si="1"/>
        <v/>
      </c>
      <c r="AG20" s="1838" t="str">
        <f t="shared" si="2"/>
        <v/>
      </c>
      <c r="AH20" s="1838" t="str">
        <f t="shared" si="3"/>
        <v/>
      </c>
      <c r="AI20" s="1838" t="str">
        <f t="shared" si="4"/>
        <v/>
      </c>
      <c r="AJ20" s="1838" t="str">
        <f t="shared" si="5"/>
        <v/>
      </c>
      <c r="AK20" s="1838" t="str">
        <f t="shared" si="6"/>
        <v/>
      </c>
      <c r="AL20" s="1838" t="str">
        <f t="shared" si="7"/>
        <v/>
      </c>
      <c r="AM20" s="1838" t="str">
        <f t="shared" si="8"/>
        <v/>
      </c>
      <c r="AN20" s="1838" t="str">
        <f t="shared" si="9"/>
        <v/>
      </c>
      <c r="AO20" s="1838" t="str">
        <f t="shared" si="10"/>
        <v/>
      </c>
      <c r="AP20" s="1838" t="str">
        <f t="shared" si="11"/>
        <v/>
      </c>
      <c r="AQ20" s="1838" t="str">
        <f t="shared" si="12"/>
        <v/>
      </c>
      <c r="AR20" s="1838" t="str">
        <f t="shared" si="13"/>
        <v/>
      </c>
      <c r="AS20" s="1838" t="str">
        <f t="shared" si="14"/>
        <v/>
      </c>
      <c r="AT20" s="1838" t="str">
        <f t="shared" si="15"/>
        <v/>
      </c>
      <c r="AU20" s="1838" t="str">
        <f t="shared" si="16"/>
        <v/>
      </c>
      <c r="AV20" s="1838" t="str">
        <f t="shared" si="17"/>
        <v/>
      </c>
      <c r="AW20" s="1838" t="str">
        <f t="shared" si="18"/>
        <v/>
      </c>
      <c r="AX20" s="1838" t="str">
        <f t="shared" si="19"/>
        <v/>
      </c>
      <c r="AY20" s="1368" t="str">
        <f t="shared" si="20"/>
        <v/>
      </c>
      <c r="AZ20" s="1368" t="str">
        <f t="shared" si="21"/>
        <v/>
      </c>
      <c r="BA20" s="1368" t="str">
        <f t="shared" si="22"/>
        <v/>
      </c>
      <c r="BB20" s="1368" t="str">
        <f t="shared" si="23"/>
        <v/>
      </c>
      <c r="BC20" s="1369" t="str">
        <f t="shared" si="24"/>
        <v/>
      </c>
      <c r="BD20" s="30"/>
      <c r="BE20" s="30"/>
      <c r="BF20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20))),"")</f>
        <v/>
      </c>
      <c r="BG20" s="576" t="str">
        <f t="shared" si="25"/>
        <v/>
      </c>
      <c r="BH20" s="577" t="str">
        <f t="shared" si="26"/>
        <v/>
      </c>
      <c r="BI20" s="578" t="str">
        <f t="shared" si="27"/>
        <v/>
      </c>
      <c r="CN20"/>
      <c r="CO20"/>
      <c r="CP20"/>
      <c r="CQ20"/>
      <c r="CR20"/>
      <c r="CS20"/>
      <c r="CT20"/>
      <c r="CU20"/>
    </row>
    <row r="21" spans="1:99" ht="45.75">
      <c r="A21" s="2257"/>
      <c r="C21" s="42">
        <f>+PP!B39</f>
        <v>16</v>
      </c>
      <c r="D21" s="229" t="str">
        <f>+PP!C39</f>
        <v>FILETE C/M C/T TRES PIELES 2.0-4.0 kg/pza</v>
      </c>
      <c r="E21" s="2013"/>
      <c r="F21" s="1802"/>
      <c r="G21" s="1802"/>
      <c r="H21" s="1802"/>
      <c r="I21" s="1802"/>
      <c r="J21" s="1802"/>
      <c r="K21" s="1802"/>
      <c r="L21" s="1802"/>
      <c r="M21" s="1802"/>
      <c r="N21" s="1802"/>
      <c r="O21" s="1802"/>
      <c r="P21" s="1802"/>
      <c r="Q21" s="1802"/>
      <c r="R21" s="1847"/>
      <c r="S21" s="1847"/>
      <c r="T21" s="1847"/>
      <c r="U21" s="1847"/>
      <c r="V21" s="1847"/>
      <c r="W21" s="1847"/>
      <c r="X21" s="1848"/>
      <c r="Y21" s="525">
        <f t="shared" si="30"/>
        <v>0</v>
      </c>
      <c r="Z21" s="149">
        <f t="shared" si="28"/>
        <v>0</v>
      </c>
      <c r="AA21" s="146">
        <f t="shared" si="29"/>
        <v>0</v>
      </c>
      <c r="AB21" s="574"/>
      <c r="AC21" s="574"/>
      <c r="AD21" s="184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</f>
        <v/>
      </c>
      <c r="AE21" s="1841" t="str">
        <f>IF($AD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)</f>
        <v/>
      </c>
      <c r="AF21" s="1842" t="str">
        <f t="shared" si="1"/>
        <v/>
      </c>
      <c r="AG21" s="1842" t="str">
        <f t="shared" si="2"/>
        <v/>
      </c>
      <c r="AH21" s="1842" t="str">
        <f t="shared" si="3"/>
        <v/>
      </c>
      <c r="AI21" s="1842" t="str">
        <f t="shared" si="4"/>
        <v/>
      </c>
      <c r="AJ21" s="1842" t="str">
        <f t="shared" si="5"/>
        <v/>
      </c>
      <c r="AK21" s="1842" t="str">
        <f t="shared" si="6"/>
        <v/>
      </c>
      <c r="AL21" s="1842" t="str">
        <f t="shared" si="7"/>
        <v/>
      </c>
      <c r="AM21" s="1842" t="str">
        <f t="shared" si="8"/>
        <v/>
      </c>
      <c r="AN21" s="1842" t="str">
        <f t="shared" si="9"/>
        <v/>
      </c>
      <c r="AO21" s="1842" t="str">
        <f t="shared" si="10"/>
        <v/>
      </c>
      <c r="AP21" s="1842" t="str">
        <f t="shared" si="11"/>
        <v/>
      </c>
      <c r="AQ21" s="1842" t="str">
        <f t="shared" si="12"/>
        <v/>
      </c>
      <c r="AR21" s="1842" t="str">
        <f t="shared" si="13"/>
        <v/>
      </c>
      <c r="AS21" s="1842" t="str">
        <f t="shared" si="14"/>
        <v/>
      </c>
      <c r="AT21" s="1842" t="str">
        <f t="shared" si="15"/>
        <v/>
      </c>
      <c r="AU21" s="1842" t="str">
        <f t="shared" si="16"/>
        <v/>
      </c>
      <c r="AV21" s="1842" t="str">
        <f t="shared" si="17"/>
        <v/>
      </c>
      <c r="AW21" s="1842" t="str">
        <f t="shared" si="18"/>
        <v/>
      </c>
      <c r="AX21" s="1842" t="str">
        <f t="shared" si="19"/>
        <v/>
      </c>
      <c r="AY21" s="1843" t="str">
        <f t="shared" si="20"/>
        <v/>
      </c>
      <c r="AZ21" s="1843" t="str">
        <f t="shared" si="21"/>
        <v/>
      </c>
      <c r="BA21" s="1843" t="str">
        <f t="shared" si="22"/>
        <v/>
      </c>
      <c r="BB21" s="1843" t="str">
        <f t="shared" si="23"/>
        <v/>
      </c>
      <c r="BC21" s="1844" t="str">
        <f t="shared" si="24"/>
        <v/>
      </c>
      <c r="BD21" s="30"/>
      <c r="BE21" s="30"/>
      <c r="BF21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21))),"")</f>
        <v/>
      </c>
      <c r="BG21" s="576" t="str">
        <f t="shared" si="25"/>
        <v/>
      </c>
      <c r="BH21" s="577" t="str">
        <f t="shared" si="26"/>
        <v/>
      </c>
      <c r="BI21" s="578" t="str">
        <f t="shared" si="27"/>
        <v/>
      </c>
      <c r="CN21"/>
      <c r="CO21"/>
      <c r="CP21"/>
      <c r="CQ21"/>
      <c r="CR21"/>
      <c r="CS21"/>
      <c r="CT21"/>
      <c r="CU21"/>
    </row>
    <row r="22" spans="1:99" ht="45.75" customHeight="1">
      <c r="A22" s="2257"/>
      <c r="C22" s="42">
        <f>+PP!B40</f>
        <v>17</v>
      </c>
      <c r="D22" s="229" t="str">
        <f>+PP!C40</f>
        <v>FILETE C/M C/T ENTERO BLANCO 1.0-2.0 kg/pza</v>
      </c>
      <c r="E22" s="2013"/>
      <c r="F22" s="1802"/>
      <c r="G22" s="1802"/>
      <c r="H22" s="1802"/>
      <c r="I22" s="1802"/>
      <c r="J22" s="1802"/>
      <c r="K22" s="1802"/>
      <c r="L22" s="1802"/>
      <c r="M22" s="1802"/>
      <c r="N22" s="1802"/>
      <c r="O22" s="1802"/>
      <c r="P22" s="1802"/>
      <c r="Q22" s="1802"/>
      <c r="R22" s="1847"/>
      <c r="S22" s="1847"/>
      <c r="T22" s="1847"/>
      <c r="U22" s="1847"/>
      <c r="V22" s="1847"/>
      <c r="W22" s="1847"/>
      <c r="X22" s="1848"/>
      <c r="Y22" s="525">
        <f t="shared" si="30"/>
        <v>0</v>
      </c>
      <c r="Z22" s="149">
        <f t="shared" si="28"/>
        <v>0</v>
      </c>
      <c r="AA22" s="146">
        <f t="shared" si="29"/>
        <v>0</v>
      </c>
      <c r="AB22" s="574"/>
      <c r="AC22" s="574"/>
      <c r="AD22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</f>
        <v/>
      </c>
      <c r="AE22" s="1846" t="str">
        <f>IF($AD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)</f>
        <v/>
      </c>
      <c r="AF22" s="1842" t="str">
        <f t="shared" si="1"/>
        <v/>
      </c>
      <c r="AG22" s="1842" t="str">
        <f t="shared" si="2"/>
        <v/>
      </c>
      <c r="AH22" s="1842" t="str">
        <f t="shared" si="3"/>
        <v/>
      </c>
      <c r="AI22" s="1842" t="str">
        <f t="shared" si="4"/>
        <v/>
      </c>
      <c r="AJ22" s="1842" t="str">
        <f t="shared" si="5"/>
        <v/>
      </c>
      <c r="AK22" s="1842" t="str">
        <f t="shared" si="6"/>
        <v/>
      </c>
      <c r="AL22" s="1842" t="str">
        <f t="shared" si="7"/>
        <v/>
      </c>
      <c r="AM22" s="1842" t="str">
        <f t="shared" si="8"/>
        <v/>
      </c>
      <c r="AN22" s="1842" t="str">
        <f t="shared" si="9"/>
        <v/>
      </c>
      <c r="AO22" s="1842" t="str">
        <f t="shared" si="10"/>
        <v/>
      </c>
      <c r="AP22" s="1842" t="str">
        <f t="shared" si="11"/>
        <v/>
      </c>
      <c r="AQ22" s="1842" t="str">
        <f t="shared" si="12"/>
        <v/>
      </c>
      <c r="AR22" s="1842" t="str">
        <f t="shared" si="13"/>
        <v/>
      </c>
      <c r="AS22" s="1842" t="str">
        <f t="shared" si="14"/>
        <v/>
      </c>
      <c r="AT22" s="1842" t="str">
        <f t="shared" si="15"/>
        <v/>
      </c>
      <c r="AU22" s="1842" t="str">
        <f t="shared" si="16"/>
        <v/>
      </c>
      <c r="AV22" s="1842" t="str">
        <f t="shared" si="17"/>
        <v/>
      </c>
      <c r="AW22" s="1842" t="str">
        <f t="shared" si="18"/>
        <v/>
      </c>
      <c r="AX22" s="1842" t="str">
        <f t="shared" si="19"/>
        <v/>
      </c>
      <c r="AY22" s="1843" t="str">
        <f t="shared" si="20"/>
        <v/>
      </c>
      <c r="AZ22" s="1843" t="str">
        <f t="shared" si="21"/>
        <v/>
      </c>
      <c r="BA22" s="1843" t="str">
        <f t="shared" si="22"/>
        <v/>
      </c>
      <c r="BB22" s="1843" t="str">
        <f t="shared" si="23"/>
        <v/>
      </c>
      <c r="BC22" s="1844" t="str">
        <f t="shared" si="24"/>
        <v/>
      </c>
      <c r="BD22" s="30"/>
      <c r="BE22" s="30"/>
      <c r="BF22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22))),"")</f>
        <v/>
      </c>
      <c r="BG22" s="576" t="str">
        <f t="shared" si="25"/>
        <v/>
      </c>
      <c r="BH22" s="577" t="str">
        <f t="shared" si="26"/>
        <v/>
      </c>
      <c r="BI22" s="578" t="str">
        <f t="shared" si="27"/>
        <v/>
      </c>
      <c r="CN22"/>
      <c r="CO22"/>
      <c r="CP22"/>
      <c r="CQ22"/>
      <c r="CR22"/>
      <c r="CS22"/>
      <c r="CT22"/>
      <c r="CU22"/>
    </row>
    <row r="23" spans="1:99" ht="45.75" customHeight="1">
      <c r="A23" s="2257"/>
      <c r="C23" s="42">
        <f>+PP!B41</f>
        <v>18</v>
      </c>
      <c r="D23" s="229" t="str">
        <f>+PP!C41</f>
        <v>FILETE C/M C/T ENTERO BLANCO 2.0-4.0 kg/pza</v>
      </c>
      <c r="E23" s="2013"/>
      <c r="F23" s="1802"/>
      <c r="G23" s="1802"/>
      <c r="H23" s="1802"/>
      <c r="I23" s="1802"/>
      <c r="J23" s="1802"/>
      <c r="K23" s="1802"/>
      <c r="L23" s="1802"/>
      <c r="M23" s="1802"/>
      <c r="N23" s="1802"/>
      <c r="O23" s="1802"/>
      <c r="P23" s="1802"/>
      <c r="Q23" s="1802"/>
      <c r="R23" s="1847"/>
      <c r="S23" s="1847"/>
      <c r="T23" s="1847"/>
      <c r="U23" s="1847"/>
      <c r="V23" s="1847"/>
      <c r="W23" s="1847"/>
      <c r="X23" s="1848"/>
      <c r="Y23" s="525">
        <f t="shared" si="30"/>
        <v>0</v>
      </c>
      <c r="Z23" s="149">
        <f t="shared" si="28"/>
        <v>0</v>
      </c>
      <c r="AA23" s="146">
        <f t="shared" si="29"/>
        <v>0</v>
      </c>
      <c r="AB23" s="574"/>
      <c r="AC23" s="574"/>
      <c r="AD23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</f>
        <v/>
      </c>
      <c r="AE23" s="1846" t="str">
        <f>IF($AD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)</f>
        <v/>
      </c>
      <c r="AF23" s="1842" t="str">
        <f t="shared" si="1"/>
        <v/>
      </c>
      <c r="AG23" s="1842" t="str">
        <f t="shared" si="2"/>
        <v/>
      </c>
      <c r="AH23" s="1842" t="str">
        <f t="shared" si="3"/>
        <v/>
      </c>
      <c r="AI23" s="1842" t="str">
        <f t="shared" si="4"/>
        <v/>
      </c>
      <c r="AJ23" s="1842" t="str">
        <f t="shared" si="5"/>
        <v/>
      </c>
      <c r="AK23" s="1842" t="str">
        <f t="shared" si="6"/>
        <v/>
      </c>
      <c r="AL23" s="1842" t="str">
        <f t="shared" si="7"/>
        <v/>
      </c>
      <c r="AM23" s="1842" t="str">
        <f t="shared" si="8"/>
        <v/>
      </c>
      <c r="AN23" s="1842" t="str">
        <f t="shared" si="9"/>
        <v/>
      </c>
      <c r="AO23" s="1842" t="str">
        <f t="shared" si="10"/>
        <v/>
      </c>
      <c r="AP23" s="1842" t="str">
        <f t="shared" si="11"/>
        <v/>
      </c>
      <c r="AQ23" s="1842" t="str">
        <f t="shared" si="12"/>
        <v/>
      </c>
      <c r="AR23" s="1842" t="str">
        <f t="shared" si="13"/>
        <v/>
      </c>
      <c r="AS23" s="1842" t="str">
        <f t="shared" si="14"/>
        <v/>
      </c>
      <c r="AT23" s="1842" t="str">
        <f t="shared" si="15"/>
        <v/>
      </c>
      <c r="AU23" s="1842" t="str">
        <f t="shared" si="16"/>
        <v/>
      </c>
      <c r="AV23" s="1842" t="str">
        <f t="shared" si="17"/>
        <v/>
      </c>
      <c r="AW23" s="1842" t="str">
        <f t="shared" si="18"/>
        <v/>
      </c>
      <c r="AX23" s="1842" t="str">
        <f t="shared" si="19"/>
        <v/>
      </c>
      <c r="AY23" s="1843" t="str">
        <f t="shared" si="20"/>
        <v/>
      </c>
      <c r="AZ23" s="1843" t="str">
        <f t="shared" si="21"/>
        <v/>
      </c>
      <c r="BA23" s="1843" t="str">
        <f t="shared" si="22"/>
        <v/>
      </c>
      <c r="BB23" s="1843" t="str">
        <f t="shared" si="23"/>
        <v/>
      </c>
      <c r="BC23" s="1844" t="str">
        <f t="shared" si="24"/>
        <v/>
      </c>
      <c r="BD23" s="30"/>
      <c r="BE23" s="30"/>
      <c r="BF23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23))),"")</f>
        <v/>
      </c>
      <c r="BG23" s="576" t="str">
        <f t="shared" si="25"/>
        <v/>
      </c>
      <c r="BH23" s="577" t="str">
        <f t="shared" si="26"/>
        <v/>
      </c>
      <c r="BI23" s="578" t="str">
        <f t="shared" si="27"/>
        <v/>
      </c>
      <c r="CN23"/>
      <c r="CO23"/>
      <c r="CP23"/>
      <c r="CQ23"/>
      <c r="CR23"/>
      <c r="CS23"/>
      <c r="CT23"/>
      <c r="CU23"/>
    </row>
    <row r="24" spans="1:99" ht="46.5" thickBot="1">
      <c r="A24" s="2257"/>
      <c r="C24" s="40">
        <f>+PP!B42</f>
        <v>19</v>
      </c>
      <c r="D24" s="591" t="str">
        <f>+PP!C42</f>
        <v>FILETE LP C/M C/T ENTERO 2.0-4.0 kg/pza</v>
      </c>
      <c r="E24" s="2972"/>
      <c r="F24" s="2973"/>
      <c r="G24" s="2973"/>
      <c r="H24" s="2973"/>
      <c r="I24" s="2973"/>
      <c r="J24" s="2973"/>
      <c r="K24" s="2973"/>
      <c r="L24" s="2973"/>
      <c r="M24" s="2973"/>
      <c r="N24" s="2973"/>
      <c r="O24" s="2973"/>
      <c r="P24" s="2973"/>
      <c r="Q24" s="2973"/>
      <c r="R24" s="2975"/>
      <c r="S24" s="2975"/>
      <c r="T24" s="2975"/>
      <c r="U24" s="2975"/>
      <c r="V24" s="2975"/>
      <c r="W24" s="2975"/>
      <c r="X24" s="2978"/>
      <c r="Y24" s="511">
        <f t="shared" si="30"/>
        <v>0</v>
      </c>
      <c r="Z24" s="150">
        <f t="shared" si="28"/>
        <v>0</v>
      </c>
      <c r="AA24" s="147">
        <f t="shared" si="29"/>
        <v>0</v>
      </c>
      <c r="AB24" s="574"/>
      <c r="AC24" s="574"/>
      <c r="AD24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</f>
        <v/>
      </c>
      <c r="AE24" s="1846" t="str">
        <f>IF($AD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)</f>
        <v/>
      </c>
      <c r="AF24" s="1842" t="str">
        <f t="shared" si="1"/>
        <v/>
      </c>
      <c r="AG24" s="1842" t="str">
        <f t="shared" si="2"/>
        <v/>
      </c>
      <c r="AH24" s="1842" t="str">
        <f t="shared" si="3"/>
        <v/>
      </c>
      <c r="AI24" s="1842" t="str">
        <f t="shared" si="4"/>
        <v/>
      </c>
      <c r="AJ24" s="1842" t="str">
        <f t="shared" si="5"/>
        <v/>
      </c>
      <c r="AK24" s="1842" t="str">
        <f t="shared" si="6"/>
        <v/>
      </c>
      <c r="AL24" s="1842" t="str">
        <f t="shared" si="7"/>
        <v/>
      </c>
      <c r="AM24" s="1842" t="str">
        <f t="shared" si="8"/>
        <v/>
      </c>
      <c r="AN24" s="1842" t="str">
        <f t="shared" si="9"/>
        <v/>
      </c>
      <c r="AO24" s="1842" t="str">
        <f t="shared" si="10"/>
        <v/>
      </c>
      <c r="AP24" s="1842" t="str">
        <f t="shared" si="11"/>
        <v/>
      </c>
      <c r="AQ24" s="1842" t="str">
        <f t="shared" si="12"/>
        <v/>
      </c>
      <c r="AR24" s="1842" t="str">
        <f t="shared" si="13"/>
        <v/>
      </c>
      <c r="AS24" s="1842" t="str">
        <f t="shared" si="14"/>
        <v/>
      </c>
      <c r="AT24" s="1842" t="str">
        <f t="shared" si="15"/>
        <v/>
      </c>
      <c r="AU24" s="1842" t="str">
        <f t="shared" si="16"/>
        <v/>
      </c>
      <c r="AV24" s="1842" t="str">
        <f t="shared" si="17"/>
        <v/>
      </c>
      <c r="AW24" s="1842" t="str">
        <f t="shared" si="18"/>
        <v/>
      </c>
      <c r="AX24" s="1842" t="str">
        <f t="shared" si="19"/>
        <v/>
      </c>
      <c r="AY24" s="1843" t="str">
        <f t="shared" si="20"/>
        <v/>
      </c>
      <c r="AZ24" s="1843" t="str">
        <f t="shared" si="21"/>
        <v/>
      </c>
      <c r="BA24" s="1843" t="str">
        <f t="shared" si="22"/>
        <v/>
      </c>
      <c r="BB24" s="1843" t="str">
        <f t="shared" si="23"/>
        <v/>
      </c>
      <c r="BC24" s="1844" t="str">
        <f t="shared" si="24"/>
        <v/>
      </c>
      <c r="BD24" s="30"/>
      <c r="BE24" s="30"/>
      <c r="BF24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24))),"")</f>
        <v/>
      </c>
      <c r="BG24" s="576" t="str">
        <f t="shared" si="25"/>
        <v/>
      </c>
      <c r="BH24" s="577" t="str">
        <f t="shared" si="26"/>
        <v/>
      </c>
      <c r="BI24" s="578" t="str">
        <f t="shared" si="27"/>
        <v/>
      </c>
      <c r="CN24"/>
      <c r="CO24"/>
      <c r="CP24"/>
      <c r="CQ24"/>
      <c r="CR24"/>
      <c r="CS24"/>
      <c r="CT24"/>
      <c r="CU24"/>
    </row>
    <row r="25" spans="1:99" ht="45.75">
      <c r="A25" s="2257"/>
      <c r="C25" s="41">
        <f>+PP!B43</f>
        <v>20</v>
      </c>
      <c r="D25" s="259" t="str">
        <f>+PP!C43</f>
        <v>MANTO BLANCO C/M C/T 500-1000 g/pza</v>
      </c>
      <c r="E25" s="2967"/>
      <c r="F25" s="2968"/>
      <c r="G25" s="2968"/>
      <c r="H25" s="2968"/>
      <c r="I25" s="2968"/>
      <c r="J25" s="2968"/>
      <c r="K25" s="2968"/>
      <c r="L25" s="2968"/>
      <c r="M25" s="2968"/>
      <c r="N25" s="2968"/>
      <c r="O25" s="2968"/>
      <c r="P25" s="2968"/>
      <c r="Q25" s="2968"/>
      <c r="R25" s="2970"/>
      <c r="S25" s="2970"/>
      <c r="T25" s="2970"/>
      <c r="U25" s="2970"/>
      <c r="V25" s="2970"/>
      <c r="W25" s="2970"/>
      <c r="X25" s="2977"/>
      <c r="Y25" s="510">
        <f t="shared" si="30"/>
        <v>0</v>
      </c>
      <c r="Z25" s="148">
        <f t="shared" si="28"/>
        <v>0</v>
      </c>
      <c r="AA25" s="490">
        <f t="shared" si="29"/>
        <v>0</v>
      </c>
      <c r="AB25" s="574"/>
      <c r="AC25" s="574"/>
      <c r="AD25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</f>
        <v/>
      </c>
      <c r="AE25" s="1846" t="str">
        <f>IF($AD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)</f>
        <v/>
      </c>
      <c r="AF25" s="1843" t="str">
        <f t="shared" si="1"/>
        <v/>
      </c>
      <c r="AG25" s="1843" t="str">
        <f t="shared" si="2"/>
        <v/>
      </c>
      <c r="AH25" s="1843" t="str">
        <f t="shared" si="3"/>
        <v/>
      </c>
      <c r="AI25" s="1843" t="str">
        <f t="shared" si="4"/>
        <v/>
      </c>
      <c r="AJ25" s="1843" t="str">
        <f t="shared" si="5"/>
        <v/>
      </c>
      <c r="AK25" s="1843" t="str">
        <f t="shared" si="6"/>
        <v/>
      </c>
      <c r="AL25" s="1843" t="str">
        <f t="shared" si="7"/>
        <v/>
      </c>
      <c r="AM25" s="1843" t="str">
        <f t="shared" si="8"/>
        <v/>
      </c>
      <c r="AN25" s="1843" t="str">
        <f t="shared" si="9"/>
        <v/>
      </c>
      <c r="AO25" s="1843" t="str">
        <f t="shared" si="10"/>
        <v/>
      </c>
      <c r="AP25" s="1843" t="str">
        <f t="shared" si="11"/>
        <v/>
      </c>
      <c r="AQ25" s="1843" t="str">
        <f t="shared" si="12"/>
        <v/>
      </c>
      <c r="AR25" s="1843" t="str">
        <f t="shared" si="13"/>
        <v/>
      </c>
      <c r="AS25" s="1843" t="str">
        <f t="shared" si="14"/>
        <v/>
      </c>
      <c r="AT25" s="1843" t="str">
        <f t="shared" si="15"/>
        <v/>
      </c>
      <c r="AU25" s="1843" t="str">
        <f t="shared" si="16"/>
        <v/>
      </c>
      <c r="AV25" s="1843" t="str">
        <f t="shared" si="17"/>
        <v/>
      </c>
      <c r="AW25" s="1843" t="str">
        <f t="shared" si="18"/>
        <v/>
      </c>
      <c r="AX25" s="1843" t="str">
        <f t="shared" si="19"/>
        <v/>
      </c>
      <c r="AY25" s="1843" t="str">
        <f t="shared" si="20"/>
        <v/>
      </c>
      <c r="AZ25" s="1843" t="str">
        <f t="shared" si="21"/>
        <v/>
      </c>
      <c r="BA25" s="1843" t="str">
        <f t="shared" si="22"/>
        <v/>
      </c>
      <c r="BB25" s="1843" t="str">
        <f t="shared" si="23"/>
        <v/>
      </c>
      <c r="BC25" s="1844" t="str">
        <f t="shared" si="24"/>
        <v/>
      </c>
      <c r="BD25" s="30"/>
      <c r="BE25" s="30"/>
      <c r="BF25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25))),"")</f>
        <v/>
      </c>
      <c r="BG25" s="576" t="str">
        <f t="shared" si="25"/>
        <v/>
      </c>
      <c r="BH25" s="577" t="str">
        <f t="shared" si="26"/>
        <v/>
      </c>
      <c r="BI25" s="578" t="str">
        <f t="shared" si="27"/>
        <v/>
      </c>
      <c r="CN25"/>
      <c r="CO25"/>
      <c r="CP25"/>
      <c r="CQ25"/>
      <c r="CR25"/>
      <c r="CS25"/>
      <c r="CT25"/>
      <c r="CU25"/>
    </row>
    <row r="26" spans="1:99" ht="45.75">
      <c r="A26" s="2257"/>
      <c r="C26" s="42">
        <f>+PP!B44</f>
        <v>21</v>
      </c>
      <c r="D26" s="229" t="str">
        <f>+PP!C44</f>
        <v>MANTO BLANCO C/M C/T 1.0-2.0 kg/pza</v>
      </c>
      <c r="E26" s="2013"/>
      <c r="F26" s="1802"/>
      <c r="G26" s="1802"/>
      <c r="H26" s="1802"/>
      <c r="I26" s="1802"/>
      <c r="J26" s="1802"/>
      <c r="K26" s="1802"/>
      <c r="L26" s="1802"/>
      <c r="M26" s="1802"/>
      <c r="N26" s="1802"/>
      <c r="O26" s="1802"/>
      <c r="P26" s="1802"/>
      <c r="Q26" s="1802"/>
      <c r="R26" s="1847"/>
      <c r="S26" s="1847"/>
      <c r="T26" s="1847"/>
      <c r="U26" s="1847"/>
      <c r="V26" s="1847"/>
      <c r="W26" s="1847"/>
      <c r="X26" s="1848"/>
      <c r="Y26" s="525">
        <f t="shared" si="30"/>
        <v>0</v>
      </c>
      <c r="Z26" s="149">
        <f t="shared" si="28"/>
        <v>0</v>
      </c>
      <c r="AA26" s="552">
        <f t="shared" si="29"/>
        <v>0</v>
      </c>
      <c r="AB26" s="574"/>
      <c r="AC26" s="574"/>
      <c r="AD26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</f>
        <v/>
      </c>
      <c r="AE26" s="1846" t="str">
        <f>IF($AD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)</f>
        <v/>
      </c>
      <c r="AF26" s="1843" t="str">
        <f t="shared" si="1"/>
        <v/>
      </c>
      <c r="AG26" s="1843" t="str">
        <f t="shared" si="2"/>
        <v/>
      </c>
      <c r="AH26" s="1843" t="str">
        <f t="shared" si="3"/>
        <v/>
      </c>
      <c r="AI26" s="1843" t="str">
        <f t="shared" si="4"/>
        <v/>
      </c>
      <c r="AJ26" s="1843" t="str">
        <f t="shared" si="5"/>
        <v/>
      </c>
      <c r="AK26" s="1843" t="str">
        <f t="shared" si="6"/>
        <v/>
      </c>
      <c r="AL26" s="1843" t="str">
        <f t="shared" si="7"/>
        <v/>
      </c>
      <c r="AM26" s="1843" t="str">
        <f t="shared" si="8"/>
        <v/>
      </c>
      <c r="AN26" s="1843" t="str">
        <f t="shared" si="9"/>
        <v/>
      </c>
      <c r="AO26" s="1843" t="str">
        <f t="shared" si="10"/>
        <v/>
      </c>
      <c r="AP26" s="1843" t="str">
        <f t="shared" si="11"/>
        <v/>
      </c>
      <c r="AQ26" s="1843" t="str">
        <f t="shared" si="12"/>
        <v/>
      </c>
      <c r="AR26" s="1843" t="str">
        <f t="shared" si="13"/>
        <v/>
      </c>
      <c r="AS26" s="1843" t="str">
        <f t="shared" si="14"/>
        <v/>
      </c>
      <c r="AT26" s="1843" t="str">
        <f t="shared" si="15"/>
        <v/>
      </c>
      <c r="AU26" s="1843" t="str">
        <f t="shared" si="16"/>
        <v/>
      </c>
      <c r="AV26" s="1843" t="str">
        <f t="shared" si="17"/>
        <v/>
      </c>
      <c r="AW26" s="1843" t="str">
        <f t="shared" si="18"/>
        <v/>
      </c>
      <c r="AX26" s="1843" t="str">
        <f t="shared" si="19"/>
        <v/>
      </c>
      <c r="AY26" s="1843" t="str">
        <f t="shared" si="20"/>
        <v/>
      </c>
      <c r="AZ26" s="1843" t="str">
        <f t="shared" si="21"/>
        <v/>
      </c>
      <c r="BA26" s="1843" t="str">
        <f t="shared" si="22"/>
        <v/>
      </c>
      <c r="BB26" s="1843" t="str">
        <f t="shared" si="23"/>
        <v/>
      </c>
      <c r="BC26" s="1844" t="str">
        <f t="shared" si="24"/>
        <v/>
      </c>
      <c r="BD26" s="30"/>
      <c r="BE26" s="30"/>
      <c r="BF2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26))),"")</f>
        <v/>
      </c>
      <c r="BG26" s="576" t="str">
        <f t="shared" si="25"/>
        <v/>
      </c>
      <c r="BH26" s="577" t="str">
        <f t="shared" si="26"/>
        <v/>
      </c>
      <c r="BI26" s="578" t="str">
        <f t="shared" si="27"/>
        <v/>
      </c>
      <c r="CN26"/>
      <c r="CO26"/>
      <c r="CP26"/>
      <c r="CQ26"/>
      <c r="CR26"/>
      <c r="CS26"/>
      <c r="CT26"/>
      <c r="CU26"/>
    </row>
    <row r="27" spans="1:99" ht="45.75">
      <c r="A27" s="2257"/>
      <c r="C27" s="42">
        <f>+PP!B45</f>
        <v>22</v>
      </c>
      <c r="D27" s="229" t="str">
        <f>+PP!C45</f>
        <v>MANTO BLANCO C/M C/T 2.0-4.0 kg/pza</v>
      </c>
      <c r="E27" s="2013"/>
      <c r="F27" s="1802"/>
      <c r="G27" s="1802"/>
      <c r="H27" s="1802"/>
      <c r="I27" s="1802"/>
      <c r="J27" s="1802"/>
      <c r="K27" s="1802"/>
      <c r="L27" s="1802"/>
      <c r="M27" s="1802"/>
      <c r="N27" s="1802"/>
      <c r="O27" s="1802"/>
      <c r="P27" s="1802"/>
      <c r="Q27" s="1802"/>
      <c r="R27" s="1847"/>
      <c r="S27" s="1847"/>
      <c r="T27" s="1847"/>
      <c r="U27" s="1847"/>
      <c r="V27" s="1847"/>
      <c r="W27" s="1847"/>
      <c r="X27" s="1848"/>
      <c r="Y27" s="525">
        <f t="shared" si="30"/>
        <v>0</v>
      </c>
      <c r="Z27" s="149">
        <f t="shared" si="28"/>
        <v>0</v>
      </c>
      <c r="AA27" s="552">
        <f t="shared" si="29"/>
        <v>0</v>
      </c>
      <c r="AB27" s="574"/>
      <c r="AC27" s="574"/>
      <c r="AD27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</f>
        <v/>
      </c>
      <c r="AE27" s="1846" t="str">
        <f>IF($AD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)</f>
        <v/>
      </c>
      <c r="AF27" s="1843" t="str">
        <f t="shared" si="1"/>
        <v/>
      </c>
      <c r="AG27" s="1843" t="str">
        <f t="shared" si="2"/>
        <v/>
      </c>
      <c r="AH27" s="1843" t="str">
        <f t="shared" si="3"/>
        <v/>
      </c>
      <c r="AI27" s="1843" t="str">
        <f t="shared" si="4"/>
        <v/>
      </c>
      <c r="AJ27" s="1843" t="str">
        <f t="shared" si="5"/>
        <v/>
      </c>
      <c r="AK27" s="1843" t="str">
        <f t="shared" si="6"/>
        <v/>
      </c>
      <c r="AL27" s="1843" t="str">
        <f t="shared" si="7"/>
        <v/>
      </c>
      <c r="AM27" s="1843" t="str">
        <f t="shared" si="8"/>
        <v/>
      </c>
      <c r="AN27" s="1843" t="str">
        <f t="shared" si="9"/>
        <v/>
      </c>
      <c r="AO27" s="1843" t="str">
        <f t="shared" si="10"/>
        <v/>
      </c>
      <c r="AP27" s="1843" t="str">
        <f t="shared" si="11"/>
        <v/>
      </c>
      <c r="AQ27" s="1843" t="str">
        <f t="shared" si="12"/>
        <v/>
      </c>
      <c r="AR27" s="1843" t="str">
        <f t="shared" si="13"/>
        <v/>
      </c>
      <c r="AS27" s="1843" t="str">
        <f t="shared" si="14"/>
        <v/>
      </c>
      <c r="AT27" s="1843" t="str">
        <f t="shared" si="15"/>
        <v/>
      </c>
      <c r="AU27" s="1843" t="str">
        <f t="shared" si="16"/>
        <v/>
      </c>
      <c r="AV27" s="1843" t="str">
        <f t="shared" si="17"/>
        <v/>
      </c>
      <c r="AW27" s="1843" t="str">
        <f t="shared" si="18"/>
        <v/>
      </c>
      <c r="AX27" s="1843" t="str">
        <f t="shared" si="19"/>
        <v/>
      </c>
      <c r="AY27" s="1843" t="str">
        <f t="shared" si="20"/>
        <v/>
      </c>
      <c r="AZ27" s="1843" t="str">
        <f t="shared" si="21"/>
        <v/>
      </c>
      <c r="BA27" s="1843" t="str">
        <f t="shared" si="22"/>
        <v/>
      </c>
      <c r="BB27" s="1843" t="str">
        <f t="shared" si="23"/>
        <v/>
      </c>
      <c r="BC27" s="1844" t="str">
        <f t="shared" si="24"/>
        <v/>
      </c>
      <c r="BD27" s="30"/>
      <c r="BE27" s="30"/>
      <c r="BF2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27))),"")</f>
        <v/>
      </c>
      <c r="BG27" s="576" t="str">
        <f t="shared" si="25"/>
        <v/>
      </c>
      <c r="BH27" s="577" t="str">
        <f t="shared" si="26"/>
        <v/>
      </c>
      <c r="BI27" s="578" t="str">
        <f t="shared" si="27"/>
        <v/>
      </c>
      <c r="CN27"/>
      <c r="CO27"/>
      <c r="CP27"/>
      <c r="CQ27"/>
      <c r="CR27"/>
      <c r="CS27"/>
      <c r="CT27"/>
      <c r="CU27"/>
    </row>
    <row r="28" spans="1:99" ht="46.5" thickBot="1">
      <c r="A28" s="2257"/>
      <c r="C28" s="42">
        <f>+PP!B46</f>
        <v>23</v>
      </c>
      <c r="D28" s="229" t="str">
        <f>+PP!C46</f>
        <v>MANTO LP C/M C/T 500-1000 g/pza</v>
      </c>
      <c r="E28" s="2013"/>
      <c r="F28" s="1802"/>
      <c r="G28" s="1802"/>
      <c r="H28" s="1802"/>
      <c r="I28" s="1802"/>
      <c r="J28" s="1802"/>
      <c r="K28" s="1802"/>
      <c r="L28" s="1802"/>
      <c r="M28" s="1802"/>
      <c r="N28" s="1802"/>
      <c r="O28" s="1802"/>
      <c r="P28" s="1802"/>
      <c r="Q28" s="1802"/>
      <c r="R28" s="1802"/>
      <c r="S28" s="1847"/>
      <c r="T28" s="1847"/>
      <c r="U28" s="1847"/>
      <c r="V28" s="1847"/>
      <c r="W28" s="1847"/>
      <c r="X28" s="1848"/>
      <c r="Y28" s="525">
        <f t="shared" si="30"/>
        <v>0</v>
      </c>
      <c r="Z28" s="149">
        <f t="shared" si="28"/>
        <v>0</v>
      </c>
      <c r="AA28" s="552">
        <f t="shared" si="29"/>
        <v>0</v>
      </c>
      <c r="AB28" s="574"/>
      <c r="AC28" s="574"/>
      <c r="AD28" s="585" t="s">
        <v>3</v>
      </c>
      <c r="AE28" s="586"/>
      <c r="AF28" s="586" t="str">
        <f t="shared" si="1"/>
        <v/>
      </c>
      <c r="AG28" s="586" t="str">
        <f t="shared" si="2"/>
        <v/>
      </c>
      <c r="AH28" s="586" t="str">
        <f t="shared" si="3"/>
        <v/>
      </c>
      <c r="AI28" s="586" t="str">
        <f t="shared" si="4"/>
        <v/>
      </c>
      <c r="AJ28" s="586" t="str">
        <f t="shared" si="5"/>
        <v/>
      </c>
      <c r="AK28" s="586" t="str">
        <f t="shared" si="6"/>
        <v/>
      </c>
      <c r="AL28" s="586" t="str">
        <f t="shared" si="7"/>
        <v/>
      </c>
      <c r="AM28" s="586" t="str">
        <f t="shared" si="8"/>
        <v/>
      </c>
      <c r="AN28" s="586" t="str">
        <f t="shared" si="9"/>
        <v/>
      </c>
      <c r="AO28" s="586" t="str">
        <f t="shared" si="10"/>
        <v/>
      </c>
      <c r="AP28" s="586" t="str">
        <f t="shared" si="11"/>
        <v/>
      </c>
      <c r="AQ28" s="586" t="str">
        <f t="shared" si="12"/>
        <v/>
      </c>
      <c r="AR28" s="586" t="str">
        <f t="shared" si="13"/>
        <v/>
      </c>
      <c r="AS28" s="586" t="str">
        <f t="shared" si="14"/>
        <v/>
      </c>
      <c r="AT28" s="586" t="str">
        <f t="shared" si="15"/>
        <v/>
      </c>
      <c r="AU28" s="586" t="str">
        <f t="shared" si="16"/>
        <v/>
      </c>
      <c r="AV28" s="586" t="str">
        <f t="shared" si="17"/>
        <v/>
      </c>
      <c r="AW28" s="586" t="str">
        <f t="shared" si="18"/>
        <v/>
      </c>
      <c r="AX28" s="586" t="str">
        <f t="shared" si="19"/>
        <v/>
      </c>
      <c r="AY28" s="586">
        <f t="shared" ref="AY28:BA28" si="31">SUM(AY6:AY27)</f>
        <v>0</v>
      </c>
      <c r="AZ28" s="586">
        <f t="shared" si="31"/>
        <v>0</v>
      </c>
      <c r="BA28" s="586">
        <f t="shared" si="31"/>
        <v>0</v>
      </c>
      <c r="BB28" s="1206" t="str">
        <f>IF(COUNTIF(BB6:BB27,"REVISIÓN*")&gt;0,"REVISAR","OK")</f>
        <v>OK</v>
      </c>
      <c r="BC28" s="587" t="str">
        <f>IF(COUNTIF(BC6:BC27,"SÍ")&gt;0,"HAY","NO")</f>
        <v>NO</v>
      </c>
      <c r="BD28" s="30"/>
      <c r="BE28" s="30"/>
      <c r="BF28" s="2584" t="s">
        <v>514</v>
      </c>
      <c r="BG28" s="2585"/>
      <c r="BH28" s="588">
        <f>COUNT($BF$6:$BF$27)</f>
        <v>0</v>
      </c>
      <c r="BI28" s="589"/>
      <c r="CN28"/>
      <c r="CO28"/>
      <c r="CP28"/>
      <c r="CQ28"/>
      <c r="CR28"/>
      <c r="CS28"/>
      <c r="CT28"/>
      <c r="CU28"/>
    </row>
    <row r="29" spans="1:99" ht="45.75">
      <c r="A29" s="2257"/>
      <c r="C29" s="42">
        <f>+PP!B47</f>
        <v>24</v>
      </c>
      <c r="D29" s="229" t="str">
        <f>+PP!C47</f>
        <v>MANTO LP C/M C/T 1.0-2.0 Kg/pza</v>
      </c>
      <c r="E29" s="2013"/>
      <c r="F29" s="1802"/>
      <c r="G29" s="1802"/>
      <c r="H29" s="1802"/>
      <c r="I29" s="1802"/>
      <c r="J29" s="1802"/>
      <c r="K29" s="1802"/>
      <c r="L29" s="1802"/>
      <c r="M29" s="1802"/>
      <c r="N29" s="1802"/>
      <c r="O29" s="1802"/>
      <c r="P29" s="1802"/>
      <c r="Q29" s="1802"/>
      <c r="R29" s="1802"/>
      <c r="S29" s="1847"/>
      <c r="T29" s="1847"/>
      <c r="U29" s="1847"/>
      <c r="V29" s="1847"/>
      <c r="W29" s="1847"/>
      <c r="X29" s="1848"/>
      <c r="Y29" s="525">
        <f t="shared" si="30"/>
        <v>0</v>
      </c>
      <c r="Z29" s="169">
        <f t="shared" si="28"/>
        <v>0</v>
      </c>
      <c r="AA29" s="562">
        <f t="shared" si="29"/>
        <v>0</v>
      </c>
      <c r="AB29" s="590"/>
      <c r="AC29" s="590"/>
      <c r="AD29"/>
      <c r="AE29"/>
      <c r="AF29" t="str">
        <f t="shared" si="1"/>
        <v/>
      </c>
      <c r="AG29" t="str">
        <f t="shared" si="2"/>
        <v/>
      </c>
      <c r="AH29" t="str">
        <f t="shared" si="3"/>
        <v/>
      </c>
      <c r="AI29" t="str">
        <f t="shared" si="4"/>
        <v/>
      </c>
      <c r="AJ29" t="str">
        <f t="shared" si="5"/>
        <v/>
      </c>
      <c r="AK29" t="str">
        <f t="shared" si="6"/>
        <v/>
      </c>
      <c r="AL29" t="str">
        <f t="shared" si="7"/>
        <v/>
      </c>
      <c r="AM29" t="str">
        <f t="shared" si="8"/>
        <v/>
      </c>
      <c r="AN29" t="str">
        <f t="shared" si="9"/>
        <v/>
      </c>
      <c r="AO29" t="str">
        <f t="shared" si="10"/>
        <v/>
      </c>
      <c r="AP29" t="str">
        <f t="shared" si="11"/>
        <v/>
      </c>
      <c r="AQ29" t="str">
        <f t="shared" si="12"/>
        <v/>
      </c>
      <c r="AR29" t="str">
        <f t="shared" si="13"/>
        <v/>
      </c>
      <c r="AS29" t="str">
        <f t="shared" si="14"/>
        <v/>
      </c>
      <c r="AT29" t="str">
        <f t="shared" si="15"/>
        <v/>
      </c>
      <c r="AU29" t="str">
        <f t="shared" si="16"/>
        <v/>
      </c>
      <c r="AV29" t="str">
        <f t="shared" si="17"/>
        <v/>
      </c>
      <c r="AW29" t="str">
        <f t="shared" si="18"/>
        <v/>
      </c>
      <c r="AX29" t="str">
        <f t="shared" si="19"/>
        <v/>
      </c>
      <c r="AY29"/>
      <c r="AZ29"/>
      <c r="BA29"/>
      <c r="BB29"/>
      <c r="BC29"/>
      <c r="CN29"/>
      <c r="CO29"/>
      <c r="CP29"/>
      <c r="CQ29"/>
      <c r="CR29"/>
      <c r="CS29"/>
      <c r="CT29"/>
      <c r="CU29"/>
    </row>
    <row r="30" spans="1:99" ht="46.5" thickBot="1">
      <c r="A30" s="2257"/>
      <c r="C30" s="537">
        <f>+PP!B48</f>
        <v>25</v>
      </c>
      <c r="D30" s="230" t="str">
        <f>+PP!C48</f>
        <v>MANTO LP C/M C/T 2.0-4.0 Kg/pza</v>
      </c>
      <c r="E30" s="2014"/>
      <c r="F30" s="1829"/>
      <c r="G30" s="1829"/>
      <c r="H30" s="1829"/>
      <c r="I30" s="1829"/>
      <c r="J30" s="1829"/>
      <c r="K30" s="1829"/>
      <c r="L30" s="1829"/>
      <c r="M30" s="1829"/>
      <c r="N30" s="1829"/>
      <c r="O30" s="1829"/>
      <c r="P30" s="1829"/>
      <c r="Q30" s="1829"/>
      <c r="R30" s="1829"/>
      <c r="S30" s="1850"/>
      <c r="T30" s="1850"/>
      <c r="U30" s="1850"/>
      <c r="V30" s="1850"/>
      <c r="W30" s="1850"/>
      <c r="X30" s="1851"/>
      <c r="Y30" s="1032">
        <f t="shared" si="30"/>
        <v>0</v>
      </c>
      <c r="Z30" s="155">
        <f t="shared" si="28"/>
        <v>0</v>
      </c>
      <c r="AA30" s="556">
        <f t="shared" si="29"/>
        <v>0</v>
      </c>
      <c r="AB30" s="574"/>
      <c r="AC30" s="574"/>
      <c r="AD30"/>
      <c r="AE30"/>
      <c r="AF30" t="str">
        <f t="shared" si="1"/>
        <v/>
      </c>
      <c r="AG30" t="str">
        <f t="shared" si="2"/>
        <v/>
      </c>
      <c r="AH30" t="str">
        <f t="shared" si="3"/>
        <v/>
      </c>
      <c r="AI30" t="str">
        <f t="shared" si="4"/>
        <v/>
      </c>
      <c r="AJ30" t="str">
        <f t="shared" si="5"/>
        <v/>
      </c>
      <c r="AK30" t="str">
        <f t="shared" si="6"/>
        <v/>
      </c>
      <c r="AL30" t="str">
        <f t="shared" si="7"/>
        <v/>
      </c>
      <c r="AM30" t="str">
        <f t="shared" si="8"/>
        <v/>
      </c>
      <c r="AN30" t="str">
        <f t="shared" si="9"/>
        <v/>
      </c>
      <c r="AO30" t="str">
        <f t="shared" si="10"/>
        <v/>
      </c>
      <c r="AP30" t="str">
        <f t="shared" si="11"/>
        <v/>
      </c>
      <c r="AQ30" t="str">
        <f t="shared" si="12"/>
        <v/>
      </c>
      <c r="AR30" t="str">
        <f t="shared" si="13"/>
        <v/>
      </c>
      <c r="AS30" t="str">
        <f t="shared" si="14"/>
        <v/>
      </c>
      <c r="AT30" t="str">
        <f t="shared" si="15"/>
        <v/>
      </c>
      <c r="AU30" t="str">
        <f t="shared" si="16"/>
        <v/>
      </c>
      <c r="AV30" t="str">
        <f t="shared" si="17"/>
        <v/>
      </c>
      <c r="AW30" t="str">
        <f t="shared" si="18"/>
        <v/>
      </c>
      <c r="AX30" t="str">
        <f t="shared" si="19"/>
        <v/>
      </c>
      <c r="AY30"/>
      <c r="AZ30"/>
      <c r="BA30"/>
      <c r="BB30"/>
      <c r="BC30"/>
      <c r="CN30"/>
      <c r="CO30"/>
      <c r="CP30"/>
      <c r="CQ30"/>
      <c r="CR30"/>
      <c r="CS30"/>
      <c r="CT30"/>
      <c r="CU30"/>
    </row>
    <row r="31" spans="1:99" ht="45.75">
      <c r="A31" s="2257"/>
      <c r="C31" s="41">
        <f>+PP!B49</f>
        <v>26</v>
      </c>
      <c r="D31" s="162" t="str">
        <f>+PP!C49</f>
        <v>NUCA C/C CERRADO 0-100 g/pza</v>
      </c>
      <c r="E31" s="2967"/>
      <c r="F31" s="2968"/>
      <c r="G31" s="2968"/>
      <c r="H31" s="2968"/>
      <c r="I31" s="2968"/>
      <c r="J31" s="2968"/>
      <c r="K31" s="2968"/>
      <c r="L31" s="2968"/>
      <c r="M31" s="2968"/>
      <c r="N31" s="2968"/>
      <c r="O31" s="2968"/>
      <c r="P31" s="2968"/>
      <c r="Q31" s="2968"/>
      <c r="R31" s="2968"/>
      <c r="S31" s="2970"/>
      <c r="T31" s="2970"/>
      <c r="U31" s="2970"/>
      <c r="V31" s="2970"/>
      <c r="W31" s="2970"/>
      <c r="X31" s="2977"/>
      <c r="Y31" s="510">
        <f t="shared" si="30"/>
        <v>0</v>
      </c>
      <c r="Z31" s="148">
        <f t="shared" si="28"/>
        <v>0</v>
      </c>
      <c r="AA31" s="145">
        <f t="shared" si="29"/>
        <v>0</v>
      </c>
      <c r="AB31" s="574"/>
      <c r="AC31" s="574"/>
      <c r="AD31"/>
      <c r="AE31"/>
      <c r="AF31" t="str">
        <f t="shared" si="1"/>
        <v/>
      </c>
      <c r="AG31" t="str">
        <f t="shared" si="2"/>
        <v/>
      </c>
      <c r="AH31" t="str">
        <f t="shared" si="3"/>
        <v/>
      </c>
      <c r="AI31" t="str">
        <f t="shared" si="4"/>
        <v/>
      </c>
      <c r="AJ31" t="str">
        <f t="shared" si="5"/>
        <v/>
      </c>
      <c r="AK31" t="str">
        <f t="shared" si="6"/>
        <v/>
      </c>
      <c r="AL31" t="str">
        <f t="shared" si="7"/>
        <v/>
      </c>
      <c r="AM31" t="str">
        <f t="shared" si="8"/>
        <v/>
      </c>
      <c r="AN31" t="str">
        <f t="shared" si="9"/>
        <v/>
      </c>
      <c r="AO31" t="str">
        <f t="shared" si="10"/>
        <v/>
      </c>
      <c r="AP31" t="str">
        <f t="shared" si="11"/>
        <v/>
      </c>
      <c r="AQ31" t="str">
        <f t="shared" si="12"/>
        <v/>
      </c>
      <c r="AR31" t="str">
        <f t="shared" si="13"/>
        <v/>
      </c>
      <c r="AS31" t="str">
        <f t="shared" si="14"/>
        <v/>
      </c>
      <c r="AT31" t="str">
        <f t="shared" si="15"/>
        <v/>
      </c>
      <c r="AU31" t="str">
        <f t="shared" si="16"/>
        <v/>
      </c>
      <c r="AV31" t="str">
        <f t="shared" si="17"/>
        <v/>
      </c>
      <c r="AW31" t="str">
        <f t="shared" si="18"/>
        <v/>
      </c>
      <c r="AX31" t="str">
        <f t="shared" si="19"/>
        <v/>
      </c>
      <c r="AY31"/>
      <c r="AZ31"/>
      <c r="BA31"/>
      <c r="BB31"/>
      <c r="BC31"/>
      <c r="CN31"/>
      <c r="CO31"/>
      <c r="CP31"/>
      <c r="CQ31"/>
      <c r="CR31"/>
      <c r="CS31"/>
      <c r="CT31"/>
      <c r="CU31"/>
    </row>
    <row r="32" spans="1:99" ht="45.75">
      <c r="A32" s="2257"/>
      <c r="C32" s="42">
        <f>+PP!B50</f>
        <v>27</v>
      </c>
      <c r="D32" s="164" t="str">
        <f>+PP!C50</f>
        <v>NUCA C/C ABIERTO 100-300 g/pza</v>
      </c>
      <c r="E32" s="2013"/>
      <c r="F32" s="1802"/>
      <c r="G32" s="1802"/>
      <c r="H32" s="1802"/>
      <c r="I32" s="1802"/>
      <c r="J32" s="1802"/>
      <c r="K32" s="1802"/>
      <c r="L32" s="1802"/>
      <c r="M32" s="1802"/>
      <c r="N32" s="1802"/>
      <c r="O32" s="1802"/>
      <c r="P32" s="1802"/>
      <c r="Q32" s="1802"/>
      <c r="R32" s="1802"/>
      <c r="S32" s="1847"/>
      <c r="T32" s="1847"/>
      <c r="U32" s="1847"/>
      <c r="V32" s="1847"/>
      <c r="W32" s="1847"/>
      <c r="X32" s="1848"/>
      <c r="Y32" s="525">
        <f t="shared" si="30"/>
        <v>0</v>
      </c>
      <c r="Z32" s="149">
        <f t="shared" si="28"/>
        <v>0</v>
      </c>
      <c r="AA32" s="146">
        <f t="shared" si="29"/>
        <v>0</v>
      </c>
      <c r="AB32" s="1728"/>
      <c r="AC32" s="574"/>
      <c r="AD32"/>
      <c r="AE32"/>
      <c r="AF32" t="str">
        <f t="shared" si="1"/>
        <v/>
      </c>
      <c r="AG32" t="str">
        <f t="shared" si="2"/>
        <v/>
      </c>
      <c r="AH32" t="str">
        <f t="shared" si="3"/>
        <v/>
      </c>
      <c r="AI32" t="str">
        <f t="shared" si="4"/>
        <v/>
      </c>
      <c r="AJ32" t="str">
        <f t="shared" si="5"/>
        <v/>
      </c>
      <c r="AK32" t="str">
        <f t="shared" si="6"/>
        <v/>
      </c>
      <c r="AL32" t="str">
        <f t="shared" si="7"/>
        <v/>
      </c>
      <c r="AM32" t="str">
        <f t="shared" si="8"/>
        <v/>
      </c>
      <c r="AN32" t="str">
        <f t="shared" si="9"/>
        <v/>
      </c>
      <c r="AO32" t="str">
        <f t="shared" si="10"/>
        <v/>
      </c>
      <c r="AP32" t="str">
        <f t="shared" si="11"/>
        <v/>
      </c>
      <c r="AQ32" t="str">
        <f t="shared" si="12"/>
        <v/>
      </c>
      <c r="AR32" t="str">
        <f t="shared" si="13"/>
        <v/>
      </c>
      <c r="AS32" t="str">
        <f t="shared" si="14"/>
        <v/>
      </c>
      <c r="AT32" t="str">
        <f t="shared" si="15"/>
        <v/>
      </c>
      <c r="AU32" t="str">
        <f t="shared" si="16"/>
        <v/>
      </c>
      <c r="AV32" t="str">
        <f t="shared" si="17"/>
        <v/>
      </c>
      <c r="AW32" t="str">
        <f t="shared" si="18"/>
        <v/>
      </c>
      <c r="AX32" t="str">
        <f t="shared" si="19"/>
        <v/>
      </c>
      <c r="AY32"/>
      <c r="AZ32"/>
      <c r="BA32"/>
      <c r="BB32"/>
      <c r="BC32"/>
      <c r="CN32"/>
      <c r="CO32"/>
      <c r="CP32"/>
      <c r="CQ32"/>
      <c r="CR32"/>
      <c r="CS32"/>
      <c r="CT32"/>
      <c r="CU32"/>
    </row>
    <row r="33" spans="1:99" ht="45.75">
      <c r="A33" s="2257"/>
      <c r="C33" s="42">
        <f>+PP!B51</f>
        <v>28</v>
      </c>
      <c r="D33" s="164" t="str">
        <f>+PP!C51</f>
        <v>NUCA C/C ABIERTO 300-500 g/pza</v>
      </c>
      <c r="E33" s="2013"/>
      <c r="F33" s="1802"/>
      <c r="G33" s="1802"/>
      <c r="H33" s="1802"/>
      <c r="I33" s="1802"/>
      <c r="J33" s="1802"/>
      <c r="K33" s="1802"/>
      <c r="L33" s="1802"/>
      <c r="M33" s="1802"/>
      <c r="N33" s="1802"/>
      <c r="O33" s="1802"/>
      <c r="P33" s="1802"/>
      <c r="Q33" s="1802"/>
      <c r="R33" s="1802"/>
      <c r="S33" s="1847"/>
      <c r="T33" s="1847"/>
      <c r="U33" s="1847"/>
      <c r="V33" s="1847"/>
      <c r="W33" s="1847"/>
      <c r="X33" s="1848"/>
      <c r="Y33" s="525">
        <f t="shared" si="30"/>
        <v>0</v>
      </c>
      <c r="Z33" s="149">
        <f t="shared" si="28"/>
        <v>0</v>
      </c>
      <c r="AA33" s="146">
        <f t="shared" si="29"/>
        <v>0</v>
      </c>
      <c r="AB33" s="1728"/>
      <c r="AC33" s="574"/>
      <c r="AD33"/>
      <c r="AE33"/>
      <c r="AF33" t="str">
        <f t="shared" si="1"/>
        <v/>
      </c>
      <c r="AG33" t="str">
        <f t="shared" si="2"/>
        <v/>
      </c>
      <c r="AH33" t="str">
        <f t="shared" si="3"/>
        <v/>
      </c>
      <c r="AI33" t="str">
        <f t="shared" si="4"/>
        <v/>
      </c>
      <c r="AJ33" t="str">
        <f t="shared" si="5"/>
        <v/>
      </c>
      <c r="AK33" t="str">
        <f t="shared" si="6"/>
        <v/>
      </c>
      <c r="AL33" t="str">
        <f t="shared" si="7"/>
        <v/>
      </c>
      <c r="AM33" t="str">
        <f t="shared" si="8"/>
        <v/>
      </c>
      <c r="AN33" t="str">
        <f t="shared" si="9"/>
        <v/>
      </c>
      <c r="AO33" t="str">
        <f t="shared" si="10"/>
        <v/>
      </c>
      <c r="AP33" t="str">
        <f t="shared" si="11"/>
        <v/>
      </c>
      <c r="AQ33" t="str">
        <f t="shared" si="12"/>
        <v/>
      </c>
      <c r="AR33" t="str">
        <f t="shared" si="13"/>
        <v/>
      </c>
      <c r="AS33" t="str">
        <f t="shared" si="14"/>
        <v/>
      </c>
      <c r="AT33" t="str">
        <f t="shared" si="15"/>
        <v/>
      </c>
      <c r="AU33" t="str">
        <f t="shared" si="16"/>
        <v/>
      </c>
      <c r="AV33" t="str">
        <f t="shared" si="17"/>
        <v/>
      </c>
      <c r="AW33" t="str">
        <f t="shared" si="18"/>
        <v/>
      </c>
      <c r="AX33" t="str">
        <f t="shared" si="19"/>
        <v/>
      </c>
      <c r="AY33"/>
      <c r="AZ33"/>
      <c r="BA33"/>
      <c r="BB33"/>
      <c r="BC33"/>
      <c r="CN33"/>
      <c r="CO33"/>
      <c r="CP33"/>
      <c r="CQ33"/>
      <c r="CR33"/>
      <c r="CS33"/>
      <c r="CT33"/>
      <c r="CU33"/>
    </row>
    <row r="34" spans="1:99" ht="45.75">
      <c r="A34" s="2257"/>
      <c r="C34" s="42">
        <f>+PP!B52</f>
        <v>29</v>
      </c>
      <c r="D34" s="164" t="str">
        <f>+PP!C52</f>
        <v>NUCA C/C ABIERTO 500-1000 g/pza</v>
      </c>
      <c r="E34" s="2013"/>
      <c r="F34" s="1802"/>
      <c r="G34" s="1802"/>
      <c r="H34" s="1802"/>
      <c r="I34" s="1802"/>
      <c r="J34" s="1802"/>
      <c r="K34" s="1802"/>
      <c r="L34" s="1802"/>
      <c r="M34" s="1802"/>
      <c r="N34" s="1802"/>
      <c r="O34" s="1802"/>
      <c r="P34" s="1802"/>
      <c r="Q34" s="1802"/>
      <c r="R34" s="1802"/>
      <c r="S34" s="1847"/>
      <c r="T34" s="1847"/>
      <c r="U34" s="1847"/>
      <c r="V34" s="1849"/>
      <c r="W34" s="1847"/>
      <c r="X34" s="1848"/>
      <c r="Y34" s="525">
        <f t="shared" si="30"/>
        <v>0</v>
      </c>
      <c r="Z34" s="149">
        <f t="shared" si="28"/>
        <v>0</v>
      </c>
      <c r="AA34" s="146">
        <f t="shared" si="29"/>
        <v>0</v>
      </c>
      <c r="AB34" s="1728"/>
      <c r="AC34" s="574"/>
      <c r="AD34"/>
      <c r="AE34"/>
      <c r="AF34" t="str">
        <f t="shared" si="1"/>
        <v/>
      </c>
      <c r="AG34" t="str">
        <f t="shared" si="2"/>
        <v/>
      </c>
      <c r="AH34" t="str">
        <f t="shared" si="3"/>
        <v/>
      </c>
      <c r="AI34" t="str">
        <f t="shared" si="4"/>
        <v/>
      </c>
      <c r="AJ34" t="str">
        <f t="shared" si="5"/>
        <v/>
      </c>
      <c r="AK34" t="str">
        <f t="shared" si="6"/>
        <v/>
      </c>
      <c r="AL34" t="str">
        <f t="shared" si="7"/>
        <v/>
      </c>
      <c r="AM34" t="str">
        <f t="shared" si="8"/>
        <v/>
      </c>
      <c r="AN34" t="str">
        <f t="shared" si="9"/>
        <v/>
      </c>
      <c r="AO34" t="str">
        <f t="shared" si="10"/>
        <v/>
      </c>
      <c r="AP34" t="str">
        <f t="shared" si="11"/>
        <v/>
      </c>
      <c r="AQ34" t="str">
        <f t="shared" si="12"/>
        <v/>
      </c>
      <c r="AR34" t="str">
        <f t="shared" si="13"/>
        <v/>
      </c>
      <c r="AS34" t="str">
        <f t="shared" si="14"/>
        <v/>
      </c>
      <c r="AT34" t="str">
        <f t="shared" si="15"/>
        <v/>
      </c>
      <c r="AU34" t="str">
        <f t="shared" si="16"/>
        <v/>
      </c>
      <c r="AV34" t="str">
        <f t="shared" si="17"/>
        <v/>
      </c>
      <c r="AW34" t="str">
        <f t="shared" si="18"/>
        <v/>
      </c>
      <c r="AX34" t="str">
        <f t="shared" si="19"/>
        <v/>
      </c>
      <c r="AY34"/>
      <c r="AZ34"/>
      <c r="BA34"/>
      <c r="BB34"/>
      <c r="BC34"/>
      <c r="CN34"/>
      <c r="CO34"/>
      <c r="CP34"/>
      <c r="CQ34"/>
      <c r="CR34"/>
      <c r="CS34"/>
      <c r="CT34"/>
      <c r="CU34"/>
    </row>
    <row r="35" spans="1:99" ht="46.5" thickBot="1">
      <c r="A35" s="2257"/>
      <c r="C35" s="537">
        <f>+PP!B53</f>
        <v>30</v>
      </c>
      <c r="D35" s="167" t="str">
        <f>+PP!C53</f>
        <v>NUCA C/C ABIERTO 1.0 - UP kg/pza</v>
      </c>
      <c r="E35" s="2014"/>
      <c r="F35" s="1829"/>
      <c r="G35" s="1829"/>
      <c r="H35" s="1829"/>
      <c r="I35" s="1829"/>
      <c r="J35" s="1829"/>
      <c r="K35" s="1829"/>
      <c r="L35" s="1829"/>
      <c r="M35" s="1829"/>
      <c r="N35" s="1829"/>
      <c r="O35" s="1829"/>
      <c r="P35" s="1829"/>
      <c r="Q35" s="1829"/>
      <c r="R35" s="1829"/>
      <c r="S35" s="1850"/>
      <c r="T35" s="1850"/>
      <c r="U35" s="1850"/>
      <c r="V35" s="1850"/>
      <c r="W35" s="1850"/>
      <c r="X35" s="1851"/>
      <c r="Y35" s="1032">
        <f t="shared" si="30"/>
        <v>0</v>
      </c>
      <c r="Z35" s="155">
        <f t="shared" si="28"/>
        <v>0</v>
      </c>
      <c r="AA35" s="156">
        <f t="shared" si="29"/>
        <v>0</v>
      </c>
      <c r="AB35" s="1728"/>
      <c r="AC35" s="574"/>
      <c r="AD35"/>
      <c r="AE35"/>
      <c r="AF35" t="str">
        <f t="shared" si="1"/>
        <v/>
      </c>
      <c r="AG35" t="str">
        <f t="shared" si="2"/>
        <v/>
      </c>
      <c r="AH35" t="str">
        <f t="shared" si="3"/>
        <v/>
      </c>
      <c r="AI35" t="str">
        <f t="shared" si="4"/>
        <v/>
      </c>
      <c r="AJ35" t="str">
        <f t="shared" si="5"/>
        <v/>
      </c>
      <c r="AK35" t="str">
        <f t="shared" si="6"/>
        <v/>
      </c>
      <c r="AL35" t="str">
        <f t="shared" si="7"/>
        <v/>
      </c>
      <c r="AM35" t="str">
        <f t="shared" si="8"/>
        <v/>
      </c>
      <c r="AN35" t="str">
        <f t="shared" si="9"/>
        <v/>
      </c>
      <c r="AO35" t="str">
        <f t="shared" si="10"/>
        <v/>
      </c>
      <c r="AP35" t="str">
        <f t="shared" si="11"/>
        <v/>
      </c>
      <c r="AQ35" t="str">
        <f t="shared" si="12"/>
        <v/>
      </c>
      <c r="AR35" t="str">
        <f t="shared" si="13"/>
        <v/>
      </c>
      <c r="AS35" t="str">
        <f t="shared" si="14"/>
        <v/>
      </c>
      <c r="AT35" t="str">
        <f t="shared" si="15"/>
        <v/>
      </c>
      <c r="AU35" t="str">
        <f t="shared" si="16"/>
        <v/>
      </c>
      <c r="AV35" t="str">
        <f t="shared" si="17"/>
        <v/>
      </c>
      <c r="AW35" t="str">
        <f t="shared" si="18"/>
        <v/>
      </c>
      <c r="AX35" t="str">
        <f t="shared" si="19"/>
        <v/>
      </c>
      <c r="AY35"/>
      <c r="AZ35"/>
      <c r="BA35"/>
      <c r="BB35"/>
      <c r="BC35"/>
      <c r="CN35"/>
      <c r="CO35"/>
      <c r="CP35"/>
      <c r="CQ35"/>
      <c r="CR35"/>
      <c r="CS35"/>
      <c r="CT35"/>
      <c r="CU35"/>
    </row>
    <row r="36" spans="1:99" ht="45.75">
      <c r="A36" s="2257"/>
      <c r="C36" s="41">
        <f>+PP!B54</f>
        <v>31</v>
      </c>
      <c r="D36" s="162" t="str">
        <f>+PP!C54</f>
        <v>RECORTE BLANCO SM ST</v>
      </c>
      <c r="E36" s="2967"/>
      <c r="F36" s="2968"/>
      <c r="G36" s="2968"/>
      <c r="H36" s="2968"/>
      <c r="I36" s="2968"/>
      <c r="J36" s="2968"/>
      <c r="K36" s="2968"/>
      <c r="L36" s="2968"/>
      <c r="M36" s="2968"/>
      <c r="N36" s="2968"/>
      <c r="O36" s="2968"/>
      <c r="P36" s="2968"/>
      <c r="Q36" s="2968"/>
      <c r="R36" s="2970"/>
      <c r="S36" s="2970"/>
      <c r="T36" s="2970"/>
      <c r="U36" s="2970"/>
      <c r="V36" s="2970"/>
      <c r="W36" s="2970"/>
      <c r="X36" s="2977"/>
      <c r="Y36" s="510">
        <f t="shared" si="30"/>
        <v>0</v>
      </c>
      <c r="Z36" s="148">
        <f t="shared" si="28"/>
        <v>0</v>
      </c>
      <c r="AA36" s="145">
        <f t="shared" si="29"/>
        <v>0</v>
      </c>
      <c r="AB36" s="1728"/>
      <c r="AC36" s="574"/>
      <c r="AD36"/>
      <c r="AE36"/>
      <c r="AF36" t="str">
        <f t="shared" si="1"/>
        <v/>
      </c>
      <c r="AG36" t="str">
        <f t="shared" si="2"/>
        <v/>
      </c>
      <c r="AH36" t="str">
        <f t="shared" si="3"/>
        <v/>
      </c>
      <c r="AI36" t="str">
        <f t="shared" si="4"/>
        <v/>
      </c>
      <c r="AJ36" t="str">
        <f t="shared" si="5"/>
        <v/>
      </c>
      <c r="AK36" t="str">
        <f t="shared" si="6"/>
        <v/>
      </c>
      <c r="AL36" t="str">
        <f t="shared" si="7"/>
        <v/>
      </c>
      <c r="AM36" t="str">
        <f t="shared" si="8"/>
        <v/>
      </c>
      <c r="AN36" t="str">
        <f t="shared" si="9"/>
        <v/>
      </c>
      <c r="AO36" t="str">
        <f t="shared" si="10"/>
        <v/>
      </c>
      <c r="AP36" t="str">
        <f t="shared" si="11"/>
        <v/>
      </c>
      <c r="AQ36" t="str">
        <f t="shared" si="12"/>
        <v/>
      </c>
      <c r="AR36" t="str">
        <f t="shared" si="13"/>
        <v/>
      </c>
      <c r="AS36" t="str">
        <f t="shared" si="14"/>
        <v/>
      </c>
      <c r="AT36" t="str">
        <f t="shared" si="15"/>
        <v/>
      </c>
      <c r="AU36" t="str">
        <f t="shared" si="16"/>
        <v/>
      </c>
      <c r="AV36" t="str">
        <f t="shared" si="17"/>
        <v/>
      </c>
      <c r="AW36" t="str">
        <f t="shared" si="18"/>
        <v/>
      </c>
      <c r="AX36" t="str">
        <f t="shared" si="19"/>
        <v/>
      </c>
      <c r="AY36"/>
      <c r="AZ36"/>
      <c r="BA36"/>
      <c r="BB36"/>
      <c r="BC36"/>
      <c r="CN36"/>
      <c r="CO36"/>
      <c r="CP36"/>
      <c r="CQ36"/>
      <c r="CR36"/>
      <c r="CS36"/>
      <c r="CT36"/>
      <c r="CU36"/>
    </row>
    <row r="37" spans="1:99" ht="45.75">
      <c r="A37" s="2257"/>
      <c r="C37" s="42">
        <f>+PP!B55</f>
        <v>32</v>
      </c>
      <c r="D37" s="164" t="str">
        <f>+PP!C55</f>
        <v>RECORTE AMARILLO SM ST</v>
      </c>
      <c r="E37" s="2013"/>
      <c r="F37" s="1802"/>
      <c r="G37" s="1802"/>
      <c r="H37" s="1802"/>
      <c r="I37" s="1802"/>
      <c r="J37" s="1802"/>
      <c r="K37" s="1802"/>
      <c r="L37" s="1802"/>
      <c r="M37" s="1802"/>
      <c r="N37" s="1802"/>
      <c r="O37" s="1802"/>
      <c r="P37" s="1802"/>
      <c r="Q37" s="1802"/>
      <c r="R37" s="1847"/>
      <c r="S37" s="1847"/>
      <c r="T37" s="1847"/>
      <c r="U37" s="1847"/>
      <c r="V37" s="1847"/>
      <c r="W37" s="1847"/>
      <c r="X37" s="1848"/>
      <c r="Y37" s="525">
        <f t="shared" si="30"/>
        <v>0</v>
      </c>
      <c r="Z37" s="149">
        <f t="shared" si="28"/>
        <v>0</v>
      </c>
      <c r="AA37" s="146">
        <f t="shared" si="29"/>
        <v>0</v>
      </c>
      <c r="AB37" s="1728"/>
      <c r="AC37" s="574"/>
      <c r="AD37"/>
      <c r="AE37"/>
      <c r="AF37" t="str">
        <f t="shared" si="1"/>
        <v/>
      </c>
      <c r="AG37" t="str">
        <f t="shared" si="2"/>
        <v/>
      </c>
      <c r="AH37" t="str">
        <f t="shared" si="3"/>
        <v/>
      </c>
      <c r="AI37" t="str">
        <f t="shared" si="4"/>
        <v/>
      </c>
      <c r="AJ37" t="str">
        <f t="shared" si="5"/>
        <v/>
      </c>
      <c r="AK37" t="str">
        <f t="shared" si="6"/>
        <v/>
      </c>
      <c r="AL37" t="str">
        <f t="shared" si="7"/>
        <v/>
      </c>
      <c r="AM37" t="str">
        <f t="shared" si="8"/>
        <v/>
      </c>
      <c r="AN37" t="str">
        <f t="shared" si="9"/>
        <v/>
      </c>
      <c r="AO37" t="str">
        <f t="shared" si="10"/>
        <v/>
      </c>
      <c r="AP37" t="str">
        <f t="shared" si="11"/>
        <v/>
      </c>
      <c r="AQ37" t="str">
        <f t="shared" si="12"/>
        <v/>
      </c>
      <c r="AR37" t="str">
        <f t="shared" si="13"/>
        <v/>
      </c>
      <c r="AS37" t="str">
        <f t="shared" si="14"/>
        <v/>
      </c>
      <c r="AT37" t="str">
        <f t="shared" si="15"/>
        <v/>
      </c>
      <c r="AU37" t="str">
        <f t="shared" si="16"/>
        <v/>
      </c>
      <c r="AV37" t="str">
        <f t="shared" si="17"/>
        <v/>
      </c>
      <c r="AW37" t="str">
        <f t="shared" si="18"/>
        <v/>
      </c>
      <c r="AX37" t="str">
        <f t="shared" si="19"/>
        <v/>
      </c>
      <c r="AY37"/>
      <c r="AZ37"/>
      <c r="BA37"/>
      <c r="BB37"/>
      <c r="BC37"/>
      <c r="CN37"/>
      <c r="CO37"/>
      <c r="CP37"/>
      <c r="CQ37"/>
      <c r="CR37"/>
      <c r="CS37"/>
      <c r="CT37"/>
      <c r="CU37"/>
    </row>
    <row r="38" spans="1:99" ht="46.5" thickBot="1">
      <c r="A38" s="2257"/>
      <c r="C38" s="537">
        <f>+PP!B56</f>
        <v>33</v>
      </c>
      <c r="D38" s="167" t="str">
        <f>+PP!C56</f>
        <v>RECORTE PRECOCIDO</v>
      </c>
      <c r="E38" s="2014"/>
      <c r="F38" s="1829"/>
      <c r="G38" s="1829"/>
      <c r="H38" s="1829"/>
      <c r="I38" s="1829"/>
      <c r="J38" s="1829"/>
      <c r="K38" s="1829"/>
      <c r="L38" s="1829"/>
      <c r="M38" s="1829"/>
      <c r="N38" s="1829"/>
      <c r="O38" s="1829"/>
      <c r="P38" s="1829"/>
      <c r="Q38" s="1829"/>
      <c r="R38" s="1850"/>
      <c r="S38" s="1850"/>
      <c r="T38" s="1850"/>
      <c r="U38" s="1850"/>
      <c r="V38" s="1850"/>
      <c r="W38" s="1850"/>
      <c r="X38" s="1851"/>
      <c r="Y38" s="1032">
        <f t="shared" si="30"/>
        <v>0</v>
      </c>
      <c r="Z38" s="155">
        <f t="shared" si="28"/>
        <v>0</v>
      </c>
      <c r="AA38" s="156">
        <f t="shared" si="29"/>
        <v>0</v>
      </c>
      <c r="AB38" s="1728"/>
      <c r="AC38" s="574"/>
      <c r="AD38"/>
      <c r="AE38"/>
      <c r="AF38" t="str">
        <f t="shared" si="1"/>
        <v/>
      </c>
      <c r="AG38" t="str">
        <f t="shared" si="2"/>
        <v/>
      </c>
      <c r="AH38" t="str">
        <f t="shared" si="3"/>
        <v/>
      </c>
      <c r="AI38" t="str">
        <f t="shared" si="4"/>
        <v/>
      </c>
      <c r="AJ38" t="str">
        <f t="shared" si="5"/>
        <v/>
      </c>
      <c r="AK38" t="str">
        <f t="shared" si="6"/>
        <v/>
      </c>
      <c r="AL38" t="str">
        <f t="shared" si="7"/>
        <v/>
      </c>
      <c r="AM38" t="str">
        <f t="shared" si="8"/>
        <v/>
      </c>
      <c r="AN38" t="str">
        <f t="shared" si="9"/>
        <v/>
      </c>
      <c r="AO38" t="str">
        <f t="shared" si="10"/>
        <v/>
      </c>
      <c r="AP38" t="str">
        <f t="shared" si="11"/>
        <v/>
      </c>
      <c r="AQ38" t="str">
        <f t="shared" si="12"/>
        <v/>
      </c>
      <c r="AR38" t="str">
        <f t="shared" si="13"/>
        <v/>
      </c>
      <c r="AS38" t="str">
        <f t="shared" si="14"/>
        <v/>
      </c>
      <c r="AT38" t="str">
        <f t="shared" si="15"/>
        <v/>
      </c>
      <c r="AU38" t="str">
        <f t="shared" si="16"/>
        <v/>
      </c>
      <c r="AV38" t="str">
        <f t="shared" si="17"/>
        <v/>
      </c>
      <c r="AW38" t="str">
        <f t="shared" si="18"/>
        <v/>
      </c>
      <c r="AX38" t="str">
        <f t="shared" si="19"/>
        <v/>
      </c>
      <c r="AY38"/>
      <c r="AZ38"/>
      <c r="BA38"/>
      <c r="BB38"/>
      <c r="BC38"/>
      <c r="CN38"/>
      <c r="CO38"/>
      <c r="CP38"/>
      <c r="CQ38"/>
      <c r="CR38"/>
      <c r="CS38"/>
      <c r="CT38"/>
      <c r="CU38"/>
    </row>
    <row r="39" spans="1:99" ht="45.75">
      <c r="A39" s="2257"/>
      <c r="C39" s="41">
        <f>+PP!B57</f>
        <v>34</v>
      </c>
      <c r="D39" s="162" t="str">
        <f>+PP!C57</f>
        <v>REPRODUCTORES SV, PEQUEÑO</v>
      </c>
      <c r="E39" s="2967"/>
      <c r="F39" s="2968"/>
      <c r="G39" s="2968"/>
      <c r="H39" s="2968"/>
      <c r="I39" s="2968"/>
      <c r="J39" s="2968"/>
      <c r="K39" s="2968"/>
      <c r="L39" s="2968"/>
      <c r="M39" s="2968"/>
      <c r="N39" s="2968"/>
      <c r="O39" s="2968"/>
      <c r="P39" s="2968"/>
      <c r="Q39" s="2968"/>
      <c r="R39" s="2968"/>
      <c r="S39" s="2970"/>
      <c r="T39" s="2970"/>
      <c r="U39" s="2970"/>
      <c r="V39" s="2970"/>
      <c r="W39" s="2970"/>
      <c r="X39" s="2977"/>
      <c r="Y39" s="510">
        <f t="shared" si="30"/>
        <v>0</v>
      </c>
      <c r="Z39" s="148">
        <f t="shared" si="28"/>
        <v>0</v>
      </c>
      <c r="AA39" s="145">
        <f t="shared" si="29"/>
        <v>0</v>
      </c>
      <c r="AB39" s="574"/>
      <c r="AC39" s="574"/>
      <c r="AD39"/>
      <c r="AE39"/>
      <c r="AF39" t="str">
        <f t="shared" si="1"/>
        <v/>
      </c>
      <c r="AG39" t="str">
        <f t="shared" si="2"/>
        <v/>
      </c>
      <c r="AH39" t="str">
        <f t="shared" si="3"/>
        <v/>
      </c>
      <c r="AI39" t="str">
        <f t="shared" si="4"/>
        <v/>
      </c>
      <c r="AJ39" t="str">
        <f t="shared" si="5"/>
        <v/>
      </c>
      <c r="AK39" t="str">
        <f t="shared" si="6"/>
        <v/>
      </c>
      <c r="AL39" t="str">
        <f t="shared" si="7"/>
        <v/>
      </c>
      <c r="AM39" t="str">
        <f t="shared" si="8"/>
        <v/>
      </c>
      <c r="AN39" t="str">
        <f t="shared" si="9"/>
        <v/>
      </c>
      <c r="AO39" t="str">
        <f t="shared" si="10"/>
        <v/>
      </c>
      <c r="AP39" t="str">
        <f t="shared" si="11"/>
        <v/>
      </c>
      <c r="AQ39" t="str">
        <f t="shared" si="12"/>
        <v/>
      </c>
      <c r="AR39" t="str">
        <f t="shared" si="13"/>
        <v/>
      </c>
      <c r="AS39" t="str">
        <f t="shared" si="14"/>
        <v/>
      </c>
      <c r="AT39" t="str">
        <f t="shared" si="15"/>
        <v/>
      </c>
      <c r="AU39" t="str">
        <f t="shared" si="16"/>
        <v/>
      </c>
      <c r="AV39" t="str">
        <f t="shared" si="17"/>
        <v/>
      </c>
      <c r="AW39" t="str">
        <f t="shared" si="18"/>
        <v/>
      </c>
      <c r="AX39" t="str">
        <f t="shared" si="19"/>
        <v/>
      </c>
      <c r="AY39"/>
      <c r="AZ39"/>
      <c r="BA39"/>
      <c r="BB39"/>
      <c r="CN39"/>
      <c r="CO39"/>
      <c r="CP39"/>
      <c r="CQ39"/>
      <c r="CR39"/>
      <c r="CS39"/>
      <c r="CT39"/>
      <c r="CU39"/>
    </row>
    <row r="40" spans="1:99" ht="46.5" thickBot="1">
      <c r="A40" s="2257"/>
      <c r="C40" s="40">
        <f>+PP!B58</f>
        <v>35</v>
      </c>
      <c r="D40" s="163" t="str">
        <f>+PP!C58</f>
        <v>REPRODUCTOR SV GRANDE</v>
      </c>
      <c r="E40" s="2972"/>
      <c r="F40" s="2973"/>
      <c r="G40" s="2973"/>
      <c r="H40" s="2973"/>
      <c r="I40" s="2973"/>
      <c r="J40" s="2973"/>
      <c r="K40" s="2973"/>
      <c r="L40" s="2973"/>
      <c r="M40" s="2973"/>
      <c r="N40" s="2973"/>
      <c r="O40" s="2973"/>
      <c r="P40" s="2973"/>
      <c r="Q40" s="2973"/>
      <c r="R40" s="2973"/>
      <c r="S40" s="2975"/>
      <c r="T40" s="2975"/>
      <c r="U40" s="2975"/>
      <c r="V40" s="2975"/>
      <c r="W40" s="2975"/>
      <c r="X40" s="2978"/>
      <c r="Y40" s="511">
        <f t="shared" si="30"/>
        <v>0</v>
      </c>
      <c r="Z40" s="150">
        <f t="shared" si="28"/>
        <v>0</v>
      </c>
      <c r="AA40" s="147">
        <f t="shared" si="29"/>
        <v>0</v>
      </c>
      <c r="AB40" s="574"/>
      <c r="AC40" s="574"/>
      <c r="AD40"/>
      <c r="AE40"/>
      <c r="AF40" t="str">
        <f t="shared" si="1"/>
        <v/>
      </c>
      <c r="AG40" t="str">
        <f t="shared" si="2"/>
        <v/>
      </c>
      <c r="AH40" t="str">
        <f t="shared" si="3"/>
        <v/>
      </c>
      <c r="AI40" t="str">
        <f t="shared" si="4"/>
        <v/>
      </c>
      <c r="AJ40" t="str">
        <f t="shared" si="5"/>
        <v/>
      </c>
      <c r="AK40" t="str">
        <f t="shared" si="6"/>
        <v/>
      </c>
      <c r="AL40" t="str">
        <f t="shared" si="7"/>
        <v/>
      </c>
      <c r="AM40" t="str">
        <f t="shared" si="8"/>
        <v/>
      </c>
      <c r="AN40" t="str">
        <f t="shared" si="9"/>
        <v/>
      </c>
      <c r="AO40" t="str">
        <f t="shared" si="10"/>
        <v/>
      </c>
      <c r="AP40" t="str">
        <f t="shared" si="11"/>
        <v/>
      </c>
      <c r="AQ40" t="str">
        <f t="shared" si="12"/>
        <v/>
      </c>
      <c r="AR40" t="str">
        <f t="shared" si="13"/>
        <v/>
      </c>
      <c r="AS40" t="str">
        <f t="shared" si="14"/>
        <v/>
      </c>
      <c r="AT40" t="str">
        <f t="shared" si="15"/>
        <v/>
      </c>
      <c r="AU40" t="str">
        <f t="shared" si="16"/>
        <v/>
      </c>
      <c r="AV40" t="str">
        <f t="shared" si="17"/>
        <v/>
      </c>
      <c r="AW40" t="str">
        <f t="shared" si="18"/>
        <v/>
      </c>
      <c r="AX40" t="str">
        <f t="shared" si="19"/>
        <v/>
      </c>
      <c r="AY40"/>
      <c r="AZ40"/>
      <c r="BA40"/>
      <c r="BB40"/>
      <c r="CN40"/>
      <c r="CO40"/>
      <c r="CP40"/>
      <c r="CQ40"/>
      <c r="CR40"/>
      <c r="CS40"/>
      <c r="CT40"/>
      <c r="CU40"/>
    </row>
    <row r="41" spans="1:99" ht="46.5" thickBot="1">
      <c r="A41" s="2257"/>
      <c r="C41" s="526">
        <f>+PP!B59</f>
        <v>36</v>
      </c>
      <c r="D41" s="538" t="str">
        <f>+PP!C59</f>
        <v>TUBO ALETA 1.0-2.0 Kg/pza</v>
      </c>
      <c r="E41" s="2979"/>
      <c r="F41" s="2980"/>
      <c r="G41" s="2980"/>
      <c r="H41" s="2980"/>
      <c r="I41" s="2980"/>
      <c r="J41" s="2980"/>
      <c r="K41" s="2980"/>
      <c r="L41" s="2980"/>
      <c r="M41" s="2980"/>
      <c r="N41" s="2980"/>
      <c r="O41" s="2980"/>
      <c r="P41" s="2980"/>
      <c r="Q41" s="2980"/>
      <c r="R41" s="2980"/>
      <c r="S41" s="2981"/>
      <c r="T41" s="2981"/>
      <c r="U41" s="2981"/>
      <c r="V41" s="2981"/>
      <c r="W41" s="2981"/>
      <c r="X41" s="2982"/>
      <c r="Y41" s="527">
        <f t="shared" si="30"/>
        <v>0</v>
      </c>
      <c r="Z41" s="1793">
        <f t="shared" si="28"/>
        <v>0</v>
      </c>
      <c r="AA41" s="557">
        <f t="shared" si="29"/>
        <v>0</v>
      </c>
      <c r="AB41" s="574"/>
      <c r="AC41" s="574"/>
      <c r="AD41"/>
      <c r="AE41"/>
      <c r="AF41" t="str">
        <f t="shared" si="1"/>
        <v/>
      </c>
      <c r="AG41" t="str">
        <f t="shared" si="2"/>
        <v/>
      </c>
      <c r="AH41" t="str">
        <f t="shared" si="3"/>
        <v/>
      </c>
      <c r="AI41" t="str">
        <f t="shared" si="4"/>
        <v/>
      </c>
      <c r="AJ41" t="str">
        <f t="shared" si="5"/>
        <v/>
      </c>
      <c r="AK41" t="str">
        <f t="shared" si="6"/>
        <v/>
      </c>
      <c r="AL41" t="str">
        <f t="shared" si="7"/>
        <v/>
      </c>
      <c r="AM41" t="str">
        <f t="shared" si="8"/>
        <v/>
      </c>
      <c r="AN41" t="str">
        <f t="shared" si="9"/>
        <v/>
      </c>
      <c r="AO41" t="str">
        <f t="shared" si="10"/>
        <v/>
      </c>
      <c r="AP41" t="str">
        <f t="shared" si="11"/>
        <v/>
      </c>
      <c r="AQ41" t="str">
        <f t="shared" si="12"/>
        <v/>
      </c>
      <c r="AR41" t="str">
        <f t="shared" si="13"/>
        <v/>
      </c>
      <c r="AS41" t="str">
        <f t="shared" si="14"/>
        <v/>
      </c>
      <c r="AT41" t="str">
        <f t="shared" si="15"/>
        <v/>
      </c>
      <c r="AU41" t="str">
        <f t="shared" si="16"/>
        <v/>
      </c>
      <c r="AV41" t="str">
        <f t="shared" si="17"/>
        <v/>
      </c>
      <c r="AW41" t="str">
        <f t="shared" si="18"/>
        <v/>
      </c>
      <c r="AX41" t="str">
        <f t="shared" si="19"/>
        <v/>
      </c>
      <c r="AY41"/>
      <c r="AZ41"/>
      <c r="BA41"/>
      <c r="BB41"/>
      <c r="CN41"/>
      <c r="CO41"/>
      <c r="CP41"/>
      <c r="CQ41"/>
      <c r="CR41"/>
      <c r="CS41"/>
      <c r="CT41"/>
      <c r="CU41"/>
    </row>
    <row r="42" spans="1:99" ht="45.75">
      <c r="A42" s="2257"/>
      <c r="C42" s="41">
        <f>+PP!B60</f>
        <v>37</v>
      </c>
      <c r="D42" s="259" t="str">
        <f>+PP!C60</f>
        <v>TENTACULO C/B C/V SR 100-300 g/pza (SUCIO)</v>
      </c>
      <c r="E42" s="2967"/>
      <c r="F42" s="2968"/>
      <c r="G42" s="2968"/>
      <c r="H42" s="2968"/>
      <c r="I42" s="2968"/>
      <c r="J42" s="2968"/>
      <c r="K42" s="2968"/>
      <c r="L42" s="2968"/>
      <c r="M42" s="2968"/>
      <c r="N42" s="2968"/>
      <c r="O42" s="2968"/>
      <c r="P42" s="2968"/>
      <c r="Q42" s="2968"/>
      <c r="R42" s="2968"/>
      <c r="S42" s="2970"/>
      <c r="T42" s="2970"/>
      <c r="U42" s="2970"/>
      <c r="V42" s="2970"/>
      <c r="W42" s="2970"/>
      <c r="X42" s="2977"/>
      <c r="Y42" s="510">
        <f t="shared" si="30"/>
        <v>0</v>
      </c>
      <c r="Z42" s="548">
        <f t="shared" si="28"/>
        <v>0</v>
      </c>
      <c r="AA42" s="490">
        <f t="shared" si="29"/>
        <v>0</v>
      </c>
      <c r="AB42" s="574"/>
      <c r="AC42" s="574"/>
      <c r="AD42"/>
      <c r="AE42"/>
      <c r="AF42" t="str">
        <f t="shared" si="1"/>
        <v/>
      </c>
      <c r="AG42" t="str">
        <f t="shared" si="2"/>
        <v/>
      </c>
      <c r="AH42" t="str">
        <f t="shared" si="3"/>
        <v/>
      </c>
      <c r="AI42" t="str">
        <f t="shared" si="4"/>
        <v/>
      </c>
      <c r="AJ42" t="str">
        <f t="shared" si="5"/>
        <v/>
      </c>
      <c r="AK42" t="str">
        <f t="shared" si="6"/>
        <v/>
      </c>
      <c r="AL42" t="str">
        <f t="shared" si="7"/>
        <v/>
      </c>
      <c r="AM42" t="str">
        <f t="shared" si="8"/>
        <v/>
      </c>
      <c r="AN42" t="str">
        <f t="shared" si="9"/>
        <v/>
      </c>
      <c r="AO42" t="str">
        <f t="shared" si="10"/>
        <v/>
      </c>
      <c r="AP42" t="str">
        <f t="shared" si="11"/>
        <v/>
      </c>
      <c r="AQ42" t="str">
        <f t="shared" si="12"/>
        <v/>
      </c>
      <c r="AR42" t="str">
        <f t="shared" si="13"/>
        <v/>
      </c>
      <c r="AS42" t="str">
        <f t="shared" si="14"/>
        <v/>
      </c>
      <c r="AT42" t="str">
        <f t="shared" si="15"/>
        <v/>
      </c>
      <c r="AU42" t="str">
        <f t="shared" si="16"/>
        <v/>
      </c>
      <c r="AV42" t="str">
        <f t="shared" si="17"/>
        <v/>
      </c>
      <c r="AW42" t="str">
        <f t="shared" si="18"/>
        <v/>
      </c>
      <c r="AX42" t="str">
        <f t="shared" si="19"/>
        <v/>
      </c>
      <c r="AY42"/>
      <c r="AZ42"/>
      <c r="BA42"/>
      <c r="BB42"/>
      <c r="CN42"/>
      <c r="CO42"/>
      <c r="CP42"/>
      <c r="CQ42"/>
      <c r="CR42"/>
      <c r="CS42"/>
      <c r="CT42"/>
      <c r="CU42"/>
    </row>
    <row r="43" spans="1:99" ht="45.75">
      <c r="A43" s="2257"/>
      <c r="C43" s="42">
        <f>+PP!B61</f>
        <v>38</v>
      </c>
      <c r="D43" s="229" t="str">
        <f>+PP!C61</f>
        <v>TENTACULO C/B C/V SR 300-500 g/pza (SUCIO)</v>
      </c>
      <c r="E43" s="2013"/>
      <c r="F43" s="1802"/>
      <c r="G43" s="1802"/>
      <c r="H43" s="1802"/>
      <c r="I43" s="1802"/>
      <c r="J43" s="1802"/>
      <c r="K43" s="1802"/>
      <c r="L43" s="1802"/>
      <c r="M43" s="1802"/>
      <c r="N43" s="1802"/>
      <c r="O43" s="1802"/>
      <c r="P43" s="1802"/>
      <c r="Q43" s="1802"/>
      <c r="R43" s="1802"/>
      <c r="S43" s="1847"/>
      <c r="T43" s="1847"/>
      <c r="U43" s="1847"/>
      <c r="V43" s="1847"/>
      <c r="W43" s="1847"/>
      <c r="X43" s="1848"/>
      <c r="Y43" s="525">
        <f t="shared" si="30"/>
        <v>0</v>
      </c>
      <c r="Z43" s="551">
        <f t="shared" si="28"/>
        <v>0</v>
      </c>
      <c r="AA43" s="552">
        <f t="shared" si="29"/>
        <v>0</v>
      </c>
      <c r="AB43" s="574"/>
      <c r="AC43" s="574"/>
      <c r="AD43"/>
      <c r="AE43"/>
      <c r="AF43" t="str">
        <f t="shared" si="1"/>
        <v/>
      </c>
      <c r="AG43" t="str">
        <f t="shared" si="2"/>
        <v/>
      </c>
      <c r="AH43" t="str">
        <f t="shared" si="3"/>
        <v/>
      </c>
      <c r="AI43" t="str">
        <f t="shared" si="4"/>
        <v/>
      </c>
      <c r="AJ43" t="str">
        <f t="shared" si="5"/>
        <v/>
      </c>
      <c r="AK43" t="str">
        <f t="shared" si="6"/>
        <v/>
      </c>
      <c r="AL43" t="str">
        <f t="shared" si="7"/>
        <v/>
      </c>
      <c r="AM43" t="str">
        <f t="shared" si="8"/>
        <v/>
      </c>
      <c r="AN43" t="str">
        <f t="shared" si="9"/>
        <v/>
      </c>
      <c r="AO43" t="str">
        <f t="shared" si="10"/>
        <v/>
      </c>
      <c r="AP43" t="str">
        <f t="shared" si="11"/>
        <v/>
      </c>
      <c r="AQ43" t="str">
        <f t="shared" si="12"/>
        <v/>
      </c>
      <c r="AR43" t="str">
        <f t="shared" si="13"/>
        <v/>
      </c>
      <c r="AS43" t="str">
        <f t="shared" si="14"/>
        <v/>
      </c>
      <c r="AT43" t="str">
        <f t="shared" si="15"/>
        <v/>
      </c>
      <c r="AU43" t="str">
        <f t="shared" si="16"/>
        <v/>
      </c>
      <c r="AV43" t="str">
        <f t="shared" si="17"/>
        <v/>
      </c>
      <c r="AW43" t="str">
        <f t="shared" si="18"/>
        <v/>
      </c>
      <c r="AX43" t="str">
        <f t="shared" si="19"/>
        <v/>
      </c>
      <c r="AY43"/>
      <c r="AZ43"/>
      <c r="BA43"/>
      <c r="BB43"/>
      <c r="CN43"/>
      <c r="CO43"/>
      <c r="CP43"/>
      <c r="CQ43"/>
      <c r="CR43"/>
      <c r="CS43"/>
      <c r="CT43"/>
      <c r="CU43"/>
    </row>
    <row r="44" spans="1:99" ht="45.75">
      <c r="A44" s="2257"/>
      <c r="C44" s="42">
        <f>+PP!B62</f>
        <v>39</v>
      </c>
      <c r="D44" s="229" t="str">
        <f>+PP!C62</f>
        <v>TENTACULO C/B S/V SR 100-300 g/pza</v>
      </c>
      <c r="E44" s="2013"/>
      <c r="F44" s="1802"/>
      <c r="G44" s="1802"/>
      <c r="H44" s="1802"/>
      <c r="I44" s="1802"/>
      <c r="J44" s="1802"/>
      <c r="K44" s="1802"/>
      <c r="L44" s="1802"/>
      <c r="M44" s="1802"/>
      <c r="N44" s="1802"/>
      <c r="O44" s="1802"/>
      <c r="P44" s="1802"/>
      <c r="Q44" s="1802"/>
      <c r="R44" s="1802"/>
      <c r="S44" s="1847"/>
      <c r="T44" s="1847"/>
      <c r="U44" s="1847"/>
      <c r="V44" s="1847"/>
      <c r="W44" s="1847"/>
      <c r="X44" s="1848"/>
      <c r="Y44" s="525">
        <f t="shared" si="30"/>
        <v>0</v>
      </c>
      <c r="Z44" s="551">
        <f t="shared" si="28"/>
        <v>0</v>
      </c>
      <c r="AA44" s="552">
        <f t="shared" si="29"/>
        <v>0</v>
      </c>
      <c r="AB44" s="574"/>
      <c r="AC44" s="574"/>
      <c r="AD44"/>
      <c r="AE44"/>
      <c r="AF44" t="str">
        <f t="shared" si="1"/>
        <v/>
      </c>
      <c r="AG44" t="str">
        <f t="shared" si="2"/>
        <v/>
      </c>
      <c r="AH44" t="str">
        <f t="shared" si="3"/>
        <v/>
      </c>
      <c r="AI44" t="str">
        <f t="shared" si="4"/>
        <v/>
      </c>
      <c r="AJ44" t="str">
        <f t="shared" si="5"/>
        <v/>
      </c>
      <c r="AK44" t="str">
        <f t="shared" si="6"/>
        <v/>
      </c>
      <c r="AL44" t="str">
        <f t="shared" si="7"/>
        <v/>
      </c>
      <c r="AM44" t="str">
        <f t="shared" si="8"/>
        <v/>
      </c>
      <c r="AN44" t="str">
        <f t="shared" si="9"/>
        <v/>
      </c>
      <c r="AO44" t="str">
        <f t="shared" si="10"/>
        <v/>
      </c>
      <c r="AP44" t="str">
        <f t="shared" si="11"/>
        <v/>
      </c>
      <c r="AQ44" t="str">
        <f t="shared" si="12"/>
        <v/>
      </c>
      <c r="AR44" t="str">
        <f t="shared" si="13"/>
        <v/>
      </c>
      <c r="AS44" t="str">
        <f t="shared" si="14"/>
        <v/>
      </c>
      <c r="AT44" t="str">
        <f t="shared" si="15"/>
        <v/>
      </c>
      <c r="AU44" t="str">
        <f t="shared" si="16"/>
        <v/>
      </c>
      <c r="AV44" t="str">
        <f t="shared" si="17"/>
        <v/>
      </c>
      <c r="AW44" t="str">
        <f t="shared" si="18"/>
        <v/>
      </c>
      <c r="AX44" t="str">
        <f t="shared" si="19"/>
        <v/>
      </c>
      <c r="AY44"/>
      <c r="AZ44"/>
      <c r="BA44"/>
      <c r="BB44"/>
      <c r="CN44"/>
      <c r="CO44"/>
      <c r="CP44"/>
      <c r="CQ44"/>
      <c r="CR44"/>
      <c r="CS44"/>
      <c r="CT44"/>
      <c r="CU44"/>
    </row>
    <row r="45" spans="1:99" ht="45.75">
      <c r="A45" s="2257"/>
      <c r="C45" s="42">
        <f>+PP!B63</f>
        <v>40</v>
      </c>
      <c r="D45" s="229" t="str">
        <f>+PP!C63</f>
        <v>TENTACULO C/B C/V SR 100-500 g/pza (SUCIO)</v>
      </c>
      <c r="E45" s="2013"/>
      <c r="F45" s="1802"/>
      <c r="G45" s="1802"/>
      <c r="H45" s="1802"/>
      <c r="I45" s="1802"/>
      <c r="J45" s="1802"/>
      <c r="K45" s="1802"/>
      <c r="L45" s="1802"/>
      <c r="M45" s="1802"/>
      <c r="N45" s="1802"/>
      <c r="O45" s="1802"/>
      <c r="P45" s="1802"/>
      <c r="Q45" s="1802"/>
      <c r="R45" s="1802"/>
      <c r="S45" s="1847"/>
      <c r="T45" s="1847"/>
      <c r="U45" s="1847"/>
      <c r="V45" s="1847"/>
      <c r="W45" s="1847"/>
      <c r="X45" s="1848"/>
      <c r="Y45" s="525">
        <f t="shared" si="30"/>
        <v>0</v>
      </c>
      <c r="Z45" s="551">
        <f t="shared" si="28"/>
        <v>0</v>
      </c>
      <c r="AA45" s="552">
        <f>+Y45*10</f>
        <v>0</v>
      </c>
      <c r="AB45" s="574"/>
      <c r="AC45" s="574"/>
      <c r="AD45"/>
      <c r="AE45"/>
      <c r="AF45" t="str">
        <f t="shared" si="1"/>
        <v/>
      </c>
      <c r="AG45" t="str">
        <f t="shared" si="2"/>
        <v/>
      </c>
      <c r="AH45" t="str">
        <f t="shared" si="3"/>
        <v/>
      </c>
      <c r="AI45" t="str">
        <f t="shared" si="4"/>
        <v/>
      </c>
      <c r="AJ45" t="str">
        <f t="shared" si="5"/>
        <v/>
      </c>
      <c r="AK45" t="str">
        <f t="shared" si="6"/>
        <v/>
      </c>
      <c r="AL45" t="str">
        <f t="shared" si="7"/>
        <v/>
      </c>
      <c r="AM45" t="str">
        <f t="shared" si="8"/>
        <v/>
      </c>
      <c r="AN45" t="str">
        <f t="shared" si="9"/>
        <v/>
      </c>
      <c r="AO45" t="str">
        <f t="shared" si="10"/>
        <v/>
      </c>
      <c r="AP45" t="str">
        <f t="shared" si="11"/>
        <v/>
      </c>
      <c r="AQ45" t="str">
        <f t="shared" si="12"/>
        <v/>
      </c>
      <c r="AR45" t="str">
        <f t="shared" si="13"/>
        <v/>
      </c>
      <c r="AS45" t="str">
        <f t="shared" si="14"/>
        <v/>
      </c>
      <c r="AT45" t="str">
        <f t="shared" si="15"/>
        <v/>
      </c>
      <c r="AU45" t="str">
        <f t="shared" si="16"/>
        <v/>
      </c>
      <c r="AV45" t="str">
        <f t="shared" si="17"/>
        <v/>
      </c>
      <c r="AW45" t="str">
        <f t="shared" si="18"/>
        <v/>
      </c>
      <c r="AX45" t="str">
        <f t="shared" si="19"/>
        <v/>
      </c>
      <c r="AY45"/>
      <c r="AZ45"/>
      <c r="BA45"/>
      <c r="BB45"/>
      <c r="CN45"/>
      <c r="CO45"/>
      <c r="CP45"/>
      <c r="CQ45"/>
      <c r="CR45"/>
      <c r="CS45"/>
      <c r="CT45"/>
      <c r="CU45"/>
    </row>
    <row r="46" spans="1:99" ht="45.75">
      <c r="A46" s="2257"/>
      <c r="C46" s="42">
        <f>+PP!B64</f>
        <v>41</v>
      </c>
      <c r="D46" s="229" t="str">
        <f>+PP!C64</f>
        <v>TENTACULO C/B S/V SR 100-500 g/pza</v>
      </c>
      <c r="E46" s="2013"/>
      <c r="F46" s="1802"/>
      <c r="G46" s="1802"/>
      <c r="H46" s="1802"/>
      <c r="I46" s="1802"/>
      <c r="J46" s="1802"/>
      <c r="K46" s="1802"/>
      <c r="L46" s="1802"/>
      <c r="M46" s="1802"/>
      <c r="N46" s="1802"/>
      <c r="O46" s="1802"/>
      <c r="P46" s="1802"/>
      <c r="Q46" s="1802"/>
      <c r="R46" s="1802"/>
      <c r="S46" s="1847"/>
      <c r="T46" s="1847"/>
      <c r="U46" s="1847"/>
      <c r="V46" s="1847"/>
      <c r="W46" s="1847"/>
      <c r="X46" s="1848"/>
      <c r="Y46" s="525">
        <f t="shared" si="30"/>
        <v>0</v>
      </c>
      <c r="Z46" s="551">
        <f t="shared" si="28"/>
        <v>0</v>
      </c>
      <c r="AA46" s="552">
        <f t="shared" si="29"/>
        <v>0</v>
      </c>
      <c r="AB46" s="574"/>
      <c r="AC46" s="574"/>
      <c r="AD46"/>
      <c r="AE46"/>
      <c r="AF46" t="str">
        <f t="shared" si="1"/>
        <v/>
      </c>
      <c r="AG46" t="str">
        <f t="shared" si="2"/>
        <v/>
      </c>
      <c r="AH46" t="str">
        <f t="shared" si="3"/>
        <v/>
      </c>
      <c r="AI46" t="str">
        <f t="shared" si="4"/>
        <v/>
      </c>
      <c r="AJ46" t="str">
        <f t="shared" si="5"/>
        <v/>
      </c>
      <c r="AK46" t="str">
        <f t="shared" si="6"/>
        <v/>
      </c>
      <c r="AL46" t="str">
        <f t="shared" si="7"/>
        <v/>
      </c>
      <c r="AM46" t="str">
        <f t="shared" si="8"/>
        <v/>
      </c>
      <c r="AN46" t="str">
        <f t="shared" si="9"/>
        <v/>
      </c>
      <c r="AO46" t="str">
        <f t="shared" si="10"/>
        <v/>
      </c>
      <c r="AP46" t="str">
        <f t="shared" si="11"/>
        <v/>
      </c>
      <c r="AQ46" t="str">
        <f t="shared" si="12"/>
        <v/>
      </c>
      <c r="AR46" t="str">
        <f t="shared" si="13"/>
        <v/>
      </c>
      <c r="AS46" t="str">
        <f t="shared" si="14"/>
        <v/>
      </c>
      <c r="AT46" t="str">
        <f t="shared" si="15"/>
        <v/>
      </c>
      <c r="AU46" t="str">
        <f t="shared" si="16"/>
        <v/>
      </c>
      <c r="AV46" t="str">
        <f t="shared" si="17"/>
        <v/>
      </c>
      <c r="AW46" t="str">
        <f t="shared" si="18"/>
        <v/>
      </c>
      <c r="AX46" t="str">
        <f t="shared" si="19"/>
        <v/>
      </c>
      <c r="AY46"/>
      <c r="AZ46"/>
      <c r="BA46"/>
      <c r="BB46"/>
      <c r="CN46"/>
      <c r="CO46"/>
      <c r="CP46"/>
      <c r="CQ46"/>
      <c r="CR46"/>
      <c r="CS46"/>
      <c r="CT46"/>
      <c r="CU46"/>
    </row>
    <row r="47" spans="1:99" ht="45.75">
      <c r="A47" s="2257"/>
      <c r="C47" s="42">
        <f>+PP!B65</f>
        <v>42</v>
      </c>
      <c r="D47" s="229" t="str">
        <f>+PP!C65</f>
        <v>TENTACULO C/B S/V SR 300-500 g/pza</v>
      </c>
      <c r="E47" s="2013"/>
      <c r="F47" s="1802"/>
      <c r="G47" s="1802"/>
      <c r="H47" s="1802"/>
      <c r="I47" s="1802"/>
      <c r="J47" s="1802"/>
      <c r="K47" s="1802"/>
      <c r="L47" s="1802"/>
      <c r="M47" s="1802"/>
      <c r="N47" s="1802"/>
      <c r="O47" s="1802"/>
      <c r="P47" s="1802"/>
      <c r="Q47" s="1802"/>
      <c r="R47" s="1802"/>
      <c r="S47" s="1847"/>
      <c r="T47" s="1847"/>
      <c r="U47" s="1847"/>
      <c r="V47" s="1847"/>
      <c r="W47" s="1847"/>
      <c r="X47" s="1848"/>
      <c r="Y47" s="525">
        <f t="shared" si="30"/>
        <v>0</v>
      </c>
      <c r="Z47" s="551">
        <f t="shared" si="28"/>
        <v>0</v>
      </c>
      <c r="AA47" s="552">
        <f t="shared" si="29"/>
        <v>0</v>
      </c>
      <c r="AB47" s="574"/>
      <c r="AC47" s="574"/>
      <c r="AD47"/>
      <c r="AE47"/>
      <c r="AF47" t="str">
        <f t="shared" si="1"/>
        <v/>
      </c>
      <c r="AG47" t="str">
        <f t="shared" si="2"/>
        <v/>
      </c>
      <c r="AH47" t="str">
        <f t="shared" si="3"/>
        <v/>
      </c>
      <c r="AI47" t="str">
        <f t="shared" si="4"/>
        <v/>
      </c>
      <c r="AJ47" t="str">
        <f t="shared" si="5"/>
        <v/>
      </c>
      <c r="AK47" t="str">
        <f t="shared" si="6"/>
        <v/>
      </c>
      <c r="AL47" t="str">
        <f t="shared" si="7"/>
        <v/>
      </c>
      <c r="AM47" t="str">
        <f t="shared" si="8"/>
        <v/>
      </c>
      <c r="AN47" t="str">
        <f t="shared" si="9"/>
        <v/>
      </c>
      <c r="AO47" t="str">
        <f t="shared" si="10"/>
        <v/>
      </c>
      <c r="AP47" t="str">
        <f t="shared" si="11"/>
        <v/>
      </c>
      <c r="AQ47" t="str">
        <f t="shared" si="12"/>
        <v/>
      </c>
      <c r="AR47" t="str">
        <f t="shared" si="13"/>
        <v/>
      </c>
      <c r="AS47" t="str">
        <f t="shared" si="14"/>
        <v/>
      </c>
      <c r="AT47" t="str">
        <f t="shared" si="15"/>
        <v/>
      </c>
      <c r="AU47" t="str">
        <f t="shared" si="16"/>
        <v/>
      </c>
      <c r="AV47" t="str">
        <f t="shared" si="17"/>
        <v/>
      </c>
      <c r="AW47" t="str">
        <f t="shared" si="18"/>
        <v/>
      </c>
      <c r="AX47" t="str">
        <f t="shared" si="19"/>
        <v/>
      </c>
      <c r="AY47"/>
      <c r="AZ47"/>
      <c r="BA47"/>
      <c r="BB47"/>
      <c r="CN47"/>
      <c r="CO47"/>
      <c r="CP47"/>
      <c r="CQ47"/>
      <c r="CR47"/>
      <c r="CS47"/>
      <c r="CT47"/>
      <c r="CU47"/>
    </row>
    <row r="48" spans="1:99" ht="49.5" customHeight="1">
      <c r="A48" s="2257"/>
      <c r="C48" s="42">
        <f>+PP!B66</f>
        <v>43</v>
      </c>
      <c r="D48" s="229" t="str">
        <f>+PP!C66</f>
        <v>TENTACULO C/B C/V SR 500-1000 g/pza (SUCIO)</v>
      </c>
      <c r="E48" s="2013"/>
      <c r="F48" s="1802"/>
      <c r="G48" s="1802"/>
      <c r="H48" s="1802"/>
      <c r="I48" s="1802"/>
      <c r="J48" s="1802"/>
      <c r="K48" s="1802"/>
      <c r="L48" s="1802"/>
      <c r="M48" s="1802"/>
      <c r="N48" s="1802"/>
      <c r="O48" s="1802"/>
      <c r="P48" s="1802"/>
      <c r="Q48" s="1802"/>
      <c r="R48" s="1802"/>
      <c r="S48" s="1847"/>
      <c r="T48" s="1847"/>
      <c r="U48" s="1847"/>
      <c r="V48" s="1847"/>
      <c r="W48" s="1847"/>
      <c r="X48" s="1848"/>
      <c r="Y48" s="525">
        <f t="shared" si="30"/>
        <v>0</v>
      </c>
      <c r="Z48" s="551">
        <f t="shared" si="28"/>
        <v>0</v>
      </c>
      <c r="AA48" s="552">
        <f t="shared" si="29"/>
        <v>0</v>
      </c>
      <c r="AB48" s="574"/>
      <c r="AC48" s="574"/>
      <c r="AD48"/>
      <c r="AE48"/>
      <c r="AF48" t="str">
        <f t="shared" si="1"/>
        <v/>
      </c>
      <c r="AG48" t="str">
        <f t="shared" si="2"/>
        <v/>
      </c>
      <c r="AH48" t="str">
        <f t="shared" si="3"/>
        <v/>
      </c>
      <c r="AI48" t="str">
        <f t="shared" si="4"/>
        <v/>
      </c>
      <c r="AJ48" t="str">
        <f t="shared" si="5"/>
        <v/>
      </c>
      <c r="AK48" t="str">
        <f t="shared" si="6"/>
        <v/>
      </c>
      <c r="AL48" t="str">
        <f t="shared" si="7"/>
        <v/>
      </c>
      <c r="AM48" t="str">
        <f t="shared" si="8"/>
        <v/>
      </c>
      <c r="AN48" t="str">
        <f t="shared" si="9"/>
        <v/>
      </c>
      <c r="AO48" t="str">
        <f t="shared" si="10"/>
        <v/>
      </c>
      <c r="AP48" t="str">
        <f t="shared" si="11"/>
        <v/>
      </c>
      <c r="AQ48" t="str">
        <f t="shared" si="12"/>
        <v/>
      </c>
      <c r="AR48" t="str">
        <f t="shared" si="13"/>
        <v/>
      </c>
      <c r="AS48" t="str">
        <f t="shared" si="14"/>
        <v/>
      </c>
      <c r="AT48" t="str">
        <f t="shared" si="15"/>
        <v/>
      </c>
      <c r="AU48" t="str">
        <f t="shared" si="16"/>
        <v/>
      </c>
      <c r="AV48" t="str">
        <f t="shared" si="17"/>
        <v/>
      </c>
      <c r="AW48" t="str">
        <f t="shared" si="18"/>
        <v/>
      </c>
      <c r="AX48" t="str">
        <f t="shared" si="19"/>
        <v/>
      </c>
      <c r="AY48"/>
      <c r="AZ48"/>
      <c r="BA48"/>
      <c r="BB48"/>
      <c r="CN48"/>
      <c r="CO48"/>
      <c r="CP48"/>
      <c r="CQ48"/>
      <c r="CR48"/>
      <c r="CS48"/>
      <c r="CT48"/>
      <c r="CU48"/>
    </row>
    <row r="49" spans="1:99" ht="45.75">
      <c r="A49" s="2257"/>
      <c r="C49" s="42">
        <f>+PP!B67</f>
        <v>44</v>
      </c>
      <c r="D49" s="229" t="str">
        <f>+PP!C67</f>
        <v>TENTACULO C/B S/V SR 500-1000 g/pza</v>
      </c>
      <c r="E49" s="2013"/>
      <c r="F49" s="1802"/>
      <c r="G49" s="1802"/>
      <c r="H49" s="1802"/>
      <c r="I49" s="1802"/>
      <c r="J49" s="1802"/>
      <c r="K49" s="1802"/>
      <c r="L49" s="1802"/>
      <c r="M49" s="1802"/>
      <c r="N49" s="1802"/>
      <c r="O49" s="1802"/>
      <c r="P49" s="1802"/>
      <c r="Q49" s="1802"/>
      <c r="R49" s="1802"/>
      <c r="S49" s="1847"/>
      <c r="T49" s="1847"/>
      <c r="U49" s="1847"/>
      <c r="V49" s="1847"/>
      <c r="W49" s="1847"/>
      <c r="X49" s="1848"/>
      <c r="Y49" s="525">
        <f t="shared" si="30"/>
        <v>0</v>
      </c>
      <c r="Z49" s="551">
        <f t="shared" si="28"/>
        <v>0</v>
      </c>
      <c r="AA49" s="552">
        <f t="shared" si="29"/>
        <v>0</v>
      </c>
      <c r="AB49" s="574"/>
      <c r="AC49" s="574"/>
      <c r="AD49"/>
      <c r="AE49"/>
      <c r="AF49" t="str">
        <f t="shared" si="1"/>
        <v/>
      </c>
      <c r="AG49" t="str">
        <f t="shared" si="2"/>
        <v/>
      </c>
      <c r="AH49" t="str">
        <f t="shared" si="3"/>
        <v/>
      </c>
      <c r="AI49" t="str">
        <f t="shared" si="4"/>
        <v/>
      </c>
      <c r="AJ49" t="str">
        <f t="shared" si="5"/>
        <v/>
      </c>
      <c r="AK49" t="str">
        <f t="shared" si="6"/>
        <v/>
      </c>
      <c r="AL49" t="str">
        <f t="shared" si="7"/>
        <v/>
      </c>
      <c r="AM49" t="str">
        <f t="shared" si="8"/>
        <v/>
      </c>
      <c r="AN49" t="str">
        <f t="shared" si="9"/>
        <v/>
      </c>
      <c r="AO49" t="str">
        <f t="shared" si="10"/>
        <v/>
      </c>
      <c r="AP49" t="str">
        <f t="shared" si="11"/>
        <v/>
      </c>
      <c r="AQ49" t="str">
        <f t="shared" si="12"/>
        <v/>
      </c>
      <c r="AR49" t="str">
        <f t="shared" si="13"/>
        <v/>
      </c>
      <c r="AS49" t="str">
        <f t="shared" si="14"/>
        <v/>
      </c>
      <c r="AT49" t="str">
        <f t="shared" si="15"/>
        <v/>
      </c>
      <c r="AU49" t="str">
        <f t="shared" si="16"/>
        <v/>
      </c>
      <c r="AV49" t="str">
        <f t="shared" si="17"/>
        <v/>
      </c>
      <c r="AW49" t="str">
        <f t="shared" si="18"/>
        <v/>
      </c>
      <c r="AX49" t="str">
        <f t="shared" si="19"/>
        <v/>
      </c>
      <c r="AY49"/>
      <c r="AZ49"/>
      <c r="BA49"/>
      <c r="BB49"/>
      <c r="CN49"/>
      <c r="CO49"/>
      <c r="CP49"/>
      <c r="CQ49"/>
      <c r="CR49"/>
      <c r="CS49"/>
      <c r="CT49"/>
      <c r="CU49"/>
    </row>
    <row r="50" spans="1:99" ht="45.75">
      <c r="A50" s="2257"/>
      <c r="C50" s="42">
        <f>+PP!B68</f>
        <v>45</v>
      </c>
      <c r="D50" s="229" t="str">
        <f>+PP!C68</f>
        <v>TENTACULO C/B C/V SR 1.0-2.0 Kg/pza (SUCIO)</v>
      </c>
      <c r="E50" s="2013"/>
      <c r="F50" s="1802"/>
      <c r="G50" s="1802"/>
      <c r="H50" s="1802"/>
      <c r="I50" s="1802"/>
      <c r="J50" s="1802"/>
      <c r="K50" s="1802"/>
      <c r="L50" s="1802"/>
      <c r="M50" s="1802"/>
      <c r="N50" s="1802"/>
      <c r="O50" s="1802"/>
      <c r="P50" s="1802"/>
      <c r="Q50" s="1802"/>
      <c r="R50" s="1802"/>
      <c r="S50" s="1847"/>
      <c r="T50" s="1847"/>
      <c r="U50" s="1847"/>
      <c r="V50" s="1847"/>
      <c r="W50" s="1847"/>
      <c r="X50" s="1848"/>
      <c r="Y50" s="525">
        <f t="shared" si="30"/>
        <v>0</v>
      </c>
      <c r="Z50" s="551">
        <f t="shared" si="28"/>
        <v>0</v>
      </c>
      <c r="AA50" s="552">
        <f t="shared" si="29"/>
        <v>0</v>
      </c>
      <c r="AB50" s="574"/>
      <c r="AC50" s="574"/>
      <c r="AD50"/>
      <c r="AE50"/>
      <c r="AF50" t="str">
        <f t="shared" si="1"/>
        <v/>
      </c>
      <c r="AG50" t="str">
        <f t="shared" si="2"/>
        <v/>
      </c>
      <c r="AH50" t="str">
        <f t="shared" si="3"/>
        <v/>
      </c>
      <c r="AI50" t="str">
        <f t="shared" si="4"/>
        <v/>
      </c>
      <c r="AJ50" t="str">
        <f t="shared" si="5"/>
        <v/>
      </c>
      <c r="AK50" t="str">
        <f t="shared" si="6"/>
        <v/>
      </c>
      <c r="AL50" t="str">
        <f t="shared" si="7"/>
        <v/>
      </c>
      <c r="AM50" t="str">
        <f t="shared" si="8"/>
        <v/>
      </c>
      <c r="AN50" t="str">
        <f t="shared" si="9"/>
        <v/>
      </c>
      <c r="AO50" t="str">
        <f t="shared" si="10"/>
        <v/>
      </c>
      <c r="AP50" t="str">
        <f t="shared" si="11"/>
        <v/>
      </c>
      <c r="AQ50" t="str">
        <f t="shared" si="12"/>
        <v/>
      </c>
      <c r="AR50" t="str">
        <f t="shared" si="13"/>
        <v/>
      </c>
      <c r="AS50" t="str">
        <f t="shared" si="14"/>
        <v/>
      </c>
      <c r="AT50" t="str">
        <f t="shared" si="15"/>
        <v/>
      </c>
      <c r="AU50" t="str">
        <f t="shared" si="16"/>
        <v/>
      </c>
      <c r="AV50" t="str">
        <f t="shared" si="17"/>
        <v/>
      </c>
      <c r="AW50" t="str">
        <f t="shared" si="18"/>
        <v/>
      </c>
      <c r="AX50" t="str">
        <f t="shared" si="19"/>
        <v/>
      </c>
      <c r="AY50"/>
      <c r="AZ50"/>
      <c r="BA50"/>
      <c r="BB50"/>
      <c r="CN50"/>
      <c r="CO50"/>
      <c r="CP50"/>
      <c r="CQ50"/>
      <c r="CR50"/>
      <c r="CS50"/>
      <c r="CT50"/>
      <c r="CU50"/>
    </row>
    <row r="51" spans="1:99" ht="46.5" thickBot="1">
      <c r="A51" s="2257"/>
      <c r="C51" s="537">
        <f>+PP!B69</f>
        <v>46</v>
      </c>
      <c r="D51" s="230" t="str">
        <f>+PP!C69</f>
        <v>TENTACULO C/B S/V SR 1.0-2.0 Kg/pza</v>
      </c>
      <c r="E51" s="2014"/>
      <c r="F51" s="1829"/>
      <c r="G51" s="1829"/>
      <c r="H51" s="1829"/>
      <c r="I51" s="1829"/>
      <c r="J51" s="1829"/>
      <c r="K51" s="1829"/>
      <c r="L51" s="1829"/>
      <c r="M51" s="1829"/>
      <c r="N51" s="1829"/>
      <c r="O51" s="1829"/>
      <c r="P51" s="1829"/>
      <c r="Q51" s="1829"/>
      <c r="R51" s="1829"/>
      <c r="S51" s="1850"/>
      <c r="T51" s="1850"/>
      <c r="U51" s="1850"/>
      <c r="V51" s="1850"/>
      <c r="W51" s="1850"/>
      <c r="X51" s="1851"/>
      <c r="Y51" s="1032">
        <f t="shared" si="30"/>
        <v>0</v>
      </c>
      <c r="Z51" s="555">
        <f t="shared" si="28"/>
        <v>0</v>
      </c>
      <c r="AA51" s="556">
        <f t="shared" si="29"/>
        <v>0</v>
      </c>
      <c r="AB51" s="574"/>
      <c r="AC51" s="574"/>
      <c r="AD51"/>
      <c r="AE51"/>
      <c r="AF51" t="str">
        <f t="shared" si="1"/>
        <v/>
      </c>
      <c r="AG51" t="str">
        <f t="shared" si="2"/>
        <v/>
      </c>
      <c r="AH51" t="str">
        <f t="shared" si="3"/>
        <v/>
      </c>
      <c r="AI51" t="str">
        <f t="shared" si="4"/>
        <v/>
      </c>
      <c r="AJ51" t="str">
        <f t="shared" si="5"/>
        <v/>
      </c>
      <c r="AK51" t="str">
        <f t="shared" si="6"/>
        <v/>
      </c>
      <c r="AL51" t="str">
        <f t="shared" si="7"/>
        <v/>
      </c>
      <c r="AM51" t="str">
        <f t="shared" si="8"/>
        <v/>
      </c>
      <c r="AN51" t="str">
        <f t="shared" si="9"/>
        <v/>
      </c>
      <c r="AO51" t="str">
        <f t="shared" si="10"/>
        <v/>
      </c>
      <c r="AP51" t="str">
        <f t="shared" si="11"/>
        <v/>
      </c>
      <c r="AQ51" t="str">
        <f t="shared" si="12"/>
        <v/>
      </c>
      <c r="AR51" t="str">
        <f t="shared" si="13"/>
        <v/>
      </c>
      <c r="AS51" t="str">
        <f t="shared" si="14"/>
        <v/>
      </c>
      <c r="AT51" t="str">
        <f t="shared" si="15"/>
        <v/>
      </c>
      <c r="AU51" t="str">
        <f t="shared" si="16"/>
        <v/>
      </c>
      <c r="AV51" t="str">
        <f t="shared" si="17"/>
        <v/>
      </c>
      <c r="AW51" t="str">
        <f t="shared" si="18"/>
        <v/>
      </c>
      <c r="AX51" t="str">
        <f t="shared" si="19"/>
        <v/>
      </c>
      <c r="AY51"/>
      <c r="AZ51"/>
      <c r="BA51"/>
      <c r="BB51"/>
      <c r="CN51"/>
      <c r="CO51"/>
      <c r="CP51"/>
      <c r="CQ51"/>
      <c r="CR51"/>
      <c r="CS51"/>
      <c r="CT51"/>
      <c r="CU51"/>
    </row>
    <row r="52" spans="1:99" ht="46.5" thickBot="1">
      <c r="A52" s="2257"/>
      <c r="C52" s="526">
        <f>+PP!B70</f>
        <v>47</v>
      </c>
      <c r="D52" s="538" t="str">
        <f>+PP!C70</f>
        <v>TENTACULO C/B S/V SR 2 UP Kg/pza</v>
      </c>
      <c r="E52" s="2979"/>
      <c r="F52" s="2980"/>
      <c r="G52" s="2980"/>
      <c r="H52" s="2980"/>
      <c r="I52" s="2980"/>
      <c r="J52" s="2980"/>
      <c r="K52" s="2980"/>
      <c r="L52" s="2980"/>
      <c r="M52" s="2980"/>
      <c r="N52" s="2980"/>
      <c r="O52" s="2980"/>
      <c r="P52" s="2980"/>
      <c r="Q52" s="2980"/>
      <c r="R52" s="2980"/>
      <c r="S52" s="2981"/>
      <c r="T52" s="2981"/>
      <c r="U52" s="2981"/>
      <c r="V52" s="2981"/>
      <c r="W52" s="2981"/>
      <c r="X52" s="2982"/>
      <c r="Y52" s="527">
        <f t="shared" si="30"/>
        <v>0</v>
      </c>
      <c r="Z52" s="1793">
        <f t="shared" si="28"/>
        <v>0</v>
      </c>
      <c r="AA52" s="557">
        <f t="shared" si="29"/>
        <v>0</v>
      </c>
      <c r="AB52" s="574"/>
      <c r="AC52" s="574"/>
      <c r="AD52"/>
      <c r="AE52"/>
      <c r="AF52" t="str">
        <f t="shared" si="1"/>
        <v/>
      </c>
      <c r="AG52" t="str">
        <f t="shared" si="2"/>
        <v/>
      </c>
      <c r="AH52" t="str">
        <f t="shared" si="3"/>
        <v/>
      </c>
      <c r="AI52" t="str">
        <f t="shared" si="4"/>
        <v/>
      </c>
      <c r="AJ52" t="str">
        <f t="shared" si="5"/>
        <v/>
      </c>
      <c r="AK52" t="str">
        <f t="shared" si="6"/>
        <v/>
      </c>
      <c r="AL52" t="str">
        <f t="shared" si="7"/>
        <v/>
      </c>
      <c r="AM52" t="str">
        <f t="shared" si="8"/>
        <v/>
      </c>
      <c r="AN52" t="str">
        <f t="shared" si="9"/>
        <v/>
      </c>
      <c r="AO52" t="str">
        <f t="shared" si="10"/>
        <v/>
      </c>
      <c r="AP52" t="str">
        <f t="shared" si="11"/>
        <v/>
      </c>
      <c r="AQ52" t="str">
        <f t="shared" si="12"/>
        <v/>
      </c>
      <c r="AR52" t="str">
        <f t="shared" si="13"/>
        <v/>
      </c>
      <c r="AS52" t="str">
        <f t="shared" si="14"/>
        <v/>
      </c>
      <c r="AT52" t="str">
        <f t="shared" si="15"/>
        <v/>
      </c>
      <c r="AU52" t="str">
        <f t="shared" si="16"/>
        <v/>
      </c>
      <c r="AV52" t="str">
        <f t="shared" si="17"/>
        <v/>
      </c>
      <c r="AW52" t="str">
        <f t="shared" si="18"/>
        <v/>
      </c>
      <c r="AX52" t="str">
        <f t="shared" si="19"/>
        <v/>
      </c>
      <c r="AY52"/>
      <c r="AZ52"/>
      <c r="BA52"/>
      <c r="BB52"/>
      <c r="CN52"/>
      <c r="CO52"/>
      <c r="CP52"/>
      <c r="CQ52"/>
      <c r="CR52"/>
      <c r="CS52"/>
      <c r="CT52"/>
      <c r="CU52"/>
    </row>
    <row r="53" spans="1:99" ht="46.5" thickBot="1">
      <c r="A53" s="2257"/>
      <c r="C53" s="677">
        <f>+PP!B71</f>
        <v>48</v>
      </c>
      <c r="D53" s="1021" t="str">
        <f>+PP!C71</f>
        <v>TUBO ALETA 500-1000 g/pza</v>
      </c>
      <c r="E53" s="2984"/>
      <c r="F53" s="2985"/>
      <c r="G53" s="2985"/>
      <c r="H53" s="2985"/>
      <c r="I53" s="2985"/>
      <c r="J53" s="2985"/>
      <c r="K53" s="2985"/>
      <c r="L53" s="2985"/>
      <c r="M53" s="2985"/>
      <c r="N53" s="2985"/>
      <c r="O53" s="2985"/>
      <c r="P53" s="2985"/>
      <c r="Q53" s="2985"/>
      <c r="R53" s="2986"/>
      <c r="S53" s="2986"/>
      <c r="T53" s="2986"/>
      <c r="U53" s="2986"/>
      <c r="V53" s="2986"/>
      <c r="W53" s="2986"/>
      <c r="X53" s="2987"/>
      <c r="Y53" s="1770">
        <f t="shared" si="30"/>
        <v>0</v>
      </c>
      <c r="Z53" s="1794">
        <f t="shared" si="28"/>
        <v>0</v>
      </c>
      <c r="AA53" s="554">
        <f t="shared" si="29"/>
        <v>0</v>
      </c>
      <c r="AB53" s="574"/>
      <c r="AC53" s="574"/>
      <c r="AD53"/>
      <c r="AE53"/>
      <c r="AF53" t="str">
        <f t="shared" si="1"/>
        <v/>
      </c>
      <c r="AG53" t="str">
        <f t="shared" si="2"/>
        <v/>
      </c>
      <c r="AH53" t="str">
        <f t="shared" si="3"/>
        <v/>
      </c>
      <c r="AI53" t="str">
        <f t="shared" si="4"/>
        <v/>
      </c>
      <c r="AJ53" t="str">
        <f t="shared" si="5"/>
        <v/>
      </c>
      <c r="AK53" t="str">
        <f t="shared" si="6"/>
        <v/>
      </c>
      <c r="AL53" t="str">
        <f t="shared" si="7"/>
        <v/>
      </c>
      <c r="AM53" t="str">
        <f t="shared" si="8"/>
        <v/>
      </c>
      <c r="AN53" t="str">
        <f t="shared" si="9"/>
        <v/>
      </c>
      <c r="AO53" t="str">
        <f t="shared" si="10"/>
        <v/>
      </c>
      <c r="AP53" t="str">
        <f t="shared" si="11"/>
        <v/>
      </c>
      <c r="AQ53" t="str">
        <f t="shared" si="12"/>
        <v/>
      </c>
      <c r="AR53" t="str">
        <f t="shared" si="13"/>
        <v/>
      </c>
      <c r="AS53" t="str">
        <f t="shared" si="14"/>
        <v/>
      </c>
      <c r="AT53" t="str">
        <f t="shared" si="15"/>
        <v/>
      </c>
      <c r="AU53" t="str">
        <f t="shared" si="16"/>
        <v/>
      </c>
      <c r="AV53" t="str">
        <f t="shared" si="17"/>
        <v/>
      </c>
      <c r="AW53" t="str">
        <f t="shared" si="18"/>
        <v/>
      </c>
      <c r="AX53" t="str">
        <f t="shared" si="19"/>
        <v/>
      </c>
      <c r="AY53"/>
      <c r="AZ53"/>
      <c r="BA53"/>
      <c r="BB53"/>
      <c r="CN53"/>
      <c r="CO53"/>
      <c r="CP53"/>
      <c r="CQ53"/>
      <c r="CR53"/>
      <c r="CS53"/>
      <c r="CT53"/>
      <c r="CU53"/>
    </row>
    <row r="54" spans="1:99" ht="46.5" thickBot="1">
      <c r="A54" s="2257"/>
      <c r="C54" s="564"/>
      <c r="D54" s="1791" t="s">
        <v>38</v>
      </c>
      <c r="E54" s="528">
        <f t="shared" ref="E54:AA54" si="32">SUM(E6:E53)</f>
        <v>0</v>
      </c>
      <c r="F54" s="70">
        <f t="shared" si="32"/>
        <v>0</v>
      </c>
      <c r="G54" s="70">
        <f t="shared" si="32"/>
        <v>0</v>
      </c>
      <c r="H54" s="70">
        <f t="shared" si="32"/>
        <v>0</v>
      </c>
      <c r="I54" s="70">
        <f t="shared" si="32"/>
        <v>0</v>
      </c>
      <c r="J54" s="70">
        <f t="shared" si="32"/>
        <v>0</v>
      </c>
      <c r="K54" s="70">
        <f t="shared" si="32"/>
        <v>0</v>
      </c>
      <c r="L54" s="70">
        <f t="shared" si="32"/>
        <v>0</v>
      </c>
      <c r="M54" s="70">
        <f t="shared" si="32"/>
        <v>0</v>
      </c>
      <c r="N54" s="70">
        <f t="shared" si="32"/>
        <v>0</v>
      </c>
      <c r="O54" s="70">
        <f t="shared" si="32"/>
        <v>0</v>
      </c>
      <c r="P54" s="70">
        <f t="shared" si="32"/>
        <v>0</v>
      </c>
      <c r="Q54" s="70">
        <f t="shared" si="32"/>
        <v>0</v>
      </c>
      <c r="R54" s="70">
        <f t="shared" si="32"/>
        <v>0</v>
      </c>
      <c r="S54" s="70">
        <f t="shared" si="32"/>
        <v>0</v>
      </c>
      <c r="T54" s="1833">
        <f t="shared" si="32"/>
        <v>0</v>
      </c>
      <c r="U54" s="70">
        <f t="shared" si="32"/>
        <v>0</v>
      </c>
      <c r="V54" s="70">
        <f t="shared" si="32"/>
        <v>0</v>
      </c>
      <c r="W54" s="70">
        <f t="shared" si="32"/>
        <v>0</v>
      </c>
      <c r="X54" s="70">
        <f t="shared" si="32"/>
        <v>0</v>
      </c>
      <c r="Y54" s="1795">
        <f t="shared" si="32"/>
        <v>0</v>
      </c>
      <c r="Z54" s="1695">
        <f t="shared" si="32"/>
        <v>0</v>
      </c>
      <c r="AA54" s="1205">
        <f t="shared" si="32"/>
        <v>0</v>
      </c>
      <c r="AB54" s="592"/>
      <c r="AC54" s="592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CN54"/>
      <c r="CO54"/>
      <c r="CP54"/>
      <c r="CQ54"/>
      <c r="CR54"/>
      <c r="CS54"/>
      <c r="CT54"/>
      <c r="CU54"/>
    </row>
    <row r="55" spans="1:99" ht="30.75" thickBot="1">
      <c r="A55" s="30"/>
      <c r="D55" s="30"/>
      <c r="E55" s="1804"/>
      <c r="F55" s="1804"/>
      <c r="G55" s="1804"/>
      <c r="H55" s="1804"/>
      <c r="I55" s="1804"/>
      <c r="J55" s="1804"/>
      <c r="K55" s="1804"/>
      <c r="L55" s="1804"/>
      <c r="M55" s="1804"/>
      <c r="N55" s="1804"/>
      <c r="O55" s="1804"/>
      <c r="P55" s="1804"/>
      <c r="Q55" s="1804"/>
      <c r="R55" s="1805"/>
      <c r="S55" s="1805"/>
      <c r="T55" s="1804"/>
      <c r="U55" s="1805"/>
      <c r="V55" s="1801"/>
      <c r="W55" s="1801"/>
      <c r="X55" s="1801"/>
      <c r="CN55"/>
      <c r="CO55"/>
      <c r="CP55"/>
      <c r="CQ55"/>
      <c r="CR55"/>
      <c r="CS55"/>
      <c r="CT55"/>
      <c r="CU55"/>
    </row>
    <row r="56" spans="1:99" ht="46.5" thickBot="1">
      <c r="D56" s="46" t="s">
        <v>118</v>
      </c>
      <c r="E56" s="2258" t="s">
        <v>119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60"/>
      <c r="S56" s="2260"/>
      <c r="T56" s="2260"/>
      <c r="U56" s="2260"/>
      <c r="V56" s="2260"/>
      <c r="W56" s="2260"/>
      <c r="X56" s="2261"/>
      <c r="CL56" s="33" t="s">
        <v>77</v>
      </c>
      <c r="CN56"/>
      <c r="CO56"/>
      <c r="CP56"/>
      <c r="CQ56"/>
      <c r="CR56"/>
      <c r="CS56"/>
      <c r="CT56"/>
      <c r="CU56"/>
    </row>
    <row r="57" spans="1:99" ht="30">
      <c r="F57" s="1804"/>
      <c r="G57" s="1804"/>
      <c r="H57" s="1804"/>
      <c r="I57" s="1804"/>
      <c r="J57" s="1804"/>
      <c r="K57" s="1804"/>
      <c r="L57" s="1804"/>
      <c r="M57" s="1804"/>
      <c r="R57" s="1806"/>
      <c r="S57" s="1801"/>
      <c r="U57" s="1801"/>
      <c r="V57" s="1801"/>
      <c r="W57" s="1801"/>
      <c r="X57" s="1801"/>
      <c r="CN57"/>
      <c r="CO57"/>
      <c r="CP57"/>
      <c r="CQ57"/>
      <c r="CR57"/>
      <c r="CS57"/>
      <c r="CT57"/>
      <c r="CU57"/>
    </row>
    <row r="58" spans="1:99" ht="45.75">
      <c r="F58" s="1804"/>
      <c r="G58" s="1804"/>
      <c r="H58" s="1804"/>
      <c r="I58" s="1804"/>
      <c r="J58" s="1804"/>
      <c r="K58" s="1804"/>
      <c r="L58" s="1804"/>
      <c r="M58" s="1804"/>
      <c r="R58" s="1801"/>
      <c r="S58" s="1801"/>
      <c r="U58" s="1801"/>
      <c r="V58" s="1801"/>
      <c r="W58" s="1801"/>
      <c r="X58" s="1801"/>
      <c r="AA58" s="98"/>
      <c r="AB58" s="98"/>
      <c r="AC58" s="98"/>
      <c r="CN58"/>
      <c r="CO58"/>
      <c r="CP58"/>
      <c r="CQ58"/>
      <c r="CR58"/>
      <c r="CS58"/>
      <c r="CT58"/>
      <c r="CU58"/>
    </row>
    <row r="59" spans="1:99" ht="30.75" thickBot="1">
      <c r="F59" s="1804"/>
      <c r="G59" s="1804"/>
      <c r="H59" s="1804"/>
      <c r="I59" s="1804"/>
      <c r="J59" s="1804"/>
      <c r="K59" s="1804"/>
      <c r="L59" s="1804"/>
      <c r="M59" s="1804"/>
      <c r="N59" s="1804"/>
      <c r="O59" s="1804"/>
      <c r="P59" s="1804"/>
      <c r="Q59" s="1804"/>
      <c r="R59" s="1805"/>
      <c r="S59" s="1805"/>
      <c r="T59" s="1804"/>
      <c r="U59" s="1805"/>
      <c r="V59" s="1801"/>
      <c r="W59" s="1801"/>
      <c r="X59" s="1801"/>
      <c r="CN59"/>
      <c r="CO59"/>
      <c r="CP59"/>
      <c r="CQ59"/>
      <c r="CR59"/>
      <c r="CS59"/>
      <c r="CT59"/>
      <c r="CU59"/>
    </row>
    <row r="60" spans="1:99" ht="33.950000000000003" customHeight="1" thickTop="1" thickBot="1">
      <c r="D60" s="2526" t="s">
        <v>657</v>
      </c>
      <c r="E60" s="2527"/>
      <c r="F60" s="2527"/>
      <c r="G60" s="2527"/>
      <c r="H60" s="2527"/>
      <c r="I60" s="2527"/>
      <c r="J60" s="2528"/>
      <c r="K60" s="1807"/>
      <c r="O60" s="1804"/>
      <c r="P60" s="1804"/>
      <c r="Q60" s="2580" t="s">
        <v>604</v>
      </c>
      <c r="R60" s="2581"/>
      <c r="S60" s="2581"/>
      <c r="T60" s="1804"/>
      <c r="U60" s="1805"/>
      <c r="V60" s="1801"/>
      <c r="W60" s="1801"/>
      <c r="X60" s="1801"/>
      <c r="CN60"/>
      <c r="CO60"/>
      <c r="CP60"/>
      <c r="CQ60"/>
      <c r="CR60"/>
      <c r="CS60"/>
      <c r="CT60"/>
      <c r="CU60"/>
    </row>
    <row r="61" spans="1:99" ht="30.95" customHeight="1" thickTop="1">
      <c r="D61" s="2532" t="s">
        <v>15</v>
      </c>
      <c r="E61" s="2533"/>
      <c r="F61" s="2533"/>
      <c r="G61" s="2533"/>
      <c r="H61" s="1808" t="s">
        <v>186</v>
      </c>
      <c r="I61" s="1808" t="s">
        <v>637</v>
      </c>
      <c r="J61" s="1808" t="s">
        <v>637</v>
      </c>
      <c r="K61" s="1808" t="s">
        <v>637</v>
      </c>
      <c r="L61" s="1808" t="s">
        <v>637</v>
      </c>
      <c r="M61" s="1467" t="s">
        <v>502</v>
      </c>
      <c r="O61" s="1809"/>
      <c r="P61" s="1804"/>
      <c r="Q61" s="2573" t="s">
        <v>658</v>
      </c>
      <c r="R61" s="2574"/>
      <c r="S61" s="1820">
        <f>+AA54</f>
        <v>0</v>
      </c>
      <c r="T61" s="1804"/>
      <c r="U61" s="1805"/>
      <c r="V61" s="1801"/>
      <c r="W61" s="1801"/>
      <c r="X61" s="1801"/>
    </row>
    <row r="62" spans="1:99" ht="30.95" customHeight="1">
      <c r="D62" s="2521">
        <v>1</v>
      </c>
      <c r="E62" s="2522"/>
      <c r="F62" s="2522"/>
      <c r="G62" s="2522"/>
      <c r="H62" s="1810" t="str">
        <f>+'T1'!E62</f>
        <v xml:space="preserve">ANDRES </v>
      </c>
      <c r="I62" s="1811"/>
      <c r="J62" s="1812"/>
      <c r="K62" s="1811"/>
      <c r="L62" s="1811"/>
      <c r="M62" s="1813">
        <f>SUM(I62+J62+K62+L62)</f>
        <v>0</v>
      </c>
      <c r="O62" s="1814"/>
      <c r="P62" s="1804"/>
      <c r="Q62" s="2575" t="s">
        <v>8</v>
      </c>
      <c r="R62" s="2574"/>
      <c r="S62" s="1820">
        <f>M73</f>
        <v>0</v>
      </c>
      <c r="T62" s="1804"/>
      <c r="U62" s="1805"/>
      <c r="V62" s="1801"/>
      <c r="W62" s="1801"/>
      <c r="X62" s="1801"/>
    </row>
    <row r="63" spans="1:99" ht="30.95" customHeight="1">
      <c r="D63" s="2521">
        <v>2</v>
      </c>
      <c r="E63" s="2522"/>
      <c r="F63" s="2522"/>
      <c r="G63" s="2522"/>
      <c r="H63" s="1810" t="str">
        <f>+'T1'!E63</f>
        <v xml:space="preserve">FLOR </v>
      </c>
      <c r="I63" s="1815"/>
      <c r="J63" s="1815"/>
      <c r="K63" s="1815"/>
      <c r="L63" s="1815"/>
      <c r="M63" s="1813">
        <f t="shared" ref="M63:M72" si="33">SUM(I63+J63+K63+L63)</f>
        <v>0</v>
      </c>
      <c r="O63" s="1814"/>
      <c r="P63" s="1804"/>
      <c r="Q63" s="2571" t="s">
        <v>659</v>
      </c>
      <c r="R63" s="2576"/>
      <c r="S63" s="1816">
        <f>S61-S62</f>
        <v>0</v>
      </c>
      <c r="T63" s="1804"/>
      <c r="U63" s="1804"/>
    </row>
    <row r="64" spans="1:99" ht="30.95" customHeight="1">
      <c r="D64" s="2521">
        <v>3</v>
      </c>
      <c r="E64" s="2522"/>
      <c r="F64" s="2522"/>
      <c r="G64" s="2522"/>
      <c r="H64" s="1810" t="str">
        <f>+'T1'!E64</f>
        <v>HANNOY</v>
      </c>
      <c r="I64" s="1812"/>
      <c r="J64" s="1812"/>
      <c r="K64" s="1811"/>
      <c r="L64" s="1811"/>
      <c r="M64" s="1813">
        <f t="shared" si="33"/>
        <v>0</v>
      </c>
      <c r="O64" s="1814"/>
      <c r="P64" s="1804"/>
      <c r="Q64" s="2571" t="s">
        <v>449</v>
      </c>
      <c r="R64" s="2571"/>
      <c r="S64" s="1817" t="str">
        <f>IF(S63&lt;0,"SOBRA",IF(S63&gt;0,"FALTA","OK"))</f>
        <v>OK</v>
      </c>
      <c r="T64" s="1804"/>
      <c r="U64" s="1804"/>
    </row>
    <row r="65" spans="4:19" ht="30.95" customHeight="1">
      <c r="D65" s="2521">
        <v>4</v>
      </c>
      <c r="E65" s="2522"/>
      <c r="F65" s="2522"/>
      <c r="G65" s="2522"/>
      <c r="H65" s="1810" t="str">
        <f>+'T1'!E65</f>
        <v>CHERLITA</v>
      </c>
      <c r="I65" s="1812"/>
      <c r="J65" s="1811"/>
      <c r="K65" s="1811"/>
      <c r="L65" s="1811"/>
      <c r="M65" s="1813">
        <f t="shared" si="33"/>
        <v>0</v>
      </c>
      <c r="O65" s="1814"/>
      <c r="Q65" s="1807"/>
      <c r="R65" s="1807"/>
      <c r="S65" s="1807"/>
    </row>
    <row r="66" spans="4:19" ht="33.950000000000003" customHeight="1">
      <c r="D66" s="2521">
        <v>5</v>
      </c>
      <c r="E66" s="2522"/>
      <c r="F66" s="2522"/>
      <c r="G66" s="2522"/>
      <c r="H66" s="1810" t="str">
        <f>+'T1'!E66</f>
        <v>CHARLY</v>
      </c>
      <c r="I66" s="1812"/>
      <c r="J66" s="1812"/>
      <c r="K66" s="1811"/>
      <c r="L66" s="1811"/>
      <c r="M66" s="1813">
        <f t="shared" si="33"/>
        <v>0</v>
      </c>
      <c r="O66" s="1814"/>
      <c r="Q66" s="2572" t="s">
        <v>660</v>
      </c>
      <c r="R66" s="2570"/>
      <c r="S66" s="2570"/>
    </row>
    <row r="67" spans="4:19" ht="33.950000000000003" customHeight="1">
      <c r="D67" s="2521">
        <v>6</v>
      </c>
      <c r="E67" s="2522"/>
      <c r="F67" s="2522"/>
      <c r="G67" s="2522"/>
      <c r="H67" s="1810" t="str">
        <f>+'T1'!E67</f>
        <v>POLANCO</v>
      </c>
      <c r="I67" s="1811"/>
      <c r="J67" s="1811"/>
      <c r="K67" s="1811"/>
      <c r="L67" s="1811"/>
      <c r="M67" s="1813">
        <f t="shared" si="33"/>
        <v>0</v>
      </c>
      <c r="O67" s="1814"/>
      <c r="Q67" s="2570" t="s">
        <v>662</v>
      </c>
      <c r="R67" s="2570"/>
      <c r="S67" s="2570"/>
    </row>
    <row r="68" spans="4:19" ht="33.950000000000003" customHeight="1">
      <c r="D68" s="2521">
        <v>7</v>
      </c>
      <c r="E68" s="2522"/>
      <c r="F68" s="2522"/>
      <c r="G68" s="2522"/>
      <c r="H68" s="1810" t="str">
        <f>+'T1'!E68</f>
        <v>ELIANA</v>
      </c>
      <c r="I68" s="1811"/>
      <c r="J68" s="1811"/>
      <c r="K68" s="1811"/>
      <c r="L68" s="1811"/>
      <c r="M68" s="1813">
        <f t="shared" si="33"/>
        <v>0</v>
      </c>
      <c r="O68" s="1814"/>
    </row>
    <row r="69" spans="4:19" ht="33.950000000000003" customHeight="1">
      <c r="D69" s="2521">
        <v>8</v>
      </c>
      <c r="E69" s="2522"/>
      <c r="F69" s="2522"/>
      <c r="G69" s="2522"/>
      <c r="H69" s="1810" t="str">
        <f>+'T1'!E69</f>
        <v>ALENET</v>
      </c>
      <c r="I69" s="1811"/>
      <c r="J69" s="1811"/>
      <c r="K69" s="1811"/>
      <c r="L69" s="1811"/>
      <c r="M69" s="1813">
        <f t="shared" si="33"/>
        <v>0</v>
      </c>
      <c r="O69" s="1814"/>
    </row>
    <row r="70" spans="4:19" ht="33.950000000000003" customHeight="1">
      <c r="D70" s="2521">
        <v>9</v>
      </c>
      <c r="E70" s="2522"/>
      <c r="F70" s="2522"/>
      <c r="G70" s="2522"/>
      <c r="H70" s="1810" t="str">
        <f>+'T1'!E70</f>
        <v>ERIKA</v>
      </c>
      <c r="I70" s="1811"/>
      <c r="J70" s="1811"/>
      <c r="K70" s="1811"/>
      <c r="L70" s="1811"/>
      <c r="M70" s="1813">
        <f t="shared" si="33"/>
        <v>0</v>
      </c>
      <c r="O70" s="1814"/>
    </row>
    <row r="71" spans="4:19" ht="30.95" customHeight="1">
      <c r="D71" s="2521">
        <v>10</v>
      </c>
      <c r="E71" s="2522"/>
      <c r="F71" s="2522"/>
      <c r="G71" s="2522"/>
      <c r="H71" s="1810" t="str">
        <f>+'T1'!E71</f>
        <v>MARILU</v>
      </c>
      <c r="I71" s="1812"/>
      <c r="J71" s="1811"/>
      <c r="K71" s="1811"/>
      <c r="L71" s="1811"/>
      <c r="M71" s="1813">
        <f t="shared" si="33"/>
        <v>0</v>
      </c>
      <c r="O71" s="1814"/>
    </row>
    <row r="72" spans="4:19" ht="30.95" customHeight="1">
      <c r="D72" s="2521">
        <v>11</v>
      </c>
      <c r="E72" s="2522"/>
      <c r="F72" s="2522"/>
      <c r="G72" s="2522"/>
      <c r="H72" s="1810" t="str">
        <f>+'T1'!E72</f>
        <v>WALLDO</v>
      </c>
      <c r="I72" s="1811"/>
      <c r="J72" s="1811"/>
      <c r="K72" s="1811"/>
      <c r="L72" s="1811"/>
      <c r="M72" s="1813">
        <f t="shared" si="33"/>
        <v>0</v>
      </c>
      <c r="O72" s="1814"/>
    </row>
    <row r="73" spans="4:19" ht="30.95" customHeight="1" thickBot="1">
      <c r="D73" s="2523" t="s">
        <v>3</v>
      </c>
      <c r="E73" s="2524"/>
      <c r="F73" s="2524"/>
      <c r="G73" s="2524"/>
      <c r="H73" s="2524"/>
      <c r="I73" s="1818">
        <f>SUM(I62:I72)</f>
        <v>0</v>
      </c>
      <c r="J73" s="1818">
        <f>SUM(J62:J72)</f>
        <v>0</v>
      </c>
      <c r="K73" s="1818">
        <f>SUM(K62:K72)</f>
        <v>0</v>
      </c>
      <c r="L73" s="1818">
        <f>SUM(L62:L72)</f>
        <v>0</v>
      </c>
      <c r="M73" s="1819">
        <f>SUM(M62:M72)</f>
        <v>0</v>
      </c>
      <c r="O73" s="1820"/>
    </row>
    <row r="74" spans="4:19">
      <c r="D74"/>
      <c r="E74" s="1062"/>
      <c r="F74" s="1062"/>
      <c r="G74" s="1062"/>
      <c r="H74" s="1062"/>
      <c r="I74" s="1062"/>
      <c r="J74" s="1062"/>
      <c r="K74" s="1062"/>
      <c r="L74" s="1062"/>
      <c r="M74" s="1062"/>
      <c r="O74" s="1062"/>
    </row>
    <row r="75" spans="4:19">
      <c r="D75"/>
      <c r="E75" s="1062"/>
      <c r="F75" s="1062"/>
      <c r="G75" s="1062"/>
      <c r="H75" s="1062"/>
      <c r="I75" s="1062"/>
      <c r="J75" s="1062"/>
      <c r="K75" s="1062"/>
      <c r="L75" s="1062"/>
      <c r="M75" s="1062"/>
      <c r="N75" s="1062"/>
    </row>
    <row r="76" spans="4:19">
      <c r="D76"/>
      <c r="E76" s="1062"/>
      <c r="F76" s="1062"/>
      <c r="G76" s="1062"/>
      <c r="H76" s="1062"/>
      <c r="I76" s="1062"/>
      <c r="J76" s="1062"/>
      <c r="K76" s="1062"/>
      <c r="L76" s="1062"/>
      <c r="M76" s="1062"/>
      <c r="N76" s="1062"/>
    </row>
    <row r="77" spans="4:19">
      <c r="D77"/>
      <c r="E77" s="1062"/>
      <c r="F77" s="1062"/>
      <c r="G77" s="1062"/>
      <c r="H77" s="1062"/>
      <c r="I77" s="1062"/>
      <c r="J77" s="1062"/>
      <c r="K77" s="1062"/>
      <c r="L77" s="1062"/>
      <c r="M77" s="1062"/>
      <c r="N77" s="1062"/>
    </row>
  </sheetData>
  <sheetProtection autoFilter="0"/>
  <autoFilter ref="D5:D54" xr:uid="{C6091DE8-58DF-4F35-9508-483160517D1E}"/>
  <mergeCells count="29">
    <mergeCell ref="BF4:BI4"/>
    <mergeCell ref="BF28:BG28"/>
    <mergeCell ref="E4:X4"/>
    <mergeCell ref="C2:D2"/>
    <mergeCell ref="E2:N2"/>
    <mergeCell ref="A5:A54"/>
    <mergeCell ref="E56:X56"/>
    <mergeCell ref="AD4:BC4"/>
    <mergeCell ref="D60:J60"/>
    <mergeCell ref="Q60:S60"/>
    <mergeCell ref="D61:G61"/>
    <mergeCell ref="Q61:R61"/>
    <mergeCell ref="D62:G62"/>
    <mergeCell ref="Q62:R62"/>
    <mergeCell ref="D63:G63"/>
    <mergeCell ref="Q63:R63"/>
    <mergeCell ref="D64:G64"/>
    <mergeCell ref="Q64:R64"/>
    <mergeCell ref="D65:G65"/>
    <mergeCell ref="D66:G66"/>
    <mergeCell ref="Q66:S66"/>
    <mergeCell ref="D67:G67"/>
    <mergeCell ref="Q67:S67"/>
    <mergeCell ref="D71:G71"/>
    <mergeCell ref="D72:G72"/>
    <mergeCell ref="D73:H73"/>
    <mergeCell ref="D68:G68"/>
    <mergeCell ref="D69:G69"/>
    <mergeCell ref="D70:G70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A3FFD-2C46-4FBB-B1C7-975447CF8F86}">
  <sheetPr codeName="Hoja26">
    <tabColor rgb="FFFF0000"/>
    <pageSetUpPr fitToPage="1"/>
  </sheetPr>
  <dimension ref="A1:CU77"/>
  <sheetViews>
    <sheetView topLeftCell="B1" zoomScale="55" zoomScaleNormal="55" workbookViewId="0">
      <pane ySplit="5" topLeftCell="A6" activePane="bottomLeft" state="frozen"/>
      <selection activeCell="C32" sqref="C32"/>
      <selection pane="bottomLeft" activeCell="V70" sqref="V70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customWidth="1"/>
    <col min="4" max="4" width="102.28515625" style="26" customWidth="1"/>
    <col min="5" max="7" width="11.28515625" style="1800" customWidth="1"/>
    <col min="8" max="12" width="13.7109375" style="1800" customWidth="1"/>
    <col min="13" max="13" width="17.140625" style="1800" customWidth="1"/>
    <col min="14" max="24" width="11.28515625" style="1800" customWidth="1"/>
    <col min="25" max="29" width="30.85546875" style="26" customWidth="1"/>
    <col min="30" max="30" width="9" style="26" customWidth="1"/>
    <col min="31" max="31" width="83.7109375" style="26" customWidth="1"/>
    <col min="32" max="34" width="9" style="26" hidden="1" customWidth="1"/>
    <col min="35" max="36" width="11" style="26" hidden="1" customWidth="1"/>
    <col min="37" max="37" width="10.28515625" style="26" hidden="1" customWidth="1"/>
    <col min="38" max="48" width="9" style="26" hidden="1" customWidth="1"/>
    <col min="49" max="49" width="8.5703125" style="26" customWidth="1"/>
    <col min="50" max="50" width="8.7109375" style="26" customWidth="1"/>
    <col min="51" max="55" width="14.42578125" style="26" customWidth="1"/>
    <col min="56" max="57" width="13.85546875" style="26" customWidth="1"/>
    <col min="58" max="58" width="15" style="26" customWidth="1"/>
    <col min="59" max="59" width="64.28515625" style="26" customWidth="1"/>
    <col min="60" max="60" width="24.42578125" style="26" customWidth="1"/>
    <col min="61" max="61" width="29.42578125" style="26" customWidth="1"/>
    <col min="62" max="87" width="13.85546875" style="26" customWidth="1"/>
    <col min="88" max="88" width="12.140625" style="26" bestFit="1" customWidth="1"/>
    <col min="89" max="90" width="28.28515625" style="26" customWidth="1"/>
    <col min="91" max="16384" width="11.42578125" style="26"/>
  </cols>
  <sheetData>
    <row r="1" spans="1:99" ht="17.25" customHeight="1" thickBot="1">
      <c r="B1" s="37"/>
      <c r="C1" s="37"/>
      <c r="D1" s="43"/>
      <c r="E1" s="1796"/>
      <c r="F1" s="1796"/>
      <c r="G1" s="1796"/>
      <c r="H1" s="1796"/>
      <c r="I1" s="1796"/>
      <c r="J1" s="1796"/>
      <c r="K1" s="1796"/>
      <c r="L1" s="1796"/>
      <c r="M1" s="1796"/>
      <c r="N1" s="1796"/>
      <c r="O1" s="1797"/>
      <c r="P1" s="1797"/>
      <c r="Q1" s="1797"/>
      <c r="R1" s="1797"/>
      <c r="S1" s="1797"/>
      <c r="T1" s="1797"/>
      <c r="U1" s="1797"/>
      <c r="V1" s="1797"/>
      <c r="W1" s="1797"/>
      <c r="X1" s="179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CN1"/>
      <c r="CO1"/>
      <c r="CP1"/>
      <c r="CQ1"/>
      <c r="CR1"/>
      <c r="CS1"/>
      <c r="CT1"/>
      <c r="CU1"/>
    </row>
    <row r="2" spans="1:99" ht="46.5" customHeight="1" thickBot="1">
      <c r="B2" s="38"/>
      <c r="C2" s="2266" t="s">
        <v>41</v>
      </c>
      <c r="D2" s="2267"/>
      <c r="E2" s="2588" t="s">
        <v>691</v>
      </c>
      <c r="F2" s="2589"/>
      <c r="G2" s="2589"/>
      <c r="H2" s="2589"/>
      <c r="I2" s="2589"/>
      <c r="J2" s="2589"/>
      <c r="K2" s="2589"/>
      <c r="L2" s="2589"/>
      <c r="M2" s="2589"/>
      <c r="N2" s="2590"/>
      <c r="O2" s="1798"/>
      <c r="P2" s="1798"/>
      <c r="Q2" s="1798"/>
      <c r="R2" s="1722"/>
      <c r="S2" s="1722"/>
      <c r="T2" s="1852"/>
      <c r="U2" s="1799"/>
      <c r="V2" s="1799"/>
      <c r="W2" s="1799"/>
      <c r="X2" s="1799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CN2"/>
      <c r="CO2"/>
      <c r="CP2"/>
      <c r="CQ2"/>
      <c r="CR2"/>
      <c r="CS2"/>
      <c r="CT2"/>
      <c r="CU2"/>
    </row>
    <row r="3" spans="1:99" ht="17.25" thickBot="1">
      <c r="C3" s="28"/>
      <c r="R3" s="1801"/>
      <c r="S3" s="1801"/>
      <c r="U3" s="1801"/>
      <c r="V3" s="1801"/>
      <c r="W3" s="1801"/>
      <c r="X3" s="1801"/>
      <c r="BG3" s="28"/>
      <c r="BH3" s="28"/>
      <c r="BI3" s="28"/>
      <c r="CN3"/>
      <c r="CO3"/>
      <c r="CP3"/>
      <c r="CQ3"/>
      <c r="CR3"/>
      <c r="CS3"/>
      <c r="CT3"/>
      <c r="CU3"/>
    </row>
    <row r="4" spans="1:99" ht="30.75" thickBot="1">
      <c r="C4" s="28"/>
      <c r="E4" s="2586" t="s">
        <v>112</v>
      </c>
      <c r="F4" s="2586"/>
      <c r="G4" s="2586"/>
      <c r="H4" s="2586"/>
      <c r="I4" s="2586"/>
      <c r="J4" s="2586"/>
      <c r="K4" s="2586"/>
      <c r="L4" s="2586"/>
      <c r="M4" s="2586"/>
      <c r="N4" s="2586"/>
      <c r="O4" s="2586"/>
      <c r="P4" s="2586"/>
      <c r="Q4" s="2586"/>
      <c r="R4" s="2587"/>
      <c r="S4" s="2587"/>
      <c r="T4" s="2587"/>
      <c r="U4" s="2587"/>
      <c r="V4" s="2587"/>
      <c r="W4" s="2587"/>
      <c r="X4" s="2587"/>
      <c r="AD4" s="2577" t="s">
        <v>506</v>
      </c>
      <c r="AE4" s="2578"/>
      <c r="AF4" s="2578"/>
      <c r="AG4" s="2578"/>
      <c r="AH4" s="2578"/>
      <c r="AI4" s="2578"/>
      <c r="AJ4" s="2578"/>
      <c r="AK4" s="2578"/>
      <c r="AL4" s="2578"/>
      <c r="AM4" s="2578"/>
      <c r="AN4" s="2578"/>
      <c r="AO4" s="2578"/>
      <c r="AP4" s="2578"/>
      <c r="AQ4" s="2578"/>
      <c r="AR4" s="2578"/>
      <c r="AS4" s="2578"/>
      <c r="AT4" s="2578"/>
      <c r="AU4" s="2578"/>
      <c r="AV4" s="2578"/>
      <c r="AW4" s="2578"/>
      <c r="AX4" s="2578"/>
      <c r="AY4" s="2578"/>
      <c r="AZ4" s="2578"/>
      <c r="BA4" s="2578"/>
      <c r="BB4" s="2578"/>
      <c r="BC4" s="2579"/>
      <c r="BD4" s="30"/>
      <c r="BE4" s="30"/>
      <c r="BF4" s="2577" t="s">
        <v>511</v>
      </c>
      <c r="BG4" s="2582"/>
      <c r="BH4" s="2582"/>
      <c r="BI4" s="2583"/>
      <c r="CN4"/>
      <c r="CO4"/>
      <c r="CP4"/>
      <c r="CQ4"/>
      <c r="CR4"/>
      <c r="CS4"/>
      <c r="CT4"/>
      <c r="CU4"/>
    </row>
    <row r="5" spans="1:99" ht="90.75" thickBot="1">
      <c r="A5" s="2257"/>
      <c r="C5" s="543" t="s">
        <v>15</v>
      </c>
      <c r="D5" s="954" t="s">
        <v>6</v>
      </c>
      <c r="E5" s="35" t="s">
        <v>316</v>
      </c>
      <c r="F5" s="36" t="s">
        <v>317</v>
      </c>
      <c r="G5" s="36" t="s">
        <v>318</v>
      </c>
      <c r="H5" s="36" t="s">
        <v>319</v>
      </c>
      <c r="I5" s="36" t="s">
        <v>320</v>
      </c>
      <c r="J5" s="36" t="s">
        <v>321</v>
      </c>
      <c r="K5" s="36" t="s">
        <v>322</v>
      </c>
      <c r="L5" s="36" t="s">
        <v>323</v>
      </c>
      <c r="M5" s="36" t="s">
        <v>324</v>
      </c>
      <c r="N5" s="36" t="s">
        <v>325</v>
      </c>
      <c r="O5" s="36" t="s">
        <v>326</v>
      </c>
      <c r="P5" s="36" t="s">
        <v>327</v>
      </c>
      <c r="Q5" s="36" t="s">
        <v>328</v>
      </c>
      <c r="R5" s="36" t="s">
        <v>329</v>
      </c>
      <c r="S5" s="36" t="s">
        <v>330</v>
      </c>
      <c r="T5" s="36" t="s">
        <v>331</v>
      </c>
      <c r="U5" s="36" t="s">
        <v>332</v>
      </c>
      <c r="V5" s="36" t="s">
        <v>333</v>
      </c>
      <c r="W5" s="36" t="s">
        <v>334</v>
      </c>
      <c r="X5" s="48" t="s">
        <v>343</v>
      </c>
      <c r="Y5" s="487" t="s">
        <v>108</v>
      </c>
      <c r="Z5" s="545" t="s">
        <v>107</v>
      </c>
      <c r="AA5" s="61" t="s">
        <v>3</v>
      </c>
      <c r="AB5" s="567"/>
      <c r="AC5" s="567"/>
      <c r="AD5" s="1122" t="s">
        <v>15</v>
      </c>
      <c r="AE5" s="568" t="s">
        <v>6</v>
      </c>
      <c r="AF5" s="568" t="s">
        <v>316</v>
      </c>
      <c r="AG5" s="568" t="s">
        <v>317</v>
      </c>
      <c r="AH5" s="568" t="s">
        <v>318</v>
      </c>
      <c r="AI5" s="568" t="s">
        <v>319</v>
      </c>
      <c r="AJ5" s="568" t="s">
        <v>320</v>
      </c>
      <c r="AK5" s="568" t="s">
        <v>321</v>
      </c>
      <c r="AL5" s="568" t="s">
        <v>322</v>
      </c>
      <c r="AM5" s="568" t="s">
        <v>323</v>
      </c>
      <c r="AN5" s="568" t="s">
        <v>324</v>
      </c>
      <c r="AO5" s="568" t="s">
        <v>325</v>
      </c>
      <c r="AP5" s="568" t="s">
        <v>326</v>
      </c>
      <c r="AQ5" s="568" t="s">
        <v>327</v>
      </c>
      <c r="AR5" s="568" t="s">
        <v>328</v>
      </c>
      <c r="AS5" s="568" t="s">
        <v>329</v>
      </c>
      <c r="AT5" s="568" t="s">
        <v>330</v>
      </c>
      <c r="AU5" s="568" t="s">
        <v>331</v>
      </c>
      <c r="AV5" s="568" t="s">
        <v>332</v>
      </c>
      <c r="AW5" s="568" t="s">
        <v>333</v>
      </c>
      <c r="AX5" s="568" t="s">
        <v>334</v>
      </c>
      <c r="AY5" s="568" t="s">
        <v>502</v>
      </c>
      <c r="AZ5" s="568" t="s">
        <v>503</v>
      </c>
      <c r="BA5" s="568" t="s">
        <v>8</v>
      </c>
      <c r="BB5" s="568" t="s">
        <v>505</v>
      </c>
      <c r="BC5" s="569" t="s">
        <v>511</v>
      </c>
      <c r="BD5" s="30"/>
      <c r="BE5" s="30"/>
      <c r="BF5" s="570" t="s">
        <v>15</v>
      </c>
      <c r="BG5" s="571" t="s">
        <v>6</v>
      </c>
      <c r="BH5" s="571" t="s">
        <v>8</v>
      </c>
      <c r="BI5" s="572" t="s">
        <v>513</v>
      </c>
      <c r="CN5"/>
      <c r="CO5"/>
      <c r="CP5"/>
      <c r="CQ5"/>
      <c r="CR5"/>
      <c r="CS5"/>
      <c r="CT5"/>
      <c r="CU5"/>
    </row>
    <row r="6" spans="1:99" ht="46.5" thickBot="1">
      <c r="A6" s="2257"/>
      <c r="C6" s="41">
        <f>+PP!B24</f>
        <v>1</v>
      </c>
      <c r="D6" s="259" t="str">
        <f>+PP!C24</f>
        <v>ANILLAS BLANCAS SM ST</v>
      </c>
      <c r="E6" s="2967"/>
      <c r="F6" s="2968"/>
      <c r="G6" s="2968"/>
      <c r="H6" s="2968"/>
      <c r="I6" s="2968"/>
      <c r="J6" s="2968"/>
      <c r="K6" s="2968"/>
      <c r="L6" s="2968"/>
      <c r="M6" s="2968"/>
      <c r="N6" s="2968"/>
      <c r="O6" s="2968"/>
      <c r="P6" s="2968"/>
      <c r="Q6" s="2968"/>
      <c r="R6" s="2969"/>
      <c r="S6" s="2969"/>
      <c r="T6" s="2970"/>
      <c r="U6" s="2969"/>
      <c r="V6" s="2969"/>
      <c r="W6" s="2969"/>
      <c r="X6" s="2971"/>
      <c r="Y6" s="510">
        <f t="shared" ref="Y6:Y53" si="0">SUM(E6:X6)</f>
        <v>0</v>
      </c>
      <c r="Z6" s="573">
        <f>Y6/2</f>
        <v>0</v>
      </c>
      <c r="AA6" s="490">
        <f>+Y6*10</f>
        <v>0</v>
      </c>
      <c r="AB6" s="574"/>
      <c r="AC6" s="574"/>
      <c r="AD6" s="136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</f>
        <v/>
      </c>
      <c r="AE6" s="1372" t="str">
        <f>IF($AD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)</f>
        <v/>
      </c>
      <c r="AF6" s="1838" t="str">
        <f t="shared" ref="AF6:AF53" si="1">IF($AD6="","",IFERROR(IF(INDEX($E$6:$E$53,MATCH($AD6,$C$6:$C$53,0))&gt;0,INDEX($E$6:$E$53,MATCH($AD6,$C$6:$C$53,0)),""),""))</f>
        <v/>
      </c>
      <c r="AG6" s="1838" t="str">
        <f t="shared" ref="AG6:AG53" si="2">IF($AD6="","",IFERROR(IF(INDEX($F$6:$F$53,MATCH($AD6,$C$6:$C$53,0))&gt;0,INDEX($F$6:$F$53,MATCH($AD6,$C$6:$C$53,0)),""),""))</f>
        <v/>
      </c>
      <c r="AH6" s="1838" t="str">
        <f t="shared" ref="AH6:AH53" si="3">IF($AD6="","",IFERROR(IF(INDEX($G$6:$G$53,MATCH($AD6,$C$6:$C$53,0))&gt;0,INDEX($G$6:$G$53,MATCH($AD6,$C$6:$C$53,0)),""),""))</f>
        <v/>
      </c>
      <c r="AI6" s="1838" t="str">
        <f t="shared" ref="AI6:AI53" si="4">IF($AD6="","",IFERROR(IF(INDEX($H$6:$H$53,MATCH($AD6,$C$6:$C$53,0))&gt;0,INDEX($H$6:$H$53,MATCH($AD6,$C$6:$C$53,0)),""),""))</f>
        <v/>
      </c>
      <c r="AJ6" s="1838" t="str">
        <f t="shared" ref="AJ6:AJ53" si="5">IF($AD6="","",IFERROR(IF(INDEX($I$6:$I$53,MATCH($AD6,$C$6:$C$53,0))&gt;0,INDEX($I$6:$I$53,MATCH($AD6,$C$6:$C$53,0)),""),""))</f>
        <v/>
      </c>
      <c r="AK6" s="1839" t="str">
        <f t="shared" ref="AK6:AK53" si="6">IF($AD6="","",IFERROR(IF(INDEX($J$6:$J$53,MATCH($AD6,$C$6:$C$53,0))&gt;0,INDEX($J$6:$J$53,MATCH($AD6,$C$6:$C$53,0)),""),""))</f>
        <v/>
      </c>
      <c r="AL6" s="1839" t="str">
        <f t="shared" ref="AL6:AL53" si="7">IF($AD6="","",IFERROR(IF(INDEX($K$6:$K$53,MATCH($AD6,$C$6:$C$53,0))&gt;0,INDEX($K$6:$K$53,MATCH($AD6,$C$6:$C$53,0)),""),""))</f>
        <v/>
      </c>
      <c r="AM6" s="1839" t="str">
        <f t="shared" ref="AM6:AM53" si="8">IF($AD6="","",IFERROR(IF(INDEX($L$6:$L$53,MATCH($AD6,$C$6:$C$53,0))&gt;0,INDEX($L$6:$L$53,MATCH($AD6,$C$6:$C$53,0)),""),""))</f>
        <v/>
      </c>
      <c r="AN6" s="1839" t="str">
        <f t="shared" ref="AN6:AN53" si="9">IF($AD6="","",IFERROR(IF(INDEX($M$6:$M$53,MATCH($AD6,$C$6:$C$53,0))&gt;0,INDEX($M$6:$M$53,MATCH($AD6,$C$6:$C$53,0)),""),""))</f>
        <v/>
      </c>
      <c r="AO6" s="1839" t="str">
        <f t="shared" ref="AO6:AO53" si="10">IF($AD6="","",IFERROR(IF(INDEX($N$6:$N$53,MATCH($AD6,$C$6:$C$53,0))&gt;0,INDEX($N$6:$N$53,MATCH($AD6,$C$6:$C$53,0)),""),""))</f>
        <v/>
      </c>
      <c r="AP6" s="1839" t="str">
        <f t="shared" ref="AP6:AP53" si="11">IF($AD6="","",IFERROR(IF(INDEX($O$6:$O$53,MATCH($AD6,$C$6:$C$53,0))&gt;0,INDEX($O$6:$O$53,MATCH($AD6,$C$6:$C$53,0)),""),""))</f>
        <v/>
      </c>
      <c r="AQ6" s="1839" t="str">
        <f t="shared" ref="AQ6:AQ53" si="12">IF($AD6="","",IFERROR(IF(INDEX($P$6:$P$53,MATCH($AD6,$C$6:$C$53,0))&gt;0,INDEX($P$6:$P$53,MATCH($AD6,$C$6:$C$53,0)),""),""))</f>
        <v/>
      </c>
      <c r="AR6" s="1839" t="str">
        <f t="shared" ref="AR6:AR53" si="13">IF($AD6="","",IFERROR(IF(INDEX($Q$6:$Q$53,MATCH($AD6,$C$6:$C$53,0))&gt;0,INDEX($Q$6:$Q$53,MATCH($AD6,$C$6:$C$53,0)),""),""))</f>
        <v/>
      </c>
      <c r="AS6" s="1839" t="str">
        <f t="shared" ref="AS6:AS53" si="14">IF($AD6="","",IFERROR(IF(INDEX($R$6:$R$53,MATCH($AD6,$C$6:$C$53,0))&gt;0,INDEX($R$6:$R$53,MATCH($AD6,$C$6:$C$53,0)),""),""))</f>
        <v/>
      </c>
      <c r="AT6" s="1839" t="str">
        <f t="shared" ref="AT6:AT53" si="15">IF($AD6="","",IFERROR(IF(INDEX($S$6:$S$53,MATCH($AD6,$C$6:$C$53,0))&gt;0,INDEX($S$6:$S$53,MATCH($AD6,$C$6:$C$53,0)),""),""))</f>
        <v/>
      </c>
      <c r="AU6" s="1839" t="str">
        <f t="shared" ref="AU6:AU53" si="16">IF($AD6="","",IFERROR(IF(INDEX($T$6:$T$53,MATCH($AD6,$C$6:$C$53,0))&gt;0,INDEX($T$6:$T$53,MATCH($AD6,$C$6:$C$53,0)),""),""))</f>
        <v/>
      </c>
      <c r="AV6" s="1839" t="str">
        <f t="shared" ref="AV6:AV53" si="17">IF($AD6="","",IFERROR(IF(INDEX($U$6:$U$53,MATCH($AD6,$C$6:$C$53,0))&gt;0,INDEX($U$6:$U$53,MATCH($AD6,$C$6:$C$53,0)),""),""))</f>
        <v/>
      </c>
      <c r="AW6" s="1839" t="str">
        <f t="shared" ref="AW6:AW53" si="18">IF($AD6="","",IFERROR(IF(INDEX($V$6:$V$53,MATCH($AD6,$C$6:$C$53,0))&gt;0,INDEX($V$6:$V$53,MATCH($AD6,$C$6:$C$53,0)),""),""))</f>
        <v/>
      </c>
      <c r="AX6" s="1839" t="str">
        <f t="shared" ref="AX6:AX53" si="19">IF($AD6="","",IFERROR(IF(INDEX($W$6:$W$53,MATCH($AD6,$C$6:$C$53,0))&gt;0,INDEX($W$6:$W$53,MATCH($AD6,$C$6:$C$53,0)),""),""))</f>
        <v/>
      </c>
      <c r="AY6" s="1368" t="str">
        <f t="shared" ref="AY6:AY27" si="20">IF($AD6="","",SUM($AF6:$AX6))</f>
        <v/>
      </c>
      <c r="AZ6" s="1368" t="str">
        <f t="shared" ref="AZ6:AZ27" si="21">IF($AD6="","",$AY6/2)</f>
        <v/>
      </c>
      <c r="BA6" s="1368" t="str">
        <f t="shared" ref="BA6:BA27" si="22">IF($AD6="","",$AY6*10)</f>
        <v/>
      </c>
      <c r="BB6" s="1368" t="str">
        <f t="shared" ref="BB6:BB27" si="23">IF($AD6="","",IF(MAX($AF6:$AX6)&gt;50,"REVISIÓN: EXCEDE 50","OK"))</f>
        <v/>
      </c>
      <c r="BC6" s="1369" t="str">
        <f t="shared" ref="BC6:BC27" si="24">IF($AD6="","",IF(MOD($BA6,20)=10,"SÍ","NO"))</f>
        <v/>
      </c>
      <c r="BD6" s="30"/>
      <c r="BE6" s="30"/>
      <c r="BF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6))),"")</f>
        <v/>
      </c>
      <c r="BG6" s="576" t="str">
        <f t="shared" ref="BG6:BG27" si="25">IF($BF6="","",IFERROR(INDEX($D$6:$D$53,MATCH($BF6,$C$6:$C$53,0)),""))</f>
        <v/>
      </c>
      <c r="BH6" s="577" t="str">
        <f t="shared" ref="BH6:BH27" si="26">IF($BF6="","",SUMPRODUCT(($C$6:$C$53=$BF6)*$E$6:$W$53)*10)</f>
        <v/>
      </c>
      <c r="BI6" s="578" t="str">
        <f t="shared" ref="BI6:BI27" si="27">IF($BF6="","","10 KG")</f>
        <v/>
      </c>
      <c r="CN6"/>
      <c r="CO6"/>
      <c r="CP6"/>
      <c r="CQ6"/>
      <c r="CR6"/>
      <c r="CS6"/>
      <c r="CT6"/>
      <c r="CU6"/>
    </row>
    <row r="7" spans="1:99" ht="45.75">
      <c r="A7" s="2257"/>
      <c r="C7" s="42">
        <f>+PP!B25</f>
        <v>2</v>
      </c>
      <c r="D7" s="229" t="str">
        <f>+PP!C25</f>
        <v>ANILLAS AMARILLAS SM ST</v>
      </c>
      <c r="E7" s="2013"/>
      <c r="F7" s="1802"/>
      <c r="G7" s="1802"/>
      <c r="H7" s="1802"/>
      <c r="I7" s="1802"/>
      <c r="J7" s="1802"/>
      <c r="K7" s="1802"/>
      <c r="L7" s="1802"/>
      <c r="M7" s="1802"/>
      <c r="N7" s="1802"/>
      <c r="O7" s="1802"/>
      <c r="P7" s="1802"/>
      <c r="Q7" s="1802"/>
      <c r="R7" s="1803"/>
      <c r="S7" s="1803"/>
      <c r="T7" s="1847"/>
      <c r="U7" s="1803"/>
      <c r="V7" s="1803"/>
      <c r="W7" s="1803"/>
      <c r="X7" s="2011"/>
      <c r="Y7" s="525">
        <f t="shared" si="0"/>
        <v>0</v>
      </c>
      <c r="Z7" s="579">
        <f t="shared" ref="Z7:Z53" si="28">Y7/2</f>
        <v>0</v>
      </c>
      <c r="AA7" s="490">
        <f>+Y7*10</f>
        <v>0</v>
      </c>
      <c r="AB7" s="580"/>
      <c r="AC7" s="580"/>
      <c r="AD7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</f>
        <v/>
      </c>
      <c r="AE7" s="1372" t="str">
        <f>IF($AD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)</f>
        <v/>
      </c>
      <c r="AF7" s="1838" t="str">
        <f t="shared" si="1"/>
        <v/>
      </c>
      <c r="AG7" s="1838" t="str">
        <f t="shared" si="2"/>
        <v/>
      </c>
      <c r="AH7" s="1838" t="str">
        <f t="shared" si="3"/>
        <v/>
      </c>
      <c r="AI7" s="1838" t="str">
        <f t="shared" si="4"/>
        <v/>
      </c>
      <c r="AJ7" s="1838" t="str">
        <f t="shared" si="5"/>
        <v/>
      </c>
      <c r="AK7" s="1839" t="str">
        <f t="shared" si="6"/>
        <v/>
      </c>
      <c r="AL7" s="1839" t="str">
        <f t="shared" si="7"/>
        <v/>
      </c>
      <c r="AM7" s="1839" t="str">
        <f t="shared" si="8"/>
        <v/>
      </c>
      <c r="AN7" s="1839" t="str">
        <f t="shared" si="9"/>
        <v/>
      </c>
      <c r="AO7" s="1839" t="str">
        <f t="shared" si="10"/>
        <v/>
      </c>
      <c r="AP7" s="1839" t="str">
        <f t="shared" si="11"/>
        <v/>
      </c>
      <c r="AQ7" s="1839" t="str">
        <f t="shared" si="12"/>
        <v/>
      </c>
      <c r="AR7" s="1839" t="str">
        <f t="shared" si="13"/>
        <v/>
      </c>
      <c r="AS7" s="1839" t="str">
        <f t="shared" si="14"/>
        <v/>
      </c>
      <c r="AT7" s="1839" t="str">
        <f t="shared" si="15"/>
        <v/>
      </c>
      <c r="AU7" s="1839" t="str">
        <f t="shared" si="16"/>
        <v/>
      </c>
      <c r="AV7" s="1839" t="str">
        <f t="shared" si="17"/>
        <v/>
      </c>
      <c r="AW7" s="1839" t="str">
        <f t="shared" si="18"/>
        <v/>
      </c>
      <c r="AX7" s="1839" t="str">
        <f t="shared" si="19"/>
        <v/>
      </c>
      <c r="AY7" s="1368" t="str">
        <f t="shared" si="20"/>
        <v/>
      </c>
      <c r="AZ7" s="1368" t="str">
        <f t="shared" si="21"/>
        <v/>
      </c>
      <c r="BA7" s="1368" t="str">
        <f t="shared" si="22"/>
        <v/>
      </c>
      <c r="BB7" s="1368" t="str">
        <f t="shared" si="23"/>
        <v/>
      </c>
      <c r="BC7" s="1369" t="str">
        <f t="shared" si="24"/>
        <v/>
      </c>
      <c r="BD7" s="30"/>
      <c r="BE7" s="30"/>
      <c r="BF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7))),"")</f>
        <v/>
      </c>
      <c r="BG7" s="576" t="str">
        <f t="shared" si="25"/>
        <v/>
      </c>
      <c r="BH7" s="577" t="str">
        <f t="shared" si="26"/>
        <v/>
      </c>
      <c r="BI7" s="578" t="str">
        <f t="shared" si="27"/>
        <v/>
      </c>
      <c r="CN7"/>
      <c r="CO7"/>
      <c r="CP7"/>
      <c r="CQ7"/>
      <c r="CR7"/>
      <c r="CS7"/>
      <c r="CT7"/>
      <c r="CU7"/>
    </row>
    <row r="8" spans="1:99" ht="46.5" thickBot="1">
      <c r="A8" s="2257"/>
      <c r="C8" s="40">
        <f>+PP!B26</f>
        <v>3</v>
      </c>
      <c r="D8" s="591" t="str">
        <f>+PP!C26</f>
        <v>ANILLAS BLANCAS SM ST MEDIANA</v>
      </c>
      <c r="E8" s="2972"/>
      <c r="F8" s="2973"/>
      <c r="G8" s="2973"/>
      <c r="H8" s="2973"/>
      <c r="I8" s="2973"/>
      <c r="J8" s="2973"/>
      <c r="K8" s="2973"/>
      <c r="L8" s="2973"/>
      <c r="M8" s="2973"/>
      <c r="N8" s="2973"/>
      <c r="O8" s="2973"/>
      <c r="P8" s="2973"/>
      <c r="Q8" s="2973"/>
      <c r="R8" s="2974"/>
      <c r="S8" s="2974"/>
      <c r="T8" s="2975"/>
      <c r="U8" s="2974"/>
      <c r="V8" s="2974"/>
      <c r="W8" s="2974"/>
      <c r="X8" s="2976"/>
      <c r="Y8" s="511">
        <f t="shared" si="0"/>
        <v>0</v>
      </c>
      <c r="Z8" s="582">
        <f t="shared" si="28"/>
        <v>0</v>
      </c>
      <c r="AA8" s="507">
        <f t="shared" ref="AA8:AA53" si="29">+Y8*10</f>
        <v>0</v>
      </c>
      <c r="AB8" s="574"/>
      <c r="AC8" s="574"/>
      <c r="AD8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</f>
        <v/>
      </c>
      <c r="AE8" s="1372" t="str">
        <f>IF($AD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)</f>
        <v/>
      </c>
      <c r="AF8" s="1838" t="str">
        <f t="shared" si="1"/>
        <v/>
      </c>
      <c r="AG8" s="1838" t="str">
        <f t="shared" si="2"/>
        <v/>
      </c>
      <c r="AH8" s="1838" t="str">
        <f t="shared" si="3"/>
        <v/>
      </c>
      <c r="AI8" s="1838" t="str">
        <f t="shared" si="4"/>
        <v/>
      </c>
      <c r="AJ8" s="1838" t="str">
        <f t="shared" si="5"/>
        <v/>
      </c>
      <c r="AK8" s="1839" t="str">
        <f t="shared" si="6"/>
        <v/>
      </c>
      <c r="AL8" s="1839" t="str">
        <f t="shared" si="7"/>
        <v/>
      </c>
      <c r="AM8" s="1839" t="str">
        <f t="shared" si="8"/>
        <v/>
      </c>
      <c r="AN8" s="1839" t="str">
        <f t="shared" si="9"/>
        <v/>
      </c>
      <c r="AO8" s="1839" t="str">
        <f t="shared" si="10"/>
        <v/>
      </c>
      <c r="AP8" s="1839" t="str">
        <f t="shared" si="11"/>
        <v/>
      </c>
      <c r="AQ8" s="1839" t="str">
        <f t="shared" si="12"/>
        <v/>
      </c>
      <c r="AR8" s="1839" t="str">
        <f t="shared" si="13"/>
        <v/>
      </c>
      <c r="AS8" s="1839" t="str">
        <f t="shared" si="14"/>
        <v/>
      </c>
      <c r="AT8" s="1839" t="str">
        <f t="shared" si="15"/>
        <v/>
      </c>
      <c r="AU8" s="1839" t="str">
        <f t="shared" si="16"/>
        <v/>
      </c>
      <c r="AV8" s="1839" t="str">
        <f t="shared" si="17"/>
        <v/>
      </c>
      <c r="AW8" s="1839" t="str">
        <f t="shared" si="18"/>
        <v/>
      </c>
      <c r="AX8" s="1839" t="str">
        <f t="shared" si="19"/>
        <v/>
      </c>
      <c r="AY8" s="1368" t="str">
        <f t="shared" si="20"/>
        <v/>
      </c>
      <c r="AZ8" s="1368" t="str">
        <f t="shared" si="21"/>
        <v/>
      </c>
      <c r="BA8" s="1368" t="str">
        <f t="shared" si="22"/>
        <v/>
      </c>
      <c r="BB8" s="1368" t="str">
        <f t="shared" si="23"/>
        <v/>
      </c>
      <c r="BC8" s="1369" t="str">
        <f t="shared" si="24"/>
        <v/>
      </c>
      <c r="BD8" s="30"/>
      <c r="BE8" s="30"/>
      <c r="BF8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8))),"")</f>
        <v/>
      </c>
      <c r="BG8" s="576" t="str">
        <f t="shared" si="25"/>
        <v/>
      </c>
      <c r="BH8" s="577" t="str">
        <f t="shared" si="26"/>
        <v/>
      </c>
      <c r="BI8" s="578" t="str">
        <f t="shared" si="27"/>
        <v/>
      </c>
      <c r="CN8"/>
      <c r="CO8"/>
      <c r="CP8"/>
      <c r="CQ8"/>
      <c r="CR8"/>
      <c r="CS8"/>
      <c r="CT8"/>
      <c r="CU8"/>
    </row>
    <row r="9" spans="1:99" ht="45.75">
      <c r="A9" s="2257"/>
      <c r="C9" s="41">
        <f>+PP!B27</f>
        <v>4</v>
      </c>
      <c r="D9" s="259" t="str">
        <f>+PP!C27</f>
        <v>ALETA FRESCA CORTE CRUZ</v>
      </c>
      <c r="E9" s="2967"/>
      <c r="F9" s="2968"/>
      <c r="G9" s="2968"/>
      <c r="H9" s="2968"/>
      <c r="I9" s="2968"/>
      <c r="J9" s="2968"/>
      <c r="K9" s="2968"/>
      <c r="L9" s="2968"/>
      <c r="M9" s="2968"/>
      <c r="N9" s="2968"/>
      <c r="O9" s="2968"/>
      <c r="P9" s="2968"/>
      <c r="Q9" s="2968"/>
      <c r="R9" s="2970"/>
      <c r="S9" s="2970"/>
      <c r="T9" s="2970"/>
      <c r="U9" s="2970"/>
      <c r="V9" s="2970"/>
      <c r="W9" s="2970"/>
      <c r="X9" s="2977"/>
      <c r="Y9" s="510">
        <f t="shared" si="0"/>
        <v>0</v>
      </c>
      <c r="Z9" s="573">
        <f t="shared" si="28"/>
        <v>0</v>
      </c>
      <c r="AA9" s="490">
        <f t="shared" si="29"/>
        <v>0</v>
      </c>
      <c r="AB9" s="574"/>
      <c r="AC9" s="574"/>
      <c r="AD9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</f>
        <v/>
      </c>
      <c r="AE9" s="1372" t="str">
        <f>IF($AD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)</f>
        <v/>
      </c>
      <c r="AF9" s="1838" t="str">
        <f t="shared" si="1"/>
        <v/>
      </c>
      <c r="AG9" s="1838" t="str">
        <f t="shared" si="2"/>
        <v/>
      </c>
      <c r="AH9" s="1838" t="str">
        <f t="shared" si="3"/>
        <v/>
      </c>
      <c r="AI9" s="1838" t="str">
        <f t="shared" si="4"/>
        <v/>
      </c>
      <c r="AJ9" s="1838" t="str">
        <f t="shared" si="5"/>
        <v/>
      </c>
      <c r="AK9" s="1839" t="str">
        <f t="shared" si="6"/>
        <v/>
      </c>
      <c r="AL9" s="1839" t="str">
        <f t="shared" si="7"/>
        <v/>
      </c>
      <c r="AM9" s="1839" t="str">
        <f t="shared" si="8"/>
        <v/>
      </c>
      <c r="AN9" s="1839" t="str">
        <f t="shared" si="9"/>
        <v/>
      </c>
      <c r="AO9" s="1839" t="str">
        <f t="shared" si="10"/>
        <v/>
      </c>
      <c r="AP9" s="1839" t="str">
        <f t="shared" si="11"/>
        <v/>
      </c>
      <c r="AQ9" s="1839" t="str">
        <f t="shared" si="12"/>
        <v/>
      </c>
      <c r="AR9" s="1839" t="str">
        <f t="shared" si="13"/>
        <v/>
      </c>
      <c r="AS9" s="1839" t="str">
        <f t="shared" si="14"/>
        <v/>
      </c>
      <c r="AT9" s="1839" t="str">
        <f t="shared" si="15"/>
        <v/>
      </c>
      <c r="AU9" s="1839" t="str">
        <f t="shared" si="16"/>
        <v/>
      </c>
      <c r="AV9" s="1839" t="str">
        <f t="shared" si="17"/>
        <v/>
      </c>
      <c r="AW9" s="1839" t="str">
        <f t="shared" si="18"/>
        <v/>
      </c>
      <c r="AX9" s="1839" t="str">
        <f t="shared" si="19"/>
        <v/>
      </c>
      <c r="AY9" s="1368" t="str">
        <f t="shared" si="20"/>
        <v/>
      </c>
      <c r="AZ9" s="1368" t="str">
        <f t="shared" si="21"/>
        <v/>
      </c>
      <c r="BA9" s="1368" t="str">
        <f t="shared" si="22"/>
        <v/>
      </c>
      <c r="BB9" s="1368" t="str">
        <f t="shared" si="23"/>
        <v/>
      </c>
      <c r="BC9" s="1369" t="str">
        <f t="shared" si="24"/>
        <v/>
      </c>
      <c r="BD9" s="30"/>
      <c r="BE9" s="30"/>
      <c r="BF9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9))),"")</f>
        <v/>
      </c>
      <c r="BG9" s="576" t="str">
        <f t="shared" si="25"/>
        <v/>
      </c>
      <c r="BH9" s="577" t="str">
        <f t="shared" si="26"/>
        <v/>
      </c>
      <c r="BI9" s="578" t="str">
        <f t="shared" si="27"/>
        <v/>
      </c>
      <c r="CN9"/>
      <c r="CO9"/>
      <c r="CP9"/>
      <c r="CQ9"/>
      <c r="CR9"/>
      <c r="CS9"/>
      <c r="CT9"/>
      <c r="CU9"/>
    </row>
    <row r="10" spans="1:99" ht="45.75">
      <c r="A10" s="2257"/>
      <c r="C10" s="42">
        <f>+PP!B28</f>
        <v>5</v>
      </c>
      <c r="D10" s="229" t="str">
        <f>+PP!C28</f>
        <v>ALETA ENTERA 100-500 g/pza</v>
      </c>
      <c r="E10" s="2013"/>
      <c r="F10" s="1802"/>
      <c r="G10" s="1802"/>
      <c r="H10" s="1802"/>
      <c r="I10" s="1802"/>
      <c r="J10" s="1802"/>
      <c r="K10" s="1802"/>
      <c r="L10" s="1802"/>
      <c r="M10" s="1802"/>
      <c r="N10" s="1802"/>
      <c r="O10" s="1802"/>
      <c r="P10" s="1802"/>
      <c r="Q10" s="1802"/>
      <c r="R10" s="1847"/>
      <c r="S10" s="1847"/>
      <c r="T10" s="1847"/>
      <c r="U10" s="1847"/>
      <c r="V10" s="1847"/>
      <c r="W10" s="1847"/>
      <c r="X10" s="1848"/>
      <c r="Y10" s="525">
        <f t="shared" si="0"/>
        <v>0</v>
      </c>
      <c r="Z10" s="579">
        <f t="shared" si="28"/>
        <v>0</v>
      </c>
      <c r="AA10" s="552">
        <f t="shared" si="29"/>
        <v>0</v>
      </c>
      <c r="AB10" s="574"/>
      <c r="AC10" s="574"/>
      <c r="AD10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</f>
        <v/>
      </c>
      <c r="AE10" s="1372" t="str">
        <f>IF($AD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)</f>
        <v/>
      </c>
      <c r="AF10" s="1838" t="str">
        <f t="shared" si="1"/>
        <v/>
      </c>
      <c r="AG10" s="1838" t="str">
        <f t="shared" si="2"/>
        <v/>
      </c>
      <c r="AH10" s="1838" t="str">
        <f t="shared" si="3"/>
        <v/>
      </c>
      <c r="AI10" s="1838" t="str">
        <f t="shared" si="4"/>
        <v/>
      </c>
      <c r="AJ10" s="1838" t="str">
        <f t="shared" si="5"/>
        <v/>
      </c>
      <c r="AK10" s="1839" t="str">
        <f t="shared" si="6"/>
        <v/>
      </c>
      <c r="AL10" s="1839" t="str">
        <f t="shared" si="7"/>
        <v/>
      </c>
      <c r="AM10" s="1839" t="str">
        <f t="shared" si="8"/>
        <v/>
      </c>
      <c r="AN10" s="1839" t="str">
        <f t="shared" si="9"/>
        <v/>
      </c>
      <c r="AO10" s="1839" t="str">
        <f t="shared" si="10"/>
        <v/>
      </c>
      <c r="AP10" s="1839" t="str">
        <f t="shared" si="11"/>
        <v/>
      </c>
      <c r="AQ10" s="1839" t="str">
        <f t="shared" si="12"/>
        <v/>
      </c>
      <c r="AR10" s="1839" t="str">
        <f t="shared" si="13"/>
        <v/>
      </c>
      <c r="AS10" s="1839" t="str">
        <f t="shared" si="14"/>
        <v/>
      </c>
      <c r="AT10" s="1839" t="str">
        <f t="shared" si="15"/>
        <v/>
      </c>
      <c r="AU10" s="1839" t="str">
        <f t="shared" si="16"/>
        <v/>
      </c>
      <c r="AV10" s="1839" t="str">
        <f t="shared" si="17"/>
        <v/>
      </c>
      <c r="AW10" s="1839" t="str">
        <f t="shared" si="18"/>
        <v/>
      </c>
      <c r="AX10" s="1839" t="str">
        <f t="shared" si="19"/>
        <v/>
      </c>
      <c r="AY10" s="1368" t="str">
        <f t="shared" si="20"/>
        <v/>
      </c>
      <c r="AZ10" s="1368" t="str">
        <f t="shared" si="21"/>
        <v/>
      </c>
      <c r="BA10" s="1368" t="str">
        <f t="shared" si="22"/>
        <v/>
      </c>
      <c r="BB10" s="1368" t="str">
        <f t="shared" si="23"/>
        <v/>
      </c>
      <c r="BC10" s="1369" t="str">
        <f t="shared" si="24"/>
        <v/>
      </c>
      <c r="BD10" s="30"/>
      <c r="BE10" s="30"/>
      <c r="BF10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10))),"")</f>
        <v/>
      </c>
      <c r="BG10" s="576" t="str">
        <f t="shared" si="25"/>
        <v/>
      </c>
      <c r="BH10" s="577" t="str">
        <f t="shared" si="26"/>
        <v/>
      </c>
      <c r="BI10" s="578" t="str">
        <f t="shared" si="27"/>
        <v/>
      </c>
      <c r="CN10"/>
      <c r="CO10"/>
      <c r="CP10"/>
      <c r="CQ10"/>
      <c r="CR10"/>
      <c r="CS10"/>
      <c r="CT10"/>
      <c r="CU10"/>
    </row>
    <row r="11" spans="1:99" ht="45.75">
      <c r="A11" s="2257"/>
      <c r="C11" s="42">
        <f>+PP!B29</f>
        <v>6</v>
      </c>
      <c r="D11" s="229" t="str">
        <f>+PP!C29</f>
        <v>ALETA ENTERA 500-1000 g/pza</v>
      </c>
      <c r="E11" s="2013"/>
      <c r="F11" s="1802"/>
      <c r="G11" s="1802"/>
      <c r="H11" s="1802"/>
      <c r="I11" s="1802"/>
      <c r="J11" s="1802"/>
      <c r="K11" s="1802"/>
      <c r="L11" s="1802"/>
      <c r="M11" s="1802"/>
      <c r="N11" s="1802"/>
      <c r="O11" s="1802"/>
      <c r="P11" s="1802"/>
      <c r="Q11" s="1802"/>
      <c r="R11" s="1847"/>
      <c r="S11" s="1847"/>
      <c r="T11" s="1847"/>
      <c r="U11" s="1847"/>
      <c r="V11" s="1847"/>
      <c r="W11" s="1847"/>
      <c r="X11" s="1848"/>
      <c r="Y11" s="525">
        <f t="shared" si="0"/>
        <v>0</v>
      </c>
      <c r="Z11" s="579">
        <f t="shared" si="28"/>
        <v>0</v>
      </c>
      <c r="AA11" s="552">
        <f t="shared" si="29"/>
        <v>0</v>
      </c>
      <c r="AB11" s="574"/>
      <c r="AC11" s="574"/>
      <c r="AD11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</f>
        <v/>
      </c>
      <c r="AE11" s="1372" t="str">
        <f>IF($AD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)</f>
        <v/>
      </c>
      <c r="AF11" s="1838" t="str">
        <f t="shared" si="1"/>
        <v/>
      </c>
      <c r="AG11" s="1838" t="str">
        <f t="shared" si="2"/>
        <v/>
      </c>
      <c r="AH11" s="1838" t="str">
        <f t="shared" si="3"/>
        <v/>
      </c>
      <c r="AI11" s="1838" t="str">
        <f t="shared" si="4"/>
        <v/>
      </c>
      <c r="AJ11" s="1838" t="str">
        <f t="shared" si="5"/>
        <v/>
      </c>
      <c r="AK11" s="1839" t="str">
        <f t="shared" si="6"/>
        <v/>
      </c>
      <c r="AL11" s="1839" t="str">
        <f t="shared" si="7"/>
        <v/>
      </c>
      <c r="AM11" s="1839" t="str">
        <f t="shared" si="8"/>
        <v/>
      </c>
      <c r="AN11" s="1839" t="str">
        <f t="shared" si="9"/>
        <v/>
      </c>
      <c r="AO11" s="1839" t="str">
        <f t="shared" si="10"/>
        <v/>
      </c>
      <c r="AP11" s="1839" t="str">
        <f t="shared" si="11"/>
        <v/>
      </c>
      <c r="AQ11" s="1839" t="str">
        <f t="shared" si="12"/>
        <v/>
      </c>
      <c r="AR11" s="1839" t="str">
        <f t="shared" si="13"/>
        <v/>
      </c>
      <c r="AS11" s="1839" t="str">
        <f t="shared" si="14"/>
        <v/>
      </c>
      <c r="AT11" s="1839" t="str">
        <f t="shared" si="15"/>
        <v/>
      </c>
      <c r="AU11" s="1839" t="str">
        <f t="shared" si="16"/>
        <v/>
      </c>
      <c r="AV11" s="1839" t="str">
        <f t="shared" si="17"/>
        <v/>
      </c>
      <c r="AW11" s="1839" t="str">
        <f t="shared" si="18"/>
        <v/>
      </c>
      <c r="AX11" s="1839" t="str">
        <f t="shared" si="19"/>
        <v/>
      </c>
      <c r="AY11" s="1368" t="str">
        <f t="shared" si="20"/>
        <v/>
      </c>
      <c r="AZ11" s="1368" t="str">
        <f t="shared" si="21"/>
        <v/>
      </c>
      <c r="BA11" s="1368" t="str">
        <f t="shared" si="22"/>
        <v/>
      </c>
      <c r="BB11" s="1368" t="str">
        <f t="shared" si="23"/>
        <v/>
      </c>
      <c r="BC11" s="1369" t="str">
        <f t="shared" si="24"/>
        <v/>
      </c>
      <c r="BD11" s="30"/>
      <c r="BE11" s="30"/>
      <c r="BF11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11))),"")</f>
        <v/>
      </c>
      <c r="BG11" s="576" t="str">
        <f t="shared" si="25"/>
        <v/>
      </c>
      <c r="BH11" s="577" t="str">
        <f t="shared" si="26"/>
        <v/>
      </c>
      <c r="BI11" s="578" t="str">
        <f t="shared" si="27"/>
        <v/>
      </c>
      <c r="CN11"/>
      <c r="CO11"/>
      <c r="CP11"/>
      <c r="CQ11"/>
      <c r="CR11"/>
      <c r="CS11"/>
      <c r="CT11"/>
      <c r="CU11"/>
    </row>
    <row r="12" spans="1:99" ht="45.75">
      <c r="A12" s="2257"/>
      <c r="C12" s="42">
        <f>+PP!B30</f>
        <v>7</v>
      </c>
      <c r="D12" s="229" t="str">
        <f>+PP!C30</f>
        <v>ALETA ENTERA 1.0-2.0 kg/pza</v>
      </c>
      <c r="E12" s="2013"/>
      <c r="F12" s="1802"/>
      <c r="G12" s="1802"/>
      <c r="H12" s="1802"/>
      <c r="I12" s="1802"/>
      <c r="J12" s="1802"/>
      <c r="K12" s="1802"/>
      <c r="L12" s="1802"/>
      <c r="M12" s="1802"/>
      <c r="N12" s="1802"/>
      <c r="O12" s="1802"/>
      <c r="P12" s="1802"/>
      <c r="Q12" s="1802"/>
      <c r="R12" s="1847"/>
      <c r="S12" s="1847"/>
      <c r="T12" s="1847"/>
      <c r="U12" s="1847"/>
      <c r="V12" s="1847"/>
      <c r="W12" s="1847"/>
      <c r="X12" s="1848"/>
      <c r="Y12" s="525">
        <f t="shared" si="0"/>
        <v>0</v>
      </c>
      <c r="Z12" s="579">
        <f t="shared" si="28"/>
        <v>0</v>
      </c>
      <c r="AA12" s="552">
        <f t="shared" si="29"/>
        <v>0</v>
      </c>
      <c r="AB12" s="574"/>
      <c r="AC12" s="574"/>
      <c r="AD12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</f>
        <v/>
      </c>
      <c r="AE12" s="1372" t="str">
        <f>IF($AD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)</f>
        <v/>
      </c>
      <c r="AF12" s="1838" t="str">
        <f t="shared" si="1"/>
        <v/>
      </c>
      <c r="AG12" s="1838" t="str">
        <f t="shared" si="2"/>
        <v/>
      </c>
      <c r="AH12" s="1838" t="str">
        <f t="shared" si="3"/>
        <v/>
      </c>
      <c r="AI12" s="1838" t="str">
        <f t="shared" si="4"/>
        <v/>
      </c>
      <c r="AJ12" s="1838" t="str">
        <f t="shared" si="5"/>
        <v/>
      </c>
      <c r="AK12" s="1839" t="str">
        <f t="shared" si="6"/>
        <v/>
      </c>
      <c r="AL12" s="1839" t="str">
        <f t="shared" si="7"/>
        <v/>
      </c>
      <c r="AM12" s="1839" t="str">
        <f t="shared" si="8"/>
        <v/>
      </c>
      <c r="AN12" s="1839" t="str">
        <f t="shared" si="9"/>
        <v/>
      </c>
      <c r="AO12" s="1839" t="str">
        <f t="shared" si="10"/>
        <v/>
      </c>
      <c r="AP12" s="1839" t="str">
        <f t="shared" si="11"/>
        <v/>
      </c>
      <c r="AQ12" s="1839" t="str">
        <f t="shared" si="12"/>
        <v/>
      </c>
      <c r="AR12" s="1839" t="str">
        <f t="shared" si="13"/>
        <v/>
      </c>
      <c r="AS12" s="1839" t="str">
        <f t="shared" si="14"/>
        <v/>
      </c>
      <c r="AT12" s="1839" t="str">
        <f t="shared" si="15"/>
        <v/>
      </c>
      <c r="AU12" s="1839" t="str">
        <f t="shared" si="16"/>
        <v/>
      </c>
      <c r="AV12" s="1839" t="str">
        <f t="shared" si="17"/>
        <v/>
      </c>
      <c r="AW12" s="1839" t="str">
        <f t="shared" si="18"/>
        <v/>
      </c>
      <c r="AX12" s="1839" t="str">
        <f t="shared" si="19"/>
        <v/>
      </c>
      <c r="AY12" s="1368" t="str">
        <f t="shared" si="20"/>
        <v/>
      </c>
      <c r="AZ12" s="1368" t="str">
        <f t="shared" si="21"/>
        <v/>
      </c>
      <c r="BA12" s="1368" t="str">
        <f t="shared" si="22"/>
        <v/>
      </c>
      <c r="BB12" s="1368" t="str">
        <f t="shared" si="23"/>
        <v/>
      </c>
      <c r="BC12" s="1369" t="str">
        <f t="shared" si="24"/>
        <v/>
      </c>
      <c r="BD12" s="30"/>
      <c r="BE12" s="30"/>
      <c r="BF12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12))),"")</f>
        <v/>
      </c>
      <c r="BG12" s="576" t="str">
        <f t="shared" si="25"/>
        <v/>
      </c>
      <c r="BH12" s="577" t="str">
        <f t="shared" si="26"/>
        <v/>
      </c>
      <c r="BI12" s="578" t="str">
        <f t="shared" si="27"/>
        <v/>
      </c>
      <c r="CN12"/>
      <c r="CO12"/>
      <c r="CP12"/>
      <c r="CQ12"/>
      <c r="CR12"/>
      <c r="CS12"/>
      <c r="CT12"/>
      <c r="CU12"/>
    </row>
    <row r="13" spans="1:99" ht="45.75">
      <c r="A13" s="2257"/>
      <c r="C13" s="42">
        <f>+PP!B31</f>
        <v>8</v>
      </c>
      <c r="D13" s="229" t="str">
        <f>+PP!C31</f>
        <v>ALETA FRESCA PARTIDA 2.0-4.0 kg/pza</v>
      </c>
      <c r="E13" s="2013"/>
      <c r="F13" s="1802"/>
      <c r="G13" s="1802"/>
      <c r="H13" s="1802"/>
      <c r="I13" s="1802"/>
      <c r="J13" s="1802"/>
      <c r="K13" s="1802"/>
      <c r="L13" s="1802"/>
      <c r="M13" s="1802"/>
      <c r="N13" s="1802"/>
      <c r="O13" s="1802"/>
      <c r="P13" s="1802"/>
      <c r="Q13" s="1802"/>
      <c r="R13" s="1847"/>
      <c r="S13" s="1847"/>
      <c r="T13" s="1847"/>
      <c r="U13" s="1847"/>
      <c r="V13" s="1847"/>
      <c r="W13" s="1847"/>
      <c r="X13" s="1848"/>
      <c r="Y13" s="525">
        <f t="shared" si="0"/>
        <v>0</v>
      </c>
      <c r="Z13" s="579">
        <f t="shared" si="28"/>
        <v>0</v>
      </c>
      <c r="AA13" s="552">
        <f t="shared" si="29"/>
        <v>0</v>
      </c>
      <c r="AB13" s="574"/>
      <c r="AC13" s="574"/>
      <c r="AD13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</f>
        <v/>
      </c>
      <c r="AE13" s="1372" t="str">
        <f>IF($AD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)</f>
        <v/>
      </c>
      <c r="AF13" s="1838" t="str">
        <f t="shared" si="1"/>
        <v/>
      </c>
      <c r="AG13" s="1838" t="str">
        <f t="shared" si="2"/>
        <v/>
      </c>
      <c r="AH13" s="1838" t="str">
        <f t="shared" si="3"/>
        <v/>
      </c>
      <c r="AI13" s="1838" t="str">
        <f t="shared" si="4"/>
        <v/>
      </c>
      <c r="AJ13" s="1838" t="str">
        <f t="shared" si="5"/>
        <v/>
      </c>
      <c r="AK13" s="1839" t="str">
        <f t="shared" si="6"/>
        <v/>
      </c>
      <c r="AL13" s="1839" t="str">
        <f t="shared" si="7"/>
        <v/>
      </c>
      <c r="AM13" s="1839" t="str">
        <f t="shared" si="8"/>
        <v/>
      </c>
      <c r="AN13" s="1839" t="str">
        <f t="shared" si="9"/>
        <v/>
      </c>
      <c r="AO13" s="1839" t="str">
        <f t="shared" si="10"/>
        <v/>
      </c>
      <c r="AP13" s="1839" t="str">
        <f t="shared" si="11"/>
        <v/>
      </c>
      <c r="AQ13" s="1839" t="str">
        <f t="shared" si="12"/>
        <v/>
      </c>
      <c r="AR13" s="1839" t="str">
        <f t="shared" si="13"/>
        <v/>
      </c>
      <c r="AS13" s="1839" t="str">
        <f t="shared" si="14"/>
        <v/>
      </c>
      <c r="AT13" s="1839" t="str">
        <f t="shared" si="15"/>
        <v/>
      </c>
      <c r="AU13" s="1839" t="str">
        <f t="shared" si="16"/>
        <v/>
      </c>
      <c r="AV13" s="1839" t="str">
        <f t="shared" si="17"/>
        <v/>
      </c>
      <c r="AW13" s="1839" t="str">
        <f t="shared" si="18"/>
        <v/>
      </c>
      <c r="AX13" s="1839" t="str">
        <f t="shared" si="19"/>
        <v/>
      </c>
      <c r="AY13" s="1368" t="str">
        <f t="shared" si="20"/>
        <v/>
      </c>
      <c r="AZ13" s="1368" t="str">
        <f t="shared" si="21"/>
        <v/>
      </c>
      <c r="BA13" s="1368" t="str">
        <f t="shared" si="22"/>
        <v/>
      </c>
      <c r="BB13" s="1368" t="str">
        <f t="shared" si="23"/>
        <v/>
      </c>
      <c r="BC13" s="1369" t="str">
        <f t="shared" si="24"/>
        <v/>
      </c>
      <c r="BD13" s="30"/>
      <c r="BE13" s="30"/>
      <c r="BF13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13))),"")</f>
        <v/>
      </c>
      <c r="BG13" s="576" t="str">
        <f t="shared" si="25"/>
        <v/>
      </c>
      <c r="BH13" s="577" t="str">
        <f t="shared" si="26"/>
        <v/>
      </c>
      <c r="BI13" s="578" t="str">
        <f t="shared" si="27"/>
        <v/>
      </c>
      <c r="CN13"/>
      <c r="CO13"/>
      <c r="CP13"/>
      <c r="CQ13"/>
      <c r="CR13"/>
      <c r="CS13"/>
      <c r="CT13"/>
      <c r="CU13"/>
    </row>
    <row r="14" spans="1:99" ht="45.75">
      <c r="A14" s="2257"/>
      <c r="C14" s="42">
        <f>+PP!B32</f>
        <v>9</v>
      </c>
      <c r="D14" s="229" t="str">
        <f>+PP!C32</f>
        <v>ALETA PRECOCIDA ENTERA 300-UP g/pza</v>
      </c>
      <c r="E14" s="2013"/>
      <c r="F14" s="1802"/>
      <c r="G14" s="1802"/>
      <c r="H14" s="1802"/>
      <c r="I14" s="1802"/>
      <c r="J14" s="1802"/>
      <c r="K14" s="1802"/>
      <c r="L14" s="1802"/>
      <c r="M14" s="1802"/>
      <c r="N14" s="1802"/>
      <c r="O14" s="1802"/>
      <c r="P14" s="1802"/>
      <c r="Q14" s="1802"/>
      <c r="R14" s="1847"/>
      <c r="S14" s="1847"/>
      <c r="T14" s="1847"/>
      <c r="U14" s="1847"/>
      <c r="V14" s="1847"/>
      <c r="W14" s="1847"/>
      <c r="X14" s="1848"/>
      <c r="Y14" s="525">
        <f t="shared" si="0"/>
        <v>0</v>
      </c>
      <c r="Z14" s="579">
        <f t="shared" si="28"/>
        <v>0</v>
      </c>
      <c r="AA14" s="552">
        <f t="shared" si="29"/>
        <v>0</v>
      </c>
      <c r="AB14" s="574"/>
      <c r="AC14" s="574"/>
      <c r="AD14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</f>
        <v/>
      </c>
      <c r="AE14" s="1372" t="str">
        <f>IF($AD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)</f>
        <v/>
      </c>
      <c r="AF14" s="1838" t="str">
        <f t="shared" si="1"/>
        <v/>
      </c>
      <c r="AG14" s="1838" t="str">
        <f t="shared" si="2"/>
        <v/>
      </c>
      <c r="AH14" s="1838" t="str">
        <f t="shared" si="3"/>
        <v/>
      </c>
      <c r="AI14" s="1838" t="str">
        <f t="shared" si="4"/>
        <v/>
      </c>
      <c r="AJ14" s="1838" t="str">
        <f t="shared" si="5"/>
        <v/>
      </c>
      <c r="AK14" s="1839" t="str">
        <f t="shared" si="6"/>
        <v/>
      </c>
      <c r="AL14" s="1839" t="str">
        <f t="shared" si="7"/>
        <v/>
      </c>
      <c r="AM14" s="1839" t="str">
        <f t="shared" si="8"/>
        <v/>
      </c>
      <c r="AN14" s="1839" t="str">
        <f t="shared" si="9"/>
        <v/>
      </c>
      <c r="AO14" s="1839" t="str">
        <f t="shared" si="10"/>
        <v/>
      </c>
      <c r="AP14" s="1839" t="str">
        <f t="shared" si="11"/>
        <v/>
      </c>
      <c r="AQ14" s="1839" t="str">
        <f t="shared" si="12"/>
        <v/>
      </c>
      <c r="AR14" s="1839" t="str">
        <f t="shared" si="13"/>
        <v/>
      </c>
      <c r="AS14" s="1839" t="str">
        <f t="shared" si="14"/>
        <v/>
      </c>
      <c r="AT14" s="1839" t="str">
        <f t="shared" si="15"/>
        <v/>
      </c>
      <c r="AU14" s="1839" t="str">
        <f t="shared" si="16"/>
        <v/>
      </c>
      <c r="AV14" s="1839" t="str">
        <f t="shared" si="17"/>
        <v/>
      </c>
      <c r="AW14" s="1839" t="str">
        <f t="shared" si="18"/>
        <v/>
      </c>
      <c r="AX14" s="1839" t="str">
        <f t="shared" si="19"/>
        <v/>
      </c>
      <c r="AY14" s="1368" t="str">
        <f t="shared" si="20"/>
        <v/>
      </c>
      <c r="AZ14" s="1368" t="str">
        <f t="shared" si="21"/>
        <v/>
      </c>
      <c r="BA14" s="1368" t="str">
        <f t="shared" si="22"/>
        <v/>
      </c>
      <c r="BB14" s="1368" t="str">
        <f t="shared" si="23"/>
        <v/>
      </c>
      <c r="BC14" s="1369" t="str">
        <f t="shared" si="24"/>
        <v/>
      </c>
      <c r="BD14" s="30"/>
      <c r="BE14" s="30"/>
      <c r="BF14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14))),"")</f>
        <v/>
      </c>
      <c r="BG14" s="576" t="str">
        <f t="shared" si="25"/>
        <v/>
      </c>
      <c r="BH14" s="577" t="str">
        <f t="shared" si="26"/>
        <v/>
      </c>
      <c r="BI14" s="578" t="str">
        <f t="shared" si="27"/>
        <v/>
      </c>
      <c r="CN14"/>
      <c r="CO14"/>
      <c r="CP14"/>
      <c r="CQ14"/>
      <c r="CR14"/>
      <c r="CS14"/>
      <c r="CT14"/>
      <c r="CU14"/>
    </row>
    <row r="15" spans="1:99" ht="46.5" thickBot="1">
      <c r="A15" s="2257"/>
      <c r="C15" s="40">
        <f>+PP!B33</f>
        <v>10</v>
      </c>
      <c r="D15" s="591" t="str">
        <f>+PP!C33</f>
        <v>ALETA PRECOCIDA PARTIDA 300-UP g/pza</v>
      </c>
      <c r="E15" s="2972"/>
      <c r="F15" s="2973"/>
      <c r="G15" s="2973"/>
      <c r="H15" s="2973"/>
      <c r="I15" s="2973"/>
      <c r="J15" s="2973"/>
      <c r="K15" s="2973"/>
      <c r="L15" s="2973"/>
      <c r="M15" s="2973"/>
      <c r="N15" s="2973"/>
      <c r="O15" s="2973"/>
      <c r="P15" s="2973"/>
      <c r="Q15" s="2973"/>
      <c r="R15" s="2975"/>
      <c r="S15" s="2975"/>
      <c r="T15" s="2975"/>
      <c r="U15" s="2975"/>
      <c r="V15" s="2975"/>
      <c r="W15" s="2975"/>
      <c r="X15" s="2978"/>
      <c r="Y15" s="511">
        <f t="shared" si="0"/>
        <v>0</v>
      </c>
      <c r="Z15" s="582">
        <f t="shared" si="28"/>
        <v>0</v>
      </c>
      <c r="AA15" s="507">
        <f t="shared" si="29"/>
        <v>0</v>
      </c>
      <c r="AB15" s="574"/>
      <c r="AC15" s="574"/>
      <c r="AD15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</f>
        <v/>
      </c>
      <c r="AE15" s="1372" t="str">
        <f>IF($AD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)</f>
        <v/>
      </c>
      <c r="AF15" s="1838" t="str">
        <f t="shared" si="1"/>
        <v/>
      </c>
      <c r="AG15" s="1838" t="str">
        <f t="shared" si="2"/>
        <v/>
      </c>
      <c r="AH15" s="1838" t="str">
        <f t="shared" si="3"/>
        <v/>
      </c>
      <c r="AI15" s="1838" t="str">
        <f t="shared" si="4"/>
        <v/>
      </c>
      <c r="AJ15" s="1838" t="str">
        <f t="shared" si="5"/>
        <v/>
      </c>
      <c r="AK15" s="1839" t="str">
        <f t="shared" si="6"/>
        <v/>
      </c>
      <c r="AL15" s="1839" t="str">
        <f t="shared" si="7"/>
        <v/>
      </c>
      <c r="AM15" s="1839" t="str">
        <f t="shared" si="8"/>
        <v/>
      </c>
      <c r="AN15" s="1839" t="str">
        <f t="shared" si="9"/>
        <v/>
      </c>
      <c r="AO15" s="1839" t="str">
        <f t="shared" si="10"/>
        <v/>
      </c>
      <c r="AP15" s="1839" t="str">
        <f t="shared" si="11"/>
        <v/>
      </c>
      <c r="AQ15" s="1839" t="str">
        <f t="shared" si="12"/>
        <v/>
      </c>
      <c r="AR15" s="1839" t="str">
        <f t="shared" si="13"/>
        <v/>
      </c>
      <c r="AS15" s="1839" t="str">
        <f t="shared" si="14"/>
        <v/>
      </c>
      <c r="AT15" s="1839" t="str">
        <f t="shared" si="15"/>
        <v/>
      </c>
      <c r="AU15" s="1839" t="str">
        <f t="shared" si="16"/>
        <v/>
      </c>
      <c r="AV15" s="1839" t="str">
        <f t="shared" si="17"/>
        <v/>
      </c>
      <c r="AW15" s="1839" t="str">
        <f t="shared" si="18"/>
        <v/>
      </c>
      <c r="AX15" s="1839" t="str">
        <f t="shared" si="19"/>
        <v/>
      </c>
      <c r="AY15" s="1368" t="str">
        <f t="shared" si="20"/>
        <v/>
      </c>
      <c r="AZ15" s="1368" t="str">
        <f t="shared" si="21"/>
        <v/>
      </c>
      <c r="BA15" s="1368" t="str">
        <f t="shared" si="22"/>
        <v/>
      </c>
      <c r="BB15" s="1368" t="str">
        <f t="shared" si="23"/>
        <v/>
      </c>
      <c r="BC15" s="1369" t="str">
        <f t="shared" si="24"/>
        <v/>
      </c>
      <c r="BD15" s="30"/>
      <c r="BE15" s="30"/>
      <c r="BF15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15))),"")</f>
        <v/>
      </c>
      <c r="BG15" s="576" t="str">
        <f t="shared" si="25"/>
        <v/>
      </c>
      <c r="BH15" s="577" t="str">
        <f t="shared" si="26"/>
        <v/>
      </c>
      <c r="BI15" s="578" t="str">
        <f t="shared" si="27"/>
        <v/>
      </c>
      <c r="CN15"/>
      <c r="CO15"/>
      <c r="CP15"/>
      <c r="CQ15"/>
      <c r="CR15"/>
      <c r="CS15"/>
      <c r="CT15"/>
      <c r="CU15"/>
    </row>
    <row r="16" spans="1:99" ht="45.75">
      <c r="A16" s="2257"/>
      <c r="C16" s="41">
        <f>+PP!B34</f>
        <v>11</v>
      </c>
      <c r="D16" s="259" t="str">
        <f>+PP!C34</f>
        <v>BOTON BLANCO SM ST</v>
      </c>
      <c r="E16" s="2967"/>
      <c r="F16" s="2968"/>
      <c r="G16" s="2968"/>
      <c r="H16" s="2968"/>
      <c r="I16" s="2968"/>
      <c r="J16" s="2968"/>
      <c r="K16" s="2968"/>
      <c r="L16" s="2968"/>
      <c r="M16" s="2968"/>
      <c r="N16" s="2968"/>
      <c r="O16" s="2968"/>
      <c r="P16" s="2968"/>
      <c r="Q16" s="2968"/>
      <c r="R16" s="2970"/>
      <c r="S16" s="2970"/>
      <c r="T16" s="2970"/>
      <c r="U16" s="2970"/>
      <c r="V16" s="2970"/>
      <c r="W16" s="2970"/>
      <c r="X16" s="2977"/>
      <c r="Y16" s="510">
        <f t="shared" si="0"/>
        <v>0</v>
      </c>
      <c r="Z16" s="573">
        <f t="shared" si="28"/>
        <v>0</v>
      </c>
      <c r="AA16" s="490">
        <f t="shared" si="29"/>
        <v>0</v>
      </c>
      <c r="AB16" s="574"/>
      <c r="AC16" s="574"/>
      <c r="AD16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</f>
        <v/>
      </c>
      <c r="AE16" s="1372" t="str">
        <f>IF($AD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)</f>
        <v/>
      </c>
      <c r="AF16" s="1838" t="str">
        <f t="shared" si="1"/>
        <v/>
      </c>
      <c r="AG16" s="1838" t="str">
        <f t="shared" si="2"/>
        <v/>
      </c>
      <c r="AH16" s="1838" t="str">
        <f t="shared" si="3"/>
        <v/>
      </c>
      <c r="AI16" s="1838" t="str">
        <f t="shared" si="4"/>
        <v/>
      </c>
      <c r="AJ16" s="1838" t="str">
        <f t="shared" si="5"/>
        <v/>
      </c>
      <c r="AK16" s="1839" t="str">
        <f t="shared" si="6"/>
        <v/>
      </c>
      <c r="AL16" s="1839" t="str">
        <f t="shared" si="7"/>
        <v/>
      </c>
      <c r="AM16" s="1839" t="str">
        <f t="shared" si="8"/>
        <v/>
      </c>
      <c r="AN16" s="1839" t="str">
        <f t="shared" si="9"/>
        <v/>
      </c>
      <c r="AO16" s="1839" t="str">
        <f t="shared" si="10"/>
        <v/>
      </c>
      <c r="AP16" s="1839" t="str">
        <f t="shared" si="11"/>
        <v/>
      </c>
      <c r="AQ16" s="1839" t="str">
        <f t="shared" si="12"/>
        <v/>
      </c>
      <c r="AR16" s="1839" t="str">
        <f t="shared" si="13"/>
        <v/>
      </c>
      <c r="AS16" s="1839" t="str">
        <f t="shared" si="14"/>
        <v/>
      </c>
      <c r="AT16" s="1839" t="str">
        <f t="shared" si="15"/>
        <v/>
      </c>
      <c r="AU16" s="1839" t="str">
        <f t="shared" si="16"/>
        <v/>
      </c>
      <c r="AV16" s="1839" t="str">
        <f t="shared" si="17"/>
        <v/>
      </c>
      <c r="AW16" s="1839" t="str">
        <f t="shared" si="18"/>
        <v/>
      </c>
      <c r="AX16" s="1839" t="str">
        <f t="shared" si="19"/>
        <v/>
      </c>
      <c r="AY16" s="1368" t="str">
        <f t="shared" si="20"/>
        <v/>
      </c>
      <c r="AZ16" s="1368" t="str">
        <f t="shared" si="21"/>
        <v/>
      </c>
      <c r="BA16" s="1368" t="str">
        <f t="shared" si="22"/>
        <v/>
      </c>
      <c r="BB16" s="1368" t="str">
        <f t="shared" si="23"/>
        <v/>
      </c>
      <c r="BC16" s="1369" t="str">
        <f t="shared" si="24"/>
        <v/>
      </c>
      <c r="BD16" s="30"/>
      <c r="BE16" s="30"/>
      <c r="BF1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16))),"")</f>
        <v/>
      </c>
      <c r="BG16" s="576" t="str">
        <f t="shared" si="25"/>
        <v/>
      </c>
      <c r="BH16" s="577" t="str">
        <f t="shared" si="26"/>
        <v/>
      </c>
      <c r="BI16" s="578" t="str">
        <f t="shared" si="27"/>
        <v/>
      </c>
      <c r="CN16"/>
      <c r="CO16"/>
      <c r="CP16"/>
      <c r="CQ16"/>
      <c r="CR16"/>
      <c r="CS16"/>
      <c r="CT16"/>
      <c r="CU16"/>
    </row>
    <row r="17" spans="1:99" ht="46.5" thickBot="1">
      <c r="A17" s="2257"/>
      <c r="C17" s="40">
        <f>+PP!B35</f>
        <v>12</v>
      </c>
      <c r="D17" s="591" t="str">
        <f>+PP!C35</f>
        <v>BOTON AMARILLO SM ST</v>
      </c>
      <c r="E17" s="2972"/>
      <c r="F17" s="2973"/>
      <c r="G17" s="2973"/>
      <c r="H17" s="2973"/>
      <c r="I17" s="2973"/>
      <c r="J17" s="2973"/>
      <c r="K17" s="2973"/>
      <c r="L17" s="2973"/>
      <c r="M17" s="2973"/>
      <c r="N17" s="2973"/>
      <c r="O17" s="2973"/>
      <c r="P17" s="2973"/>
      <c r="Q17" s="2973"/>
      <c r="R17" s="2975"/>
      <c r="S17" s="2975"/>
      <c r="T17" s="2975"/>
      <c r="U17" s="2975"/>
      <c r="V17" s="2975"/>
      <c r="W17" s="2975"/>
      <c r="X17" s="2978"/>
      <c r="Y17" s="511">
        <f t="shared" si="0"/>
        <v>0</v>
      </c>
      <c r="Z17" s="582">
        <f t="shared" si="28"/>
        <v>0</v>
      </c>
      <c r="AA17" s="507">
        <f t="shared" si="29"/>
        <v>0</v>
      </c>
      <c r="AB17" s="574"/>
      <c r="AC17" s="574"/>
      <c r="AD17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</f>
        <v/>
      </c>
      <c r="AE17" s="1372" t="str">
        <f>IF($AD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)</f>
        <v/>
      </c>
      <c r="AF17" s="1838" t="str">
        <f t="shared" si="1"/>
        <v/>
      </c>
      <c r="AG17" s="1838" t="str">
        <f t="shared" si="2"/>
        <v/>
      </c>
      <c r="AH17" s="1838" t="str">
        <f t="shared" si="3"/>
        <v/>
      </c>
      <c r="AI17" s="1838" t="str">
        <f t="shared" si="4"/>
        <v/>
      </c>
      <c r="AJ17" s="1838" t="str">
        <f t="shared" si="5"/>
        <v/>
      </c>
      <c r="AK17" s="1839" t="str">
        <f t="shared" si="6"/>
        <v/>
      </c>
      <c r="AL17" s="1839" t="str">
        <f t="shared" si="7"/>
        <v/>
      </c>
      <c r="AM17" s="1839" t="str">
        <f t="shared" si="8"/>
        <v/>
      </c>
      <c r="AN17" s="1839" t="str">
        <f t="shared" si="9"/>
        <v/>
      </c>
      <c r="AO17" s="1839" t="str">
        <f t="shared" si="10"/>
        <v/>
      </c>
      <c r="AP17" s="1839" t="str">
        <f t="shared" si="11"/>
        <v/>
      </c>
      <c r="AQ17" s="1839" t="str">
        <f t="shared" si="12"/>
        <v/>
      </c>
      <c r="AR17" s="1839" t="str">
        <f t="shared" si="13"/>
        <v/>
      </c>
      <c r="AS17" s="1839" t="str">
        <f t="shared" si="14"/>
        <v/>
      </c>
      <c r="AT17" s="1839" t="str">
        <f t="shared" si="15"/>
        <v/>
      </c>
      <c r="AU17" s="1839" t="str">
        <f t="shared" si="16"/>
        <v/>
      </c>
      <c r="AV17" s="1839" t="str">
        <f t="shared" si="17"/>
        <v/>
      </c>
      <c r="AW17" s="1839" t="str">
        <f t="shared" si="18"/>
        <v/>
      </c>
      <c r="AX17" s="1839" t="str">
        <f t="shared" si="19"/>
        <v/>
      </c>
      <c r="AY17" s="1368" t="str">
        <f t="shared" si="20"/>
        <v/>
      </c>
      <c r="AZ17" s="1368" t="str">
        <f t="shared" si="21"/>
        <v/>
      </c>
      <c r="BA17" s="1368" t="str">
        <f t="shared" si="22"/>
        <v/>
      </c>
      <c r="BB17" s="1368" t="str">
        <f t="shared" si="23"/>
        <v/>
      </c>
      <c r="BC17" s="1369" t="str">
        <f t="shared" si="24"/>
        <v/>
      </c>
      <c r="BD17" s="30"/>
      <c r="BE17" s="30"/>
      <c r="BF1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17))),"")</f>
        <v/>
      </c>
      <c r="BG17" s="576" t="str">
        <f t="shared" si="25"/>
        <v/>
      </c>
      <c r="BH17" s="577" t="str">
        <f t="shared" si="26"/>
        <v/>
      </c>
      <c r="BI17" s="578" t="str">
        <f t="shared" si="27"/>
        <v/>
      </c>
      <c r="CN17"/>
      <c r="CO17"/>
      <c r="CP17"/>
      <c r="CQ17"/>
      <c r="CR17"/>
      <c r="CS17"/>
      <c r="CT17"/>
      <c r="CU17"/>
    </row>
    <row r="18" spans="1:99" ht="46.5" thickBot="1">
      <c r="A18" s="2257"/>
      <c r="C18" s="526">
        <f>+PP!B36</f>
        <v>13</v>
      </c>
      <c r="D18" s="538" t="str">
        <f>+PP!C36</f>
        <v>CONOS DE POTA</v>
      </c>
      <c r="E18" s="2979"/>
      <c r="F18" s="2980"/>
      <c r="G18" s="2980"/>
      <c r="H18" s="2980"/>
      <c r="I18" s="2980"/>
      <c r="J18" s="2980"/>
      <c r="K18" s="2980"/>
      <c r="L18" s="2980"/>
      <c r="M18" s="2980"/>
      <c r="N18" s="2980"/>
      <c r="O18" s="2980"/>
      <c r="P18" s="2980"/>
      <c r="Q18" s="2980"/>
      <c r="R18" s="2981"/>
      <c r="S18" s="2981"/>
      <c r="T18" s="2981"/>
      <c r="U18" s="2981"/>
      <c r="V18" s="2981"/>
      <c r="W18" s="2981"/>
      <c r="X18" s="2982"/>
      <c r="Y18" s="1696">
        <f t="shared" si="0"/>
        <v>0</v>
      </c>
      <c r="Z18" s="2983">
        <f t="shared" si="28"/>
        <v>0</v>
      </c>
      <c r="AA18" s="2916">
        <f t="shared" si="29"/>
        <v>0</v>
      </c>
      <c r="AB18" s="574"/>
      <c r="AC18" s="574"/>
      <c r="AD18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</f>
        <v/>
      </c>
      <c r="AE18" s="1372" t="str">
        <f>IF($AD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)</f>
        <v/>
      </c>
      <c r="AF18" s="1838" t="str">
        <f t="shared" si="1"/>
        <v/>
      </c>
      <c r="AG18" s="1838" t="str">
        <f t="shared" si="2"/>
        <v/>
      </c>
      <c r="AH18" s="1838" t="str">
        <f t="shared" si="3"/>
        <v/>
      </c>
      <c r="AI18" s="1838" t="str">
        <f t="shared" si="4"/>
        <v/>
      </c>
      <c r="AJ18" s="1838" t="str">
        <f t="shared" si="5"/>
        <v/>
      </c>
      <c r="AK18" s="1839" t="str">
        <f t="shared" si="6"/>
        <v/>
      </c>
      <c r="AL18" s="1839" t="str">
        <f t="shared" si="7"/>
        <v/>
      </c>
      <c r="AM18" s="1839" t="str">
        <f t="shared" si="8"/>
        <v/>
      </c>
      <c r="AN18" s="1839" t="str">
        <f t="shared" si="9"/>
        <v/>
      </c>
      <c r="AO18" s="1839" t="str">
        <f t="shared" si="10"/>
        <v/>
      </c>
      <c r="AP18" s="1839" t="str">
        <f t="shared" si="11"/>
        <v/>
      </c>
      <c r="AQ18" s="1839" t="str">
        <f t="shared" si="12"/>
        <v/>
      </c>
      <c r="AR18" s="1839" t="str">
        <f t="shared" si="13"/>
        <v/>
      </c>
      <c r="AS18" s="1839" t="str">
        <f t="shared" si="14"/>
        <v/>
      </c>
      <c r="AT18" s="1839" t="str">
        <f t="shared" si="15"/>
        <v/>
      </c>
      <c r="AU18" s="1839" t="str">
        <f t="shared" si="16"/>
        <v/>
      </c>
      <c r="AV18" s="1839" t="str">
        <f t="shared" si="17"/>
        <v/>
      </c>
      <c r="AW18" s="1839" t="str">
        <f t="shared" si="18"/>
        <v/>
      </c>
      <c r="AX18" s="1839" t="str">
        <f t="shared" si="19"/>
        <v/>
      </c>
      <c r="AY18" s="1368" t="str">
        <f t="shared" si="20"/>
        <v/>
      </c>
      <c r="AZ18" s="1368" t="str">
        <f t="shared" si="21"/>
        <v/>
      </c>
      <c r="BA18" s="1368" t="str">
        <f t="shared" si="22"/>
        <v/>
      </c>
      <c r="BB18" s="1368" t="str">
        <f t="shared" si="23"/>
        <v/>
      </c>
      <c r="BC18" s="1369" t="str">
        <f t="shared" si="24"/>
        <v/>
      </c>
      <c r="BD18" s="30"/>
      <c r="BE18" s="30"/>
      <c r="BF18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18))),"")</f>
        <v/>
      </c>
      <c r="BG18" s="576" t="str">
        <f t="shared" si="25"/>
        <v/>
      </c>
      <c r="BH18" s="577" t="str">
        <f t="shared" si="26"/>
        <v/>
      </c>
      <c r="BI18" s="578" t="str">
        <f t="shared" si="27"/>
        <v/>
      </c>
      <c r="CN18"/>
      <c r="CO18"/>
      <c r="CP18"/>
      <c r="CQ18"/>
      <c r="CR18"/>
      <c r="CS18"/>
      <c r="CT18"/>
      <c r="CU18"/>
    </row>
    <row r="19" spans="1:99" ht="45.75">
      <c r="A19" s="2257"/>
      <c r="C19" s="41">
        <f>+PP!B37</f>
        <v>14</v>
      </c>
      <c r="D19" s="259" t="str">
        <f>+PP!C37</f>
        <v>FILETE C/TT DARUMA</v>
      </c>
      <c r="E19" s="2967"/>
      <c r="F19" s="2968"/>
      <c r="G19" s="2968"/>
      <c r="H19" s="2968"/>
      <c r="I19" s="2968"/>
      <c r="J19" s="2968"/>
      <c r="K19" s="2968"/>
      <c r="L19" s="2968"/>
      <c r="M19" s="2968"/>
      <c r="N19" s="2968"/>
      <c r="O19" s="2968"/>
      <c r="P19" s="2968"/>
      <c r="Q19" s="2968"/>
      <c r="R19" s="2970"/>
      <c r="S19" s="2970"/>
      <c r="T19" s="2970"/>
      <c r="U19" s="2970"/>
      <c r="V19" s="2970"/>
      <c r="W19" s="2970"/>
      <c r="X19" s="2977"/>
      <c r="Y19" s="510">
        <f t="shared" si="0"/>
        <v>0</v>
      </c>
      <c r="Z19" s="148">
        <f t="shared" si="28"/>
        <v>0</v>
      </c>
      <c r="AA19" s="145">
        <f t="shared" si="29"/>
        <v>0</v>
      </c>
      <c r="AB19" s="574"/>
      <c r="AC19" s="574"/>
      <c r="AD19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</f>
        <v/>
      </c>
      <c r="AE19" s="1372" t="str">
        <f>IF($AD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)</f>
        <v/>
      </c>
      <c r="AF19" s="1838" t="str">
        <f t="shared" si="1"/>
        <v/>
      </c>
      <c r="AG19" s="1838" t="str">
        <f t="shared" si="2"/>
        <v/>
      </c>
      <c r="AH19" s="1838" t="str">
        <f t="shared" si="3"/>
        <v/>
      </c>
      <c r="AI19" s="1838" t="str">
        <f t="shared" si="4"/>
        <v/>
      </c>
      <c r="AJ19" s="1838" t="str">
        <f t="shared" si="5"/>
        <v/>
      </c>
      <c r="AK19" s="1838" t="str">
        <f t="shared" si="6"/>
        <v/>
      </c>
      <c r="AL19" s="1838" t="str">
        <f t="shared" si="7"/>
        <v/>
      </c>
      <c r="AM19" s="1838" t="str">
        <f t="shared" si="8"/>
        <v/>
      </c>
      <c r="AN19" s="1838" t="str">
        <f t="shared" si="9"/>
        <v/>
      </c>
      <c r="AO19" s="1838" t="str">
        <f t="shared" si="10"/>
        <v/>
      </c>
      <c r="AP19" s="1838" t="str">
        <f t="shared" si="11"/>
        <v/>
      </c>
      <c r="AQ19" s="1838" t="str">
        <f t="shared" si="12"/>
        <v/>
      </c>
      <c r="AR19" s="1838" t="str">
        <f t="shared" si="13"/>
        <v/>
      </c>
      <c r="AS19" s="1838" t="str">
        <f t="shared" si="14"/>
        <v/>
      </c>
      <c r="AT19" s="1838" t="str">
        <f t="shared" si="15"/>
        <v/>
      </c>
      <c r="AU19" s="1838" t="str">
        <f t="shared" si="16"/>
        <v/>
      </c>
      <c r="AV19" s="1838" t="str">
        <f t="shared" si="17"/>
        <v/>
      </c>
      <c r="AW19" s="1838" t="str">
        <f t="shared" si="18"/>
        <v/>
      </c>
      <c r="AX19" s="1838" t="str">
        <f t="shared" si="19"/>
        <v/>
      </c>
      <c r="AY19" s="1368" t="str">
        <f t="shared" si="20"/>
        <v/>
      </c>
      <c r="AZ19" s="1368" t="str">
        <f t="shared" si="21"/>
        <v/>
      </c>
      <c r="BA19" s="1368" t="str">
        <f t="shared" si="22"/>
        <v/>
      </c>
      <c r="BB19" s="1368" t="str">
        <f t="shared" si="23"/>
        <v/>
      </c>
      <c r="BC19" s="1369" t="str">
        <f t="shared" si="24"/>
        <v/>
      </c>
      <c r="BD19" s="30"/>
      <c r="BE19" s="30"/>
      <c r="BF19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19))),"")</f>
        <v/>
      </c>
      <c r="BG19" s="576" t="str">
        <f t="shared" si="25"/>
        <v/>
      </c>
      <c r="BH19" s="577" t="str">
        <f t="shared" si="26"/>
        <v/>
      </c>
      <c r="BI19" s="578" t="str">
        <f t="shared" si="27"/>
        <v/>
      </c>
      <c r="CN19"/>
      <c r="CO19"/>
      <c r="CP19"/>
      <c r="CQ19"/>
      <c r="CR19"/>
      <c r="CS19"/>
      <c r="CT19"/>
      <c r="CU19"/>
    </row>
    <row r="20" spans="1:99" ht="46.5" thickBot="1">
      <c r="A20" s="2257"/>
      <c r="C20" s="42">
        <f>+PP!B38</f>
        <v>15</v>
      </c>
      <c r="D20" s="229" t="str">
        <f>+PP!C38</f>
        <v>FILETE C/M C/T TRES PIELES 1.0-2.0 kg/pza</v>
      </c>
      <c r="E20" s="2013"/>
      <c r="F20" s="1802"/>
      <c r="G20" s="1802"/>
      <c r="H20" s="1802"/>
      <c r="I20" s="1802"/>
      <c r="J20" s="1802"/>
      <c r="K20" s="1802"/>
      <c r="L20" s="1802"/>
      <c r="M20" s="1802"/>
      <c r="N20" s="1802"/>
      <c r="O20" s="1802"/>
      <c r="P20" s="1802"/>
      <c r="Q20" s="1802"/>
      <c r="R20" s="1847"/>
      <c r="S20" s="1847"/>
      <c r="T20" s="1847"/>
      <c r="U20" s="1847"/>
      <c r="V20" s="1847"/>
      <c r="W20" s="1847"/>
      <c r="X20" s="1848"/>
      <c r="Y20" s="525">
        <f t="shared" si="0"/>
        <v>0</v>
      </c>
      <c r="Z20" s="149">
        <f t="shared" si="28"/>
        <v>0</v>
      </c>
      <c r="AA20" s="146">
        <f t="shared" si="29"/>
        <v>0</v>
      </c>
      <c r="AB20" s="574"/>
      <c r="AC20" s="574"/>
      <c r="AD20" s="13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</f>
        <v/>
      </c>
      <c r="AE20" s="1372" t="str">
        <f>IF($AD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)</f>
        <v/>
      </c>
      <c r="AF20" s="1838" t="str">
        <f t="shared" si="1"/>
        <v/>
      </c>
      <c r="AG20" s="1838" t="str">
        <f t="shared" si="2"/>
        <v/>
      </c>
      <c r="AH20" s="1838" t="str">
        <f t="shared" si="3"/>
        <v/>
      </c>
      <c r="AI20" s="1838" t="str">
        <f t="shared" si="4"/>
        <v/>
      </c>
      <c r="AJ20" s="1838" t="str">
        <f t="shared" si="5"/>
        <v/>
      </c>
      <c r="AK20" s="1838" t="str">
        <f t="shared" si="6"/>
        <v/>
      </c>
      <c r="AL20" s="1838" t="str">
        <f t="shared" si="7"/>
        <v/>
      </c>
      <c r="AM20" s="1838" t="str">
        <f t="shared" si="8"/>
        <v/>
      </c>
      <c r="AN20" s="1838" t="str">
        <f t="shared" si="9"/>
        <v/>
      </c>
      <c r="AO20" s="1838" t="str">
        <f t="shared" si="10"/>
        <v/>
      </c>
      <c r="AP20" s="1838" t="str">
        <f t="shared" si="11"/>
        <v/>
      </c>
      <c r="AQ20" s="1838" t="str">
        <f t="shared" si="12"/>
        <v/>
      </c>
      <c r="AR20" s="1838" t="str">
        <f t="shared" si="13"/>
        <v/>
      </c>
      <c r="AS20" s="1838" t="str">
        <f t="shared" si="14"/>
        <v/>
      </c>
      <c r="AT20" s="1838" t="str">
        <f t="shared" si="15"/>
        <v/>
      </c>
      <c r="AU20" s="1838" t="str">
        <f t="shared" si="16"/>
        <v/>
      </c>
      <c r="AV20" s="1838" t="str">
        <f t="shared" si="17"/>
        <v/>
      </c>
      <c r="AW20" s="1838" t="str">
        <f t="shared" si="18"/>
        <v/>
      </c>
      <c r="AX20" s="1838" t="str">
        <f t="shared" si="19"/>
        <v/>
      </c>
      <c r="AY20" s="1368" t="str">
        <f t="shared" si="20"/>
        <v/>
      </c>
      <c r="AZ20" s="1368" t="str">
        <f t="shared" si="21"/>
        <v/>
      </c>
      <c r="BA20" s="1368" t="str">
        <f t="shared" si="22"/>
        <v/>
      </c>
      <c r="BB20" s="1368" t="str">
        <f t="shared" si="23"/>
        <v/>
      </c>
      <c r="BC20" s="1369" t="str">
        <f t="shared" si="24"/>
        <v/>
      </c>
      <c r="BD20" s="30"/>
      <c r="BE20" s="30"/>
      <c r="BF20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20))),"")</f>
        <v/>
      </c>
      <c r="BG20" s="576" t="str">
        <f t="shared" si="25"/>
        <v/>
      </c>
      <c r="BH20" s="577" t="str">
        <f t="shared" si="26"/>
        <v/>
      </c>
      <c r="BI20" s="578" t="str">
        <f t="shared" si="27"/>
        <v/>
      </c>
      <c r="CN20"/>
      <c r="CO20"/>
      <c r="CP20"/>
      <c r="CQ20"/>
      <c r="CR20"/>
      <c r="CS20"/>
      <c r="CT20"/>
      <c r="CU20"/>
    </row>
    <row r="21" spans="1:99" ht="45.75">
      <c r="A21" s="2257"/>
      <c r="C21" s="42">
        <f>+PP!B39</f>
        <v>16</v>
      </c>
      <c r="D21" s="229" t="str">
        <f>+PP!C39</f>
        <v>FILETE C/M C/T TRES PIELES 2.0-4.0 kg/pza</v>
      </c>
      <c r="E21" s="2013"/>
      <c r="F21" s="1802"/>
      <c r="G21" s="1802"/>
      <c r="H21" s="1802"/>
      <c r="I21" s="1802"/>
      <c r="J21" s="1802"/>
      <c r="K21" s="1802"/>
      <c r="L21" s="1802"/>
      <c r="M21" s="1802"/>
      <c r="N21" s="1802"/>
      <c r="O21" s="1802"/>
      <c r="P21" s="1802"/>
      <c r="Q21" s="1802"/>
      <c r="R21" s="1847"/>
      <c r="S21" s="1847"/>
      <c r="T21" s="1847"/>
      <c r="U21" s="1847"/>
      <c r="V21" s="1847"/>
      <c r="W21" s="1847"/>
      <c r="X21" s="1848"/>
      <c r="Y21" s="525">
        <f t="shared" si="0"/>
        <v>0</v>
      </c>
      <c r="Z21" s="149">
        <f t="shared" si="28"/>
        <v>0</v>
      </c>
      <c r="AA21" s="146">
        <f t="shared" si="29"/>
        <v>0</v>
      </c>
      <c r="AB21" s="574"/>
      <c r="AC21" s="574"/>
      <c r="AD21" s="184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</f>
        <v/>
      </c>
      <c r="AE21" s="1841" t="str">
        <f>IF($AD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)</f>
        <v/>
      </c>
      <c r="AF21" s="1842" t="str">
        <f t="shared" si="1"/>
        <v/>
      </c>
      <c r="AG21" s="1842" t="str">
        <f t="shared" si="2"/>
        <v/>
      </c>
      <c r="AH21" s="1842" t="str">
        <f t="shared" si="3"/>
        <v/>
      </c>
      <c r="AI21" s="1842" t="str">
        <f t="shared" si="4"/>
        <v/>
      </c>
      <c r="AJ21" s="1842" t="str">
        <f t="shared" si="5"/>
        <v/>
      </c>
      <c r="AK21" s="1842" t="str">
        <f t="shared" si="6"/>
        <v/>
      </c>
      <c r="AL21" s="1842" t="str">
        <f t="shared" si="7"/>
        <v/>
      </c>
      <c r="AM21" s="1842" t="str">
        <f t="shared" si="8"/>
        <v/>
      </c>
      <c r="AN21" s="1842" t="str">
        <f t="shared" si="9"/>
        <v/>
      </c>
      <c r="AO21" s="1842" t="str">
        <f t="shared" si="10"/>
        <v/>
      </c>
      <c r="AP21" s="1842" t="str">
        <f t="shared" si="11"/>
        <v/>
      </c>
      <c r="AQ21" s="1842" t="str">
        <f t="shared" si="12"/>
        <v/>
      </c>
      <c r="AR21" s="1842" t="str">
        <f t="shared" si="13"/>
        <v/>
      </c>
      <c r="AS21" s="1842" t="str">
        <f t="shared" si="14"/>
        <v/>
      </c>
      <c r="AT21" s="1842" t="str">
        <f t="shared" si="15"/>
        <v/>
      </c>
      <c r="AU21" s="1842" t="str">
        <f t="shared" si="16"/>
        <v/>
      </c>
      <c r="AV21" s="1842" t="str">
        <f t="shared" si="17"/>
        <v/>
      </c>
      <c r="AW21" s="1842" t="str">
        <f t="shared" si="18"/>
        <v/>
      </c>
      <c r="AX21" s="1842" t="str">
        <f t="shared" si="19"/>
        <v/>
      </c>
      <c r="AY21" s="1843" t="str">
        <f t="shared" si="20"/>
        <v/>
      </c>
      <c r="AZ21" s="1843" t="str">
        <f t="shared" si="21"/>
        <v/>
      </c>
      <c r="BA21" s="1843" t="str">
        <f t="shared" si="22"/>
        <v/>
      </c>
      <c r="BB21" s="1843" t="str">
        <f t="shared" si="23"/>
        <v/>
      </c>
      <c r="BC21" s="1844" t="str">
        <f t="shared" si="24"/>
        <v/>
      </c>
      <c r="BD21" s="30"/>
      <c r="BE21" s="30"/>
      <c r="BF21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21))),"")</f>
        <v/>
      </c>
      <c r="BG21" s="576" t="str">
        <f t="shared" si="25"/>
        <v/>
      </c>
      <c r="BH21" s="577" t="str">
        <f t="shared" si="26"/>
        <v/>
      </c>
      <c r="BI21" s="578" t="str">
        <f t="shared" si="27"/>
        <v/>
      </c>
      <c r="CN21"/>
      <c r="CO21"/>
      <c r="CP21"/>
      <c r="CQ21"/>
      <c r="CR21"/>
      <c r="CS21"/>
      <c r="CT21"/>
      <c r="CU21"/>
    </row>
    <row r="22" spans="1:99" ht="45.75" customHeight="1">
      <c r="A22" s="2257"/>
      <c r="C22" s="42">
        <f>+PP!B40</f>
        <v>17</v>
      </c>
      <c r="D22" s="229" t="str">
        <f>+PP!C40</f>
        <v>FILETE C/M C/T ENTERO BLANCO 1.0-2.0 kg/pza</v>
      </c>
      <c r="E22" s="2013"/>
      <c r="F22" s="1802"/>
      <c r="G22" s="1802"/>
      <c r="H22" s="1802"/>
      <c r="I22" s="1802"/>
      <c r="J22" s="1802"/>
      <c r="K22" s="1802"/>
      <c r="L22" s="1802"/>
      <c r="M22" s="1802"/>
      <c r="N22" s="1802"/>
      <c r="O22" s="1802"/>
      <c r="P22" s="1802"/>
      <c r="Q22" s="1802"/>
      <c r="R22" s="1847"/>
      <c r="S22" s="1847"/>
      <c r="T22" s="1847"/>
      <c r="U22" s="1847"/>
      <c r="V22" s="1847"/>
      <c r="W22" s="1847"/>
      <c r="X22" s="1848"/>
      <c r="Y22" s="525">
        <f t="shared" si="0"/>
        <v>0</v>
      </c>
      <c r="Z22" s="149">
        <f t="shared" si="28"/>
        <v>0</v>
      </c>
      <c r="AA22" s="146">
        <f t="shared" si="29"/>
        <v>0</v>
      </c>
      <c r="AB22" s="574"/>
      <c r="AC22" s="574"/>
      <c r="AD22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</f>
        <v/>
      </c>
      <c r="AE22" s="1846" t="str">
        <f>IF($AD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)</f>
        <v/>
      </c>
      <c r="AF22" s="1842" t="str">
        <f t="shared" si="1"/>
        <v/>
      </c>
      <c r="AG22" s="1842" t="str">
        <f t="shared" si="2"/>
        <v/>
      </c>
      <c r="AH22" s="1842" t="str">
        <f t="shared" si="3"/>
        <v/>
      </c>
      <c r="AI22" s="1842" t="str">
        <f t="shared" si="4"/>
        <v/>
      </c>
      <c r="AJ22" s="1842" t="str">
        <f t="shared" si="5"/>
        <v/>
      </c>
      <c r="AK22" s="1842" t="str">
        <f t="shared" si="6"/>
        <v/>
      </c>
      <c r="AL22" s="1842" t="str">
        <f t="shared" si="7"/>
        <v/>
      </c>
      <c r="AM22" s="1842" t="str">
        <f t="shared" si="8"/>
        <v/>
      </c>
      <c r="AN22" s="1842" t="str">
        <f t="shared" si="9"/>
        <v/>
      </c>
      <c r="AO22" s="1842" t="str">
        <f t="shared" si="10"/>
        <v/>
      </c>
      <c r="AP22" s="1842" t="str">
        <f t="shared" si="11"/>
        <v/>
      </c>
      <c r="AQ22" s="1842" t="str">
        <f t="shared" si="12"/>
        <v/>
      </c>
      <c r="AR22" s="1842" t="str">
        <f t="shared" si="13"/>
        <v/>
      </c>
      <c r="AS22" s="1842" t="str">
        <f t="shared" si="14"/>
        <v/>
      </c>
      <c r="AT22" s="1842" t="str">
        <f t="shared" si="15"/>
        <v/>
      </c>
      <c r="AU22" s="1842" t="str">
        <f t="shared" si="16"/>
        <v/>
      </c>
      <c r="AV22" s="1842" t="str">
        <f t="shared" si="17"/>
        <v/>
      </c>
      <c r="AW22" s="1842" t="str">
        <f t="shared" si="18"/>
        <v/>
      </c>
      <c r="AX22" s="1842" t="str">
        <f t="shared" si="19"/>
        <v/>
      </c>
      <c r="AY22" s="1843" t="str">
        <f t="shared" si="20"/>
        <v/>
      </c>
      <c r="AZ22" s="1843" t="str">
        <f t="shared" si="21"/>
        <v/>
      </c>
      <c r="BA22" s="1843" t="str">
        <f t="shared" si="22"/>
        <v/>
      </c>
      <c r="BB22" s="1843" t="str">
        <f t="shared" si="23"/>
        <v/>
      </c>
      <c r="BC22" s="1844" t="str">
        <f t="shared" si="24"/>
        <v/>
      </c>
      <c r="BD22" s="30"/>
      <c r="BE22" s="30"/>
      <c r="BF22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22))),"")</f>
        <v/>
      </c>
      <c r="BG22" s="576" t="str">
        <f t="shared" si="25"/>
        <v/>
      </c>
      <c r="BH22" s="577" t="str">
        <f t="shared" si="26"/>
        <v/>
      </c>
      <c r="BI22" s="578" t="str">
        <f t="shared" si="27"/>
        <v/>
      </c>
      <c r="CN22"/>
      <c r="CO22"/>
      <c r="CP22"/>
      <c r="CQ22"/>
      <c r="CR22"/>
      <c r="CS22"/>
      <c r="CT22"/>
      <c r="CU22"/>
    </row>
    <row r="23" spans="1:99" ht="45.75" customHeight="1">
      <c r="A23" s="2257"/>
      <c r="C23" s="42">
        <f>+PP!B41</f>
        <v>18</v>
      </c>
      <c r="D23" s="229" t="str">
        <f>+PP!C41</f>
        <v>FILETE C/M C/T ENTERO BLANCO 2.0-4.0 kg/pza</v>
      </c>
      <c r="E23" s="2013"/>
      <c r="F23" s="1802"/>
      <c r="G23" s="1802"/>
      <c r="H23" s="1802"/>
      <c r="I23" s="1802"/>
      <c r="J23" s="1802"/>
      <c r="K23" s="1802"/>
      <c r="L23" s="1802"/>
      <c r="M23" s="1802"/>
      <c r="N23" s="1802"/>
      <c r="O23" s="1802"/>
      <c r="P23" s="1802"/>
      <c r="Q23" s="1802"/>
      <c r="R23" s="1847"/>
      <c r="S23" s="1847"/>
      <c r="T23" s="1847"/>
      <c r="U23" s="1847"/>
      <c r="V23" s="1847"/>
      <c r="W23" s="1847"/>
      <c r="X23" s="1848"/>
      <c r="Y23" s="525">
        <f t="shared" si="0"/>
        <v>0</v>
      </c>
      <c r="Z23" s="149">
        <f t="shared" si="28"/>
        <v>0</v>
      </c>
      <c r="AA23" s="146">
        <f t="shared" si="29"/>
        <v>0</v>
      </c>
      <c r="AB23" s="574"/>
      <c r="AC23" s="574"/>
      <c r="AD23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</f>
        <v/>
      </c>
      <c r="AE23" s="1846" t="str">
        <f>IF($AD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)</f>
        <v/>
      </c>
      <c r="AF23" s="1842" t="str">
        <f t="shared" si="1"/>
        <v/>
      </c>
      <c r="AG23" s="1842" t="str">
        <f t="shared" si="2"/>
        <v/>
      </c>
      <c r="AH23" s="1842" t="str">
        <f t="shared" si="3"/>
        <v/>
      </c>
      <c r="AI23" s="1842" t="str">
        <f t="shared" si="4"/>
        <v/>
      </c>
      <c r="AJ23" s="1842" t="str">
        <f t="shared" si="5"/>
        <v/>
      </c>
      <c r="AK23" s="1842" t="str">
        <f t="shared" si="6"/>
        <v/>
      </c>
      <c r="AL23" s="1842" t="str">
        <f t="shared" si="7"/>
        <v/>
      </c>
      <c r="AM23" s="1842" t="str">
        <f t="shared" si="8"/>
        <v/>
      </c>
      <c r="AN23" s="1842" t="str">
        <f t="shared" si="9"/>
        <v/>
      </c>
      <c r="AO23" s="1842" t="str">
        <f t="shared" si="10"/>
        <v/>
      </c>
      <c r="AP23" s="1842" t="str">
        <f t="shared" si="11"/>
        <v/>
      </c>
      <c r="AQ23" s="1842" t="str">
        <f t="shared" si="12"/>
        <v/>
      </c>
      <c r="AR23" s="1842" t="str">
        <f t="shared" si="13"/>
        <v/>
      </c>
      <c r="AS23" s="1842" t="str">
        <f t="shared" si="14"/>
        <v/>
      </c>
      <c r="AT23" s="1842" t="str">
        <f t="shared" si="15"/>
        <v/>
      </c>
      <c r="AU23" s="1842" t="str">
        <f t="shared" si="16"/>
        <v/>
      </c>
      <c r="AV23" s="1842" t="str">
        <f t="shared" si="17"/>
        <v/>
      </c>
      <c r="AW23" s="1842" t="str">
        <f t="shared" si="18"/>
        <v/>
      </c>
      <c r="AX23" s="1842" t="str">
        <f t="shared" si="19"/>
        <v/>
      </c>
      <c r="AY23" s="1843" t="str">
        <f t="shared" si="20"/>
        <v/>
      </c>
      <c r="AZ23" s="1843" t="str">
        <f t="shared" si="21"/>
        <v/>
      </c>
      <c r="BA23" s="1843" t="str">
        <f t="shared" si="22"/>
        <v/>
      </c>
      <c r="BB23" s="1843" t="str">
        <f t="shared" si="23"/>
        <v/>
      </c>
      <c r="BC23" s="1844" t="str">
        <f t="shared" si="24"/>
        <v/>
      </c>
      <c r="BD23" s="30"/>
      <c r="BE23" s="30"/>
      <c r="BF23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23))),"")</f>
        <v/>
      </c>
      <c r="BG23" s="576" t="str">
        <f t="shared" si="25"/>
        <v/>
      </c>
      <c r="BH23" s="577" t="str">
        <f t="shared" si="26"/>
        <v/>
      </c>
      <c r="BI23" s="578" t="str">
        <f t="shared" si="27"/>
        <v/>
      </c>
      <c r="CN23"/>
      <c r="CO23"/>
      <c r="CP23"/>
      <c r="CQ23"/>
      <c r="CR23"/>
      <c r="CS23"/>
      <c r="CT23"/>
      <c r="CU23"/>
    </row>
    <row r="24" spans="1:99" ht="46.5" thickBot="1">
      <c r="A24" s="2257"/>
      <c r="C24" s="40">
        <f>+PP!B42</f>
        <v>19</v>
      </c>
      <c r="D24" s="591" t="str">
        <f>+PP!C42</f>
        <v>FILETE LP C/M C/T ENTERO 2.0-4.0 kg/pza</v>
      </c>
      <c r="E24" s="2972"/>
      <c r="F24" s="2973"/>
      <c r="G24" s="2973"/>
      <c r="H24" s="2973"/>
      <c r="I24" s="2973"/>
      <c r="J24" s="2973"/>
      <c r="K24" s="2973"/>
      <c r="L24" s="2973"/>
      <c r="M24" s="2973"/>
      <c r="N24" s="2973"/>
      <c r="O24" s="2973"/>
      <c r="P24" s="2973"/>
      <c r="Q24" s="2973"/>
      <c r="R24" s="2975"/>
      <c r="S24" s="2975"/>
      <c r="T24" s="2975"/>
      <c r="U24" s="2975"/>
      <c r="V24" s="2975"/>
      <c r="W24" s="2975"/>
      <c r="X24" s="2978"/>
      <c r="Y24" s="511">
        <f t="shared" si="0"/>
        <v>0</v>
      </c>
      <c r="Z24" s="150">
        <f t="shared" si="28"/>
        <v>0</v>
      </c>
      <c r="AA24" s="147">
        <f t="shared" si="29"/>
        <v>0</v>
      </c>
      <c r="AB24" s="574"/>
      <c r="AC24" s="574"/>
      <c r="AD24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</f>
        <v/>
      </c>
      <c r="AE24" s="1846" t="str">
        <f>IF($AD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)</f>
        <v/>
      </c>
      <c r="AF24" s="1842" t="str">
        <f t="shared" si="1"/>
        <v/>
      </c>
      <c r="AG24" s="1842" t="str">
        <f t="shared" si="2"/>
        <v/>
      </c>
      <c r="AH24" s="1842" t="str">
        <f t="shared" si="3"/>
        <v/>
      </c>
      <c r="AI24" s="1842" t="str">
        <f t="shared" si="4"/>
        <v/>
      </c>
      <c r="AJ24" s="1842" t="str">
        <f t="shared" si="5"/>
        <v/>
      </c>
      <c r="AK24" s="1842" t="str">
        <f t="shared" si="6"/>
        <v/>
      </c>
      <c r="AL24" s="1842" t="str">
        <f t="shared" si="7"/>
        <v/>
      </c>
      <c r="AM24" s="1842" t="str">
        <f t="shared" si="8"/>
        <v/>
      </c>
      <c r="AN24" s="1842" t="str">
        <f t="shared" si="9"/>
        <v/>
      </c>
      <c r="AO24" s="1842" t="str">
        <f t="shared" si="10"/>
        <v/>
      </c>
      <c r="AP24" s="1842" t="str">
        <f t="shared" si="11"/>
        <v/>
      </c>
      <c r="AQ24" s="1842" t="str">
        <f t="shared" si="12"/>
        <v/>
      </c>
      <c r="AR24" s="1842" t="str">
        <f t="shared" si="13"/>
        <v/>
      </c>
      <c r="AS24" s="1842" t="str">
        <f t="shared" si="14"/>
        <v/>
      </c>
      <c r="AT24" s="1842" t="str">
        <f t="shared" si="15"/>
        <v/>
      </c>
      <c r="AU24" s="1842" t="str">
        <f t="shared" si="16"/>
        <v/>
      </c>
      <c r="AV24" s="1842" t="str">
        <f t="shared" si="17"/>
        <v/>
      </c>
      <c r="AW24" s="1842" t="str">
        <f t="shared" si="18"/>
        <v/>
      </c>
      <c r="AX24" s="1842" t="str">
        <f t="shared" si="19"/>
        <v/>
      </c>
      <c r="AY24" s="1843" t="str">
        <f t="shared" si="20"/>
        <v/>
      </c>
      <c r="AZ24" s="1843" t="str">
        <f t="shared" si="21"/>
        <v/>
      </c>
      <c r="BA24" s="1843" t="str">
        <f t="shared" si="22"/>
        <v/>
      </c>
      <c r="BB24" s="1843" t="str">
        <f t="shared" si="23"/>
        <v/>
      </c>
      <c r="BC24" s="1844" t="str">
        <f t="shared" si="24"/>
        <v/>
      </c>
      <c r="BD24" s="30"/>
      <c r="BE24" s="30"/>
      <c r="BF24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24))),"")</f>
        <v/>
      </c>
      <c r="BG24" s="576" t="str">
        <f t="shared" si="25"/>
        <v/>
      </c>
      <c r="BH24" s="577" t="str">
        <f t="shared" si="26"/>
        <v/>
      </c>
      <c r="BI24" s="578" t="str">
        <f t="shared" si="27"/>
        <v/>
      </c>
      <c r="CN24"/>
      <c r="CO24"/>
      <c r="CP24"/>
      <c r="CQ24"/>
      <c r="CR24"/>
      <c r="CS24"/>
      <c r="CT24"/>
      <c r="CU24"/>
    </row>
    <row r="25" spans="1:99" ht="45.75">
      <c r="A25" s="2257"/>
      <c r="C25" s="41">
        <f>+PP!B43</f>
        <v>20</v>
      </c>
      <c r="D25" s="259" t="str">
        <f>+PP!C43</f>
        <v>MANTO BLANCO C/M C/T 500-1000 g/pza</v>
      </c>
      <c r="E25" s="2967"/>
      <c r="F25" s="2968"/>
      <c r="G25" s="2968"/>
      <c r="H25" s="2968"/>
      <c r="I25" s="2968"/>
      <c r="J25" s="2968"/>
      <c r="K25" s="2968"/>
      <c r="L25" s="2968"/>
      <c r="M25" s="2968"/>
      <c r="N25" s="2968"/>
      <c r="O25" s="2968"/>
      <c r="P25" s="2968"/>
      <c r="Q25" s="2968"/>
      <c r="R25" s="2970"/>
      <c r="S25" s="2970"/>
      <c r="T25" s="2970"/>
      <c r="U25" s="2970"/>
      <c r="V25" s="2970"/>
      <c r="W25" s="2970"/>
      <c r="X25" s="2977"/>
      <c r="Y25" s="510">
        <f t="shared" si="0"/>
        <v>0</v>
      </c>
      <c r="Z25" s="148">
        <f t="shared" si="28"/>
        <v>0</v>
      </c>
      <c r="AA25" s="490">
        <f t="shared" si="29"/>
        <v>0</v>
      </c>
      <c r="AB25" s="574"/>
      <c r="AC25" s="574"/>
      <c r="AD25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</f>
        <v/>
      </c>
      <c r="AE25" s="1846" t="str">
        <f>IF($AD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)</f>
        <v/>
      </c>
      <c r="AF25" s="1843" t="str">
        <f t="shared" si="1"/>
        <v/>
      </c>
      <c r="AG25" s="1843" t="str">
        <f t="shared" si="2"/>
        <v/>
      </c>
      <c r="AH25" s="1843" t="str">
        <f t="shared" si="3"/>
        <v/>
      </c>
      <c r="AI25" s="1843" t="str">
        <f t="shared" si="4"/>
        <v/>
      </c>
      <c r="AJ25" s="1843" t="str">
        <f t="shared" si="5"/>
        <v/>
      </c>
      <c r="AK25" s="1843" t="str">
        <f t="shared" si="6"/>
        <v/>
      </c>
      <c r="AL25" s="1843" t="str">
        <f t="shared" si="7"/>
        <v/>
      </c>
      <c r="AM25" s="1843" t="str">
        <f t="shared" si="8"/>
        <v/>
      </c>
      <c r="AN25" s="1843" t="str">
        <f t="shared" si="9"/>
        <v/>
      </c>
      <c r="AO25" s="1843" t="str">
        <f t="shared" si="10"/>
        <v/>
      </c>
      <c r="AP25" s="1843" t="str">
        <f t="shared" si="11"/>
        <v/>
      </c>
      <c r="AQ25" s="1843" t="str">
        <f t="shared" si="12"/>
        <v/>
      </c>
      <c r="AR25" s="1843" t="str">
        <f t="shared" si="13"/>
        <v/>
      </c>
      <c r="AS25" s="1843" t="str">
        <f t="shared" si="14"/>
        <v/>
      </c>
      <c r="AT25" s="1843" t="str">
        <f t="shared" si="15"/>
        <v/>
      </c>
      <c r="AU25" s="1843" t="str">
        <f t="shared" si="16"/>
        <v/>
      </c>
      <c r="AV25" s="1843" t="str">
        <f t="shared" si="17"/>
        <v/>
      </c>
      <c r="AW25" s="1843" t="str">
        <f t="shared" si="18"/>
        <v/>
      </c>
      <c r="AX25" s="1843" t="str">
        <f t="shared" si="19"/>
        <v/>
      </c>
      <c r="AY25" s="1843" t="str">
        <f t="shared" si="20"/>
        <v/>
      </c>
      <c r="AZ25" s="1843" t="str">
        <f t="shared" si="21"/>
        <v/>
      </c>
      <c r="BA25" s="1843" t="str">
        <f t="shared" si="22"/>
        <v/>
      </c>
      <c r="BB25" s="1843" t="str">
        <f t="shared" si="23"/>
        <v/>
      </c>
      <c r="BC25" s="1844" t="str">
        <f t="shared" si="24"/>
        <v/>
      </c>
      <c r="BD25" s="30"/>
      <c r="BE25" s="30"/>
      <c r="BF25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25))),"")</f>
        <v/>
      </c>
      <c r="BG25" s="576" t="str">
        <f t="shared" si="25"/>
        <v/>
      </c>
      <c r="BH25" s="577" t="str">
        <f t="shared" si="26"/>
        <v/>
      </c>
      <c r="BI25" s="578" t="str">
        <f t="shared" si="27"/>
        <v/>
      </c>
      <c r="CN25"/>
      <c r="CO25"/>
      <c r="CP25"/>
      <c r="CQ25"/>
      <c r="CR25"/>
      <c r="CS25"/>
      <c r="CT25"/>
      <c r="CU25"/>
    </row>
    <row r="26" spans="1:99" ht="45.75">
      <c r="A26" s="2257"/>
      <c r="C26" s="42">
        <f>+PP!B44</f>
        <v>21</v>
      </c>
      <c r="D26" s="229" t="str">
        <f>+PP!C44</f>
        <v>MANTO BLANCO C/M C/T 1.0-2.0 kg/pza</v>
      </c>
      <c r="E26" s="2013"/>
      <c r="F26" s="1802"/>
      <c r="G26" s="1802"/>
      <c r="H26" s="1802"/>
      <c r="I26" s="1802"/>
      <c r="J26" s="1802"/>
      <c r="K26" s="1802"/>
      <c r="L26" s="1802"/>
      <c r="M26" s="1802"/>
      <c r="N26" s="1802"/>
      <c r="O26" s="1802"/>
      <c r="P26" s="1802"/>
      <c r="Q26" s="1802"/>
      <c r="R26" s="1847"/>
      <c r="S26" s="1847"/>
      <c r="T26" s="1847"/>
      <c r="U26" s="1847"/>
      <c r="V26" s="1847"/>
      <c r="W26" s="1847"/>
      <c r="X26" s="1848"/>
      <c r="Y26" s="525">
        <f t="shared" si="0"/>
        <v>0</v>
      </c>
      <c r="Z26" s="149">
        <f t="shared" si="28"/>
        <v>0</v>
      </c>
      <c r="AA26" s="552">
        <f t="shared" si="29"/>
        <v>0</v>
      </c>
      <c r="AB26" s="574"/>
      <c r="AC26" s="574"/>
      <c r="AD26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</f>
        <v/>
      </c>
      <c r="AE26" s="1846" t="str">
        <f>IF($AD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)</f>
        <v/>
      </c>
      <c r="AF26" s="1843" t="str">
        <f t="shared" si="1"/>
        <v/>
      </c>
      <c r="AG26" s="1843" t="str">
        <f t="shared" si="2"/>
        <v/>
      </c>
      <c r="AH26" s="1843" t="str">
        <f t="shared" si="3"/>
        <v/>
      </c>
      <c r="AI26" s="1843" t="str">
        <f t="shared" si="4"/>
        <v/>
      </c>
      <c r="AJ26" s="1843" t="str">
        <f t="shared" si="5"/>
        <v/>
      </c>
      <c r="AK26" s="1843" t="str">
        <f t="shared" si="6"/>
        <v/>
      </c>
      <c r="AL26" s="1843" t="str">
        <f t="shared" si="7"/>
        <v/>
      </c>
      <c r="AM26" s="1843" t="str">
        <f t="shared" si="8"/>
        <v/>
      </c>
      <c r="AN26" s="1843" t="str">
        <f t="shared" si="9"/>
        <v/>
      </c>
      <c r="AO26" s="1843" t="str">
        <f t="shared" si="10"/>
        <v/>
      </c>
      <c r="AP26" s="1843" t="str">
        <f t="shared" si="11"/>
        <v/>
      </c>
      <c r="AQ26" s="1843" t="str">
        <f t="shared" si="12"/>
        <v/>
      </c>
      <c r="AR26" s="1843" t="str">
        <f t="shared" si="13"/>
        <v/>
      </c>
      <c r="AS26" s="1843" t="str">
        <f t="shared" si="14"/>
        <v/>
      </c>
      <c r="AT26" s="1843" t="str">
        <f t="shared" si="15"/>
        <v/>
      </c>
      <c r="AU26" s="1843" t="str">
        <f t="shared" si="16"/>
        <v/>
      </c>
      <c r="AV26" s="1843" t="str">
        <f t="shared" si="17"/>
        <v/>
      </c>
      <c r="AW26" s="1843" t="str">
        <f t="shared" si="18"/>
        <v/>
      </c>
      <c r="AX26" s="1843" t="str">
        <f t="shared" si="19"/>
        <v/>
      </c>
      <c r="AY26" s="1843" t="str">
        <f t="shared" si="20"/>
        <v/>
      </c>
      <c r="AZ26" s="1843" t="str">
        <f t="shared" si="21"/>
        <v/>
      </c>
      <c r="BA26" s="1843" t="str">
        <f t="shared" si="22"/>
        <v/>
      </c>
      <c r="BB26" s="1843" t="str">
        <f t="shared" si="23"/>
        <v/>
      </c>
      <c r="BC26" s="1844" t="str">
        <f t="shared" si="24"/>
        <v/>
      </c>
      <c r="BD26" s="30"/>
      <c r="BE26" s="30"/>
      <c r="BF2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26))),"")</f>
        <v/>
      </c>
      <c r="BG26" s="576" t="str">
        <f t="shared" si="25"/>
        <v/>
      </c>
      <c r="BH26" s="577" t="str">
        <f t="shared" si="26"/>
        <v/>
      </c>
      <c r="BI26" s="578" t="str">
        <f t="shared" si="27"/>
        <v/>
      </c>
      <c r="CN26"/>
      <c r="CO26"/>
      <c r="CP26"/>
      <c r="CQ26"/>
      <c r="CR26"/>
      <c r="CS26"/>
      <c r="CT26"/>
      <c r="CU26"/>
    </row>
    <row r="27" spans="1:99" ht="45.75">
      <c r="A27" s="2257"/>
      <c r="C27" s="42">
        <f>+PP!B45</f>
        <v>22</v>
      </c>
      <c r="D27" s="229" t="str">
        <f>+PP!C45</f>
        <v>MANTO BLANCO C/M C/T 2.0-4.0 kg/pza</v>
      </c>
      <c r="E27" s="2013"/>
      <c r="F27" s="1802"/>
      <c r="G27" s="1802"/>
      <c r="H27" s="1802"/>
      <c r="I27" s="1802"/>
      <c r="J27" s="1802"/>
      <c r="K27" s="1802"/>
      <c r="L27" s="1802"/>
      <c r="M27" s="1802"/>
      <c r="N27" s="1802"/>
      <c r="O27" s="1802"/>
      <c r="P27" s="1802"/>
      <c r="Q27" s="1802"/>
      <c r="R27" s="1847"/>
      <c r="S27" s="1847"/>
      <c r="T27" s="1847"/>
      <c r="U27" s="1847"/>
      <c r="V27" s="1847"/>
      <c r="W27" s="1847"/>
      <c r="X27" s="1848"/>
      <c r="Y27" s="525">
        <f t="shared" si="0"/>
        <v>0</v>
      </c>
      <c r="Z27" s="149">
        <f t="shared" si="28"/>
        <v>0</v>
      </c>
      <c r="AA27" s="552">
        <f t="shared" si="29"/>
        <v>0</v>
      </c>
      <c r="AB27" s="574"/>
      <c r="AC27" s="574"/>
      <c r="AD27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</f>
        <v/>
      </c>
      <c r="AE27" s="1846" t="str">
        <f>IF($AD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)</f>
        <v/>
      </c>
      <c r="AF27" s="1843" t="str">
        <f t="shared" si="1"/>
        <v/>
      </c>
      <c r="AG27" s="1843" t="str">
        <f t="shared" si="2"/>
        <v/>
      </c>
      <c r="AH27" s="1843" t="str">
        <f t="shared" si="3"/>
        <v/>
      </c>
      <c r="AI27" s="1843" t="str">
        <f t="shared" si="4"/>
        <v/>
      </c>
      <c r="AJ27" s="1843" t="str">
        <f t="shared" si="5"/>
        <v/>
      </c>
      <c r="AK27" s="1843" t="str">
        <f t="shared" si="6"/>
        <v/>
      </c>
      <c r="AL27" s="1843" t="str">
        <f t="shared" si="7"/>
        <v/>
      </c>
      <c r="AM27" s="1843" t="str">
        <f t="shared" si="8"/>
        <v/>
      </c>
      <c r="AN27" s="1843" t="str">
        <f t="shared" si="9"/>
        <v/>
      </c>
      <c r="AO27" s="1843" t="str">
        <f t="shared" si="10"/>
        <v/>
      </c>
      <c r="AP27" s="1843" t="str">
        <f t="shared" si="11"/>
        <v/>
      </c>
      <c r="AQ27" s="1843" t="str">
        <f t="shared" si="12"/>
        <v/>
      </c>
      <c r="AR27" s="1843" t="str">
        <f t="shared" si="13"/>
        <v/>
      </c>
      <c r="AS27" s="1843" t="str">
        <f t="shared" si="14"/>
        <v/>
      </c>
      <c r="AT27" s="1843" t="str">
        <f t="shared" si="15"/>
        <v/>
      </c>
      <c r="AU27" s="1843" t="str">
        <f t="shared" si="16"/>
        <v/>
      </c>
      <c r="AV27" s="1843" t="str">
        <f t="shared" si="17"/>
        <v/>
      </c>
      <c r="AW27" s="1843" t="str">
        <f t="shared" si="18"/>
        <v/>
      </c>
      <c r="AX27" s="1843" t="str">
        <f t="shared" si="19"/>
        <v/>
      </c>
      <c r="AY27" s="1843" t="str">
        <f t="shared" si="20"/>
        <v/>
      </c>
      <c r="AZ27" s="1843" t="str">
        <f t="shared" si="21"/>
        <v/>
      </c>
      <c r="BA27" s="1843" t="str">
        <f t="shared" si="22"/>
        <v/>
      </c>
      <c r="BB27" s="1843" t="str">
        <f t="shared" si="23"/>
        <v/>
      </c>
      <c r="BC27" s="1844" t="str">
        <f t="shared" si="24"/>
        <v/>
      </c>
      <c r="BD27" s="30"/>
      <c r="BE27" s="30"/>
      <c r="BF2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27))),"")</f>
        <v/>
      </c>
      <c r="BG27" s="576" t="str">
        <f t="shared" si="25"/>
        <v/>
      </c>
      <c r="BH27" s="577" t="str">
        <f t="shared" si="26"/>
        <v/>
      </c>
      <c r="BI27" s="578" t="str">
        <f t="shared" si="27"/>
        <v/>
      </c>
      <c r="CN27"/>
      <c r="CO27"/>
      <c r="CP27"/>
      <c r="CQ27"/>
      <c r="CR27"/>
      <c r="CS27"/>
      <c r="CT27"/>
      <c r="CU27"/>
    </row>
    <row r="28" spans="1:99" ht="46.5" thickBot="1">
      <c r="A28" s="2257"/>
      <c r="C28" s="42">
        <f>+PP!B46</f>
        <v>23</v>
      </c>
      <c r="D28" s="229" t="str">
        <f>+PP!C46</f>
        <v>MANTO LP C/M C/T 500-1000 g/pza</v>
      </c>
      <c r="E28" s="2013"/>
      <c r="F28" s="1802"/>
      <c r="G28" s="1802"/>
      <c r="H28" s="1802"/>
      <c r="I28" s="1802"/>
      <c r="J28" s="1802"/>
      <c r="K28" s="1802"/>
      <c r="L28" s="1802"/>
      <c r="M28" s="1802"/>
      <c r="N28" s="1802"/>
      <c r="O28" s="1802"/>
      <c r="P28" s="1802"/>
      <c r="Q28" s="1802"/>
      <c r="R28" s="1802"/>
      <c r="S28" s="1847"/>
      <c r="T28" s="1847"/>
      <c r="U28" s="1847"/>
      <c r="V28" s="1847"/>
      <c r="W28" s="1847"/>
      <c r="X28" s="1848"/>
      <c r="Y28" s="525">
        <f t="shared" si="0"/>
        <v>0</v>
      </c>
      <c r="Z28" s="149">
        <f t="shared" si="28"/>
        <v>0</v>
      </c>
      <c r="AA28" s="552">
        <f t="shared" si="29"/>
        <v>0</v>
      </c>
      <c r="AB28" s="574"/>
      <c r="AC28" s="574"/>
      <c r="AD28" s="585" t="s">
        <v>3</v>
      </c>
      <c r="AE28" s="586"/>
      <c r="AF28" s="586" t="str">
        <f t="shared" si="1"/>
        <v/>
      </c>
      <c r="AG28" s="586" t="str">
        <f t="shared" si="2"/>
        <v/>
      </c>
      <c r="AH28" s="586" t="str">
        <f t="shared" si="3"/>
        <v/>
      </c>
      <c r="AI28" s="586" t="str">
        <f t="shared" si="4"/>
        <v/>
      </c>
      <c r="AJ28" s="586" t="str">
        <f t="shared" si="5"/>
        <v/>
      </c>
      <c r="AK28" s="586" t="str">
        <f t="shared" si="6"/>
        <v/>
      </c>
      <c r="AL28" s="586" t="str">
        <f t="shared" si="7"/>
        <v/>
      </c>
      <c r="AM28" s="586" t="str">
        <f t="shared" si="8"/>
        <v/>
      </c>
      <c r="AN28" s="586" t="str">
        <f t="shared" si="9"/>
        <v/>
      </c>
      <c r="AO28" s="586" t="str">
        <f t="shared" si="10"/>
        <v/>
      </c>
      <c r="AP28" s="586" t="str">
        <f t="shared" si="11"/>
        <v/>
      </c>
      <c r="AQ28" s="586" t="str">
        <f t="shared" si="12"/>
        <v/>
      </c>
      <c r="AR28" s="586" t="str">
        <f t="shared" si="13"/>
        <v/>
      </c>
      <c r="AS28" s="586" t="str">
        <f t="shared" si="14"/>
        <v/>
      </c>
      <c r="AT28" s="586" t="str">
        <f t="shared" si="15"/>
        <v/>
      </c>
      <c r="AU28" s="586" t="str">
        <f t="shared" si="16"/>
        <v/>
      </c>
      <c r="AV28" s="586" t="str">
        <f t="shared" si="17"/>
        <v/>
      </c>
      <c r="AW28" s="586" t="str">
        <f t="shared" si="18"/>
        <v/>
      </c>
      <c r="AX28" s="586" t="str">
        <f t="shared" si="19"/>
        <v/>
      </c>
      <c r="AY28" s="586">
        <f t="shared" ref="AY28:BA28" si="30">SUM(AY6:AY27)</f>
        <v>0</v>
      </c>
      <c r="AZ28" s="586">
        <f t="shared" si="30"/>
        <v>0</v>
      </c>
      <c r="BA28" s="586">
        <f t="shared" si="30"/>
        <v>0</v>
      </c>
      <c r="BB28" s="1206" t="str">
        <f>IF(COUNTIF(BB6:BB27,"REVISIÓN*")&gt;0,"REVISAR","OK")</f>
        <v>OK</v>
      </c>
      <c r="BC28" s="587" t="str">
        <f>IF(COUNTIF(BC6:BC27,"SÍ")&gt;0,"HAY","NO")</f>
        <v>NO</v>
      </c>
      <c r="BD28" s="30"/>
      <c r="BE28" s="30"/>
      <c r="BF28" s="2584" t="s">
        <v>514</v>
      </c>
      <c r="BG28" s="2585"/>
      <c r="BH28" s="588">
        <f>COUNT($BF$6:$BF$27)</f>
        <v>0</v>
      </c>
      <c r="BI28" s="589"/>
      <c r="CN28"/>
      <c r="CO28"/>
      <c r="CP28"/>
      <c r="CQ28"/>
      <c r="CR28"/>
      <c r="CS28"/>
      <c r="CT28"/>
      <c r="CU28"/>
    </row>
    <row r="29" spans="1:99" ht="45.75">
      <c r="A29" s="2257"/>
      <c r="C29" s="42">
        <f>+PP!B47</f>
        <v>24</v>
      </c>
      <c r="D29" s="229" t="str">
        <f>+PP!C47</f>
        <v>MANTO LP C/M C/T 1.0-2.0 Kg/pza</v>
      </c>
      <c r="E29" s="2013"/>
      <c r="F29" s="1802"/>
      <c r="G29" s="1802"/>
      <c r="H29" s="1802"/>
      <c r="I29" s="1802"/>
      <c r="J29" s="1802"/>
      <c r="K29" s="1802"/>
      <c r="L29" s="1802"/>
      <c r="M29" s="1802"/>
      <c r="N29" s="1802"/>
      <c r="O29" s="1802"/>
      <c r="P29" s="1802"/>
      <c r="Q29" s="1802"/>
      <c r="R29" s="1802"/>
      <c r="S29" s="1847"/>
      <c r="T29" s="1847"/>
      <c r="U29" s="1847"/>
      <c r="V29" s="1847"/>
      <c r="W29" s="1847"/>
      <c r="X29" s="1848"/>
      <c r="Y29" s="525">
        <f t="shared" si="0"/>
        <v>0</v>
      </c>
      <c r="Z29" s="169">
        <f t="shared" si="28"/>
        <v>0</v>
      </c>
      <c r="AA29" s="562">
        <f t="shared" si="29"/>
        <v>0</v>
      </c>
      <c r="AB29" s="590"/>
      <c r="AC29" s="590"/>
      <c r="AD29"/>
      <c r="AE29"/>
      <c r="AF29" t="str">
        <f t="shared" si="1"/>
        <v/>
      </c>
      <c r="AG29" t="str">
        <f t="shared" si="2"/>
        <v/>
      </c>
      <c r="AH29" t="str">
        <f t="shared" si="3"/>
        <v/>
      </c>
      <c r="AI29" t="str">
        <f t="shared" si="4"/>
        <v/>
      </c>
      <c r="AJ29" t="str">
        <f t="shared" si="5"/>
        <v/>
      </c>
      <c r="AK29" t="str">
        <f t="shared" si="6"/>
        <v/>
      </c>
      <c r="AL29" t="str">
        <f t="shared" si="7"/>
        <v/>
      </c>
      <c r="AM29" t="str">
        <f t="shared" si="8"/>
        <v/>
      </c>
      <c r="AN29" t="str">
        <f t="shared" si="9"/>
        <v/>
      </c>
      <c r="AO29" t="str">
        <f t="shared" si="10"/>
        <v/>
      </c>
      <c r="AP29" t="str">
        <f t="shared" si="11"/>
        <v/>
      </c>
      <c r="AQ29" t="str">
        <f t="shared" si="12"/>
        <v/>
      </c>
      <c r="AR29" t="str">
        <f t="shared" si="13"/>
        <v/>
      </c>
      <c r="AS29" t="str">
        <f t="shared" si="14"/>
        <v/>
      </c>
      <c r="AT29" t="str">
        <f t="shared" si="15"/>
        <v/>
      </c>
      <c r="AU29" t="str">
        <f t="shared" si="16"/>
        <v/>
      </c>
      <c r="AV29" t="str">
        <f t="shared" si="17"/>
        <v/>
      </c>
      <c r="AW29" t="str">
        <f t="shared" si="18"/>
        <v/>
      </c>
      <c r="AX29" t="str">
        <f t="shared" si="19"/>
        <v/>
      </c>
      <c r="AY29"/>
      <c r="AZ29"/>
      <c r="BA29"/>
      <c r="BB29"/>
      <c r="BC29"/>
      <c r="CN29"/>
      <c r="CO29"/>
      <c r="CP29"/>
      <c r="CQ29"/>
      <c r="CR29"/>
      <c r="CS29"/>
      <c r="CT29"/>
      <c r="CU29"/>
    </row>
    <row r="30" spans="1:99" ht="46.5" thickBot="1">
      <c r="A30" s="2257"/>
      <c r="C30" s="537">
        <f>+PP!B48</f>
        <v>25</v>
      </c>
      <c r="D30" s="230" t="str">
        <f>+PP!C48</f>
        <v>MANTO LP C/M C/T 2.0-4.0 Kg/pza</v>
      </c>
      <c r="E30" s="2014"/>
      <c r="F30" s="1829"/>
      <c r="G30" s="1829"/>
      <c r="H30" s="1829"/>
      <c r="I30" s="1829"/>
      <c r="J30" s="1829"/>
      <c r="K30" s="1829"/>
      <c r="L30" s="1829"/>
      <c r="M30" s="1829"/>
      <c r="N30" s="1829"/>
      <c r="O30" s="1829"/>
      <c r="P30" s="1829"/>
      <c r="Q30" s="1829"/>
      <c r="R30" s="1829"/>
      <c r="S30" s="1850"/>
      <c r="T30" s="1850"/>
      <c r="U30" s="1850"/>
      <c r="V30" s="1850"/>
      <c r="W30" s="1850"/>
      <c r="X30" s="1851"/>
      <c r="Y30" s="1032">
        <f t="shared" si="0"/>
        <v>0</v>
      </c>
      <c r="Z30" s="155">
        <f t="shared" si="28"/>
        <v>0</v>
      </c>
      <c r="AA30" s="556">
        <f t="shared" si="29"/>
        <v>0</v>
      </c>
      <c r="AB30" s="574"/>
      <c r="AC30" s="574"/>
      <c r="AD30"/>
      <c r="AE30"/>
      <c r="AF30" t="str">
        <f t="shared" si="1"/>
        <v/>
      </c>
      <c r="AG30" t="str">
        <f t="shared" si="2"/>
        <v/>
      </c>
      <c r="AH30" t="str">
        <f t="shared" si="3"/>
        <v/>
      </c>
      <c r="AI30" t="str">
        <f t="shared" si="4"/>
        <v/>
      </c>
      <c r="AJ30" t="str">
        <f t="shared" si="5"/>
        <v/>
      </c>
      <c r="AK30" t="str">
        <f t="shared" si="6"/>
        <v/>
      </c>
      <c r="AL30" t="str">
        <f t="shared" si="7"/>
        <v/>
      </c>
      <c r="AM30" t="str">
        <f t="shared" si="8"/>
        <v/>
      </c>
      <c r="AN30" t="str">
        <f t="shared" si="9"/>
        <v/>
      </c>
      <c r="AO30" t="str">
        <f t="shared" si="10"/>
        <v/>
      </c>
      <c r="AP30" t="str">
        <f t="shared" si="11"/>
        <v/>
      </c>
      <c r="AQ30" t="str">
        <f t="shared" si="12"/>
        <v/>
      </c>
      <c r="AR30" t="str">
        <f t="shared" si="13"/>
        <v/>
      </c>
      <c r="AS30" t="str">
        <f t="shared" si="14"/>
        <v/>
      </c>
      <c r="AT30" t="str">
        <f t="shared" si="15"/>
        <v/>
      </c>
      <c r="AU30" t="str">
        <f t="shared" si="16"/>
        <v/>
      </c>
      <c r="AV30" t="str">
        <f t="shared" si="17"/>
        <v/>
      </c>
      <c r="AW30" t="str">
        <f t="shared" si="18"/>
        <v/>
      </c>
      <c r="AX30" t="str">
        <f t="shared" si="19"/>
        <v/>
      </c>
      <c r="AY30"/>
      <c r="AZ30"/>
      <c r="BA30"/>
      <c r="BB30"/>
      <c r="BC30"/>
      <c r="CN30"/>
      <c r="CO30"/>
      <c r="CP30"/>
      <c r="CQ30"/>
      <c r="CR30"/>
      <c r="CS30"/>
      <c r="CT30"/>
      <c r="CU30"/>
    </row>
    <row r="31" spans="1:99" ht="45.75">
      <c r="A31" s="2257"/>
      <c r="C31" s="41">
        <f>+PP!B49</f>
        <v>26</v>
      </c>
      <c r="D31" s="162" t="str">
        <f>+PP!C49</f>
        <v>NUCA C/C CERRADO 0-100 g/pza</v>
      </c>
      <c r="E31" s="2967"/>
      <c r="F31" s="2968"/>
      <c r="G31" s="2968"/>
      <c r="H31" s="2968"/>
      <c r="I31" s="2968"/>
      <c r="J31" s="2968"/>
      <c r="K31" s="2968"/>
      <c r="L31" s="2968"/>
      <c r="M31" s="2968"/>
      <c r="N31" s="2968"/>
      <c r="O31" s="2968"/>
      <c r="P31" s="2968"/>
      <c r="Q31" s="2968"/>
      <c r="R31" s="2968"/>
      <c r="S31" s="2970"/>
      <c r="T31" s="2970"/>
      <c r="U31" s="2970"/>
      <c r="V31" s="2970"/>
      <c r="W31" s="2970"/>
      <c r="X31" s="2977"/>
      <c r="Y31" s="510">
        <f t="shared" si="0"/>
        <v>0</v>
      </c>
      <c r="Z31" s="148">
        <f t="shared" si="28"/>
        <v>0</v>
      </c>
      <c r="AA31" s="145">
        <f t="shared" si="29"/>
        <v>0</v>
      </c>
      <c r="AB31" s="574"/>
      <c r="AC31" s="574"/>
      <c r="AD31"/>
      <c r="AE31"/>
      <c r="AF31" t="str">
        <f t="shared" si="1"/>
        <v/>
      </c>
      <c r="AG31" t="str">
        <f t="shared" si="2"/>
        <v/>
      </c>
      <c r="AH31" t="str">
        <f t="shared" si="3"/>
        <v/>
      </c>
      <c r="AI31" t="str">
        <f t="shared" si="4"/>
        <v/>
      </c>
      <c r="AJ31" t="str">
        <f t="shared" si="5"/>
        <v/>
      </c>
      <c r="AK31" t="str">
        <f t="shared" si="6"/>
        <v/>
      </c>
      <c r="AL31" t="str">
        <f t="shared" si="7"/>
        <v/>
      </c>
      <c r="AM31" t="str">
        <f t="shared" si="8"/>
        <v/>
      </c>
      <c r="AN31" t="str">
        <f t="shared" si="9"/>
        <v/>
      </c>
      <c r="AO31" t="str">
        <f t="shared" si="10"/>
        <v/>
      </c>
      <c r="AP31" t="str">
        <f t="shared" si="11"/>
        <v/>
      </c>
      <c r="AQ31" t="str">
        <f t="shared" si="12"/>
        <v/>
      </c>
      <c r="AR31" t="str">
        <f t="shared" si="13"/>
        <v/>
      </c>
      <c r="AS31" t="str">
        <f t="shared" si="14"/>
        <v/>
      </c>
      <c r="AT31" t="str">
        <f t="shared" si="15"/>
        <v/>
      </c>
      <c r="AU31" t="str">
        <f t="shared" si="16"/>
        <v/>
      </c>
      <c r="AV31" t="str">
        <f t="shared" si="17"/>
        <v/>
      </c>
      <c r="AW31" t="str">
        <f t="shared" si="18"/>
        <v/>
      </c>
      <c r="AX31" t="str">
        <f t="shared" si="19"/>
        <v/>
      </c>
      <c r="AY31"/>
      <c r="AZ31"/>
      <c r="BA31"/>
      <c r="BB31"/>
      <c r="BC31"/>
      <c r="CN31"/>
      <c r="CO31"/>
      <c r="CP31"/>
      <c r="CQ31"/>
      <c r="CR31"/>
      <c r="CS31"/>
      <c r="CT31"/>
      <c r="CU31"/>
    </row>
    <row r="32" spans="1:99" ht="45.75">
      <c r="A32" s="2257"/>
      <c r="C32" s="42">
        <f>+PP!B50</f>
        <v>27</v>
      </c>
      <c r="D32" s="164" t="str">
        <f>+PP!C50</f>
        <v>NUCA C/C ABIERTO 100-300 g/pza</v>
      </c>
      <c r="E32" s="2013"/>
      <c r="F32" s="1802"/>
      <c r="G32" s="1802"/>
      <c r="H32" s="1802"/>
      <c r="I32" s="1802"/>
      <c r="J32" s="1802"/>
      <c r="K32" s="1802"/>
      <c r="L32" s="1802"/>
      <c r="M32" s="1802"/>
      <c r="N32" s="1802"/>
      <c r="O32" s="1802"/>
      <c r="P32" s="1802"/>
      <c r="Q32" s="1802"/>
      <c r="R32" s="1802"/>
      <c r="S32" s="1847"/>
      <c r="T32" s="1847"/>
      <c r="U32" s="1847"/>
      <c r="V32" s="1847"/>
      <c r="W32" s="1847"/>
      <c r="X32" s="1848"/>
      <c r="Y32" s="525">
        <f t="shared" si="0"/>
        <v>0</v>
      </c>
      <c r="Z32" s="149">
        <f t="shared" si="28"/>
        <v>0</v>
      </c>
      <c r="AA32" s="146">
        <f t="shared" si="29"/>
        <v>0</v>
      </c>
      <c r="AB32" s="1728"/>
      <c r="AC32" s="574"/>
      <c r="AD32"/>
      <c r="AE32"/>
      <c r="AF32" t="str">
        <f t="shared" si="1"/>
        <v/>
      </c>
      <c r="AG32" t="str">
        <f t="shared" si="2"/>
        <v/>
      </c>
      <c r="AH32" t="str">
        <f t="shared" si="3"/>
        <v/>
      </c>
      <c r="AI32" t="str">
        <f t="shared" si="4"/>
        <v/>
      </c>
      <c r="AJ32" t="str">
        <f t="shared" si="5"/>
        <v/>
      </c>
      <c r="AK32" t="str">
        <f t="shared" si="6"/>
        <v/>
      </c>
      <c r="AL32" t="str">
        <f t="shared" si="7"/>
        <v/>
      </c>
      <c r="AM32" t="str">
        <f t="shared" si="8"/>
        <v/>
      </c>
      <c r="AN32" t="str">
        <f t="shared" si="9"/>
        <v/>
      </c>
      <c r="AO32" t="str">
        <f t="shared" si="10"/>
        <v/>
      </c>
      <c r="AP32" t="str">
        <f t="shared" si="11"/>
        <v/>
      </c>
      <c r="AQ32" t="str">
        <f t="shared" si="12"/>
        <v/>
      </c>
      <c r="AR32" t="str">
        <f t="shared" si="13"/>
        <v/>
      </c>
      <c r="AS32" t="str">
        <f t="shared" si="14"/>
        <v/>
      </c>
      <c r="AT32" t="str">
        <f t="shared" si="15"/>
        <v/>
      </c>
      <c r="AU32" t="str">
        <f t="shared" si="16"/>
        <v/>
      </c>
      <c r="AV32" t="str">
        <f t="shared" si="17"/>
        <v/>
      </c>
      <c r="AW32" t="str">
        <f t="shared" si="18"/>
        <v/>
      </c>
      <c r="AX32" t="str">
        <f t="shared" si="19"/>
        <v/>
      </c>
      <c r="AY32"/>
      <c r="AZ32"/>
      <c r="BA32"/>
      <c r="BB32"/>
      <c r="BC32"/>
      <c r="CN32"/>
      <c r="CO32"/>
      <c r="CP32"/>
      <c r="CQ32"/>
      <c r="CR32"/>
      <c r="CS32"/>
      <c r="CT32"/>
      <c r="CU32"/>
    </row>
    <row r="33" spans="1:99" ht="45.75">
      <c r="A33" s="2257"/>
      <c r="C33" s="42">
        <f>+PP!B51</f>
        <v>28</v>
      </c>
      <c r="D33" s="164" t="str">
        <f>+PP!C51</f>
        <v>NUCA C/C ABIERTO 300-500 g/pza</v>
      </c>
      <c r="E33" s="2013"/>
      <c r="F33" s="1802"/>
      <c r="G33" s="1802"/>
      <c r="H33" s="1802"/>
      <c r="I33" s="1802"/>
      <c r="J33" s="1802"/>
      <c r="K33" s="1802"/>
      <c r="L33" s="1802"/>
      <c r="M33" s="1802"/>
      <c r="N33" s="1802"/>
      <c r="O33" s="1802"/>
      <c r="P33" s="1802"/>
      <c r="Q33" s="1802"/>
      <c r="R33" s="1802"/>
      <c r="S33" s="1847"/>
      <c r="T33" s="1847"/>
      <c r="U33" s="1847"/>
      <c r="V33" s="1847"/>
      <c r="W33" s="1847"/>
      <c r="X33" s="1848"/>
      <c r="Y33" s="525">
        <f t="shared" si="0"/>
        <v>0</v>
      </c>
      <c r="Z33" s="149">
        <f t="shared" si="28"/>
        <v>0</v>
      </c>
      <c r="AA33" s="146">
        <f t="shared" si="29"/>
        <v>0</v>
      </c>
      <c r="AB33" s="1728"/>
      <c r="AC33" s="574"/>
      <c r="AD33"/>
      <c r="AE33"/>
      <c r="AF33" t="str">
        <f t="shared" si="1"/>
        <v/>
      </c>
      <c r="AG33" t="str">
        <f t="shared" si="2"/>
        <v/>
      </c>
      <c r="AH33" t="str">
        <f t="shared" si="3"/>
        <v/>
      </c>
      <c r="AI33" t="str">
        <f t="shared" si="4"/>
        <v/>
      </c>
      <c r="AJ33" t="str">
        <f t="shared" si="5"/>
        <v/>
      </c>
      <c r="AK33" t="str">
        <f t="shared" si="6"/>
        <v/>
      </c>
      <c r="AL33" t="str">
        <f t="shared" si="7"/>
        <v/>
      </c>
      <c r="AM33" t="str">
        <f t="shared" si="8"/>
        <v/>
      </c>
      <c r="AN33" t="str">
        <f t="shared" si="9"/>
        <v/>
      </c>
      <c r="AO33" t="str">
        <f t="shared" si="10"/>
        <v/>
      </c>
      <c r="AP33" t="str">
        <f t="shared" si="11"/>
        <v/>
      </c>
      <c r="AQ33" t="str">
        <f t="shared" si="12"/>
        <v/>
      </c>
      <c r="AR33" t="str">
        <f t="shared" si="13"/>
        <v/>
      </c>
      <c r="AS33" t="str">
        <f t="shared" si="14"/>
        <v/>
      </c>
      <c r="AT33" t="str">
        <f t="shared" si="15"/>
        <v/>
      </c>
      <c r="AU33" t="str">
        <f t="shared" si="16"/>
        <v/>
      </c>
      <c r="AV33" t="str">
        <f t="shared" si="17"/>
        <v/>
      </c>
      <c r="AW33" t="str">
        <f t="shared" si="18"/>
        <v/>
      </c>
      <c r="AX33" t="str">
        <f t="shared" si="19"/>
        <v/>
      </c>
      <c r="AY33"/>
      <c r="AZ33"/>
      <c r="BA33"/>
      <c r="BB33"/>
      <c r="BC33"/>
      <c r="CN33"/>
      <c r="CO33"/>
      <c r="CP33"/>
      <c r="CQ33"/>
      <c r="CR33"/>
      <c r="CS33"/>
      <c r="CT33"/>
      <c r="CU33"/>
    </row>
    <row r="34" spans="1:99" ht="45.75">
      <c r="A34" s="2257"/>
      <c r="C34" s="42">
        <f>+PP!B52</f>
        <v>29</v>
      </c>
      <c r="D34" s="164" t="str">
        <f>+PP!C52</f>
        <v>NUCA C/C ABIERTO 500-1000 g/pza</v>
      </c>
      <c r="E34" s="2013"/>
      <c r="F34" s="1802"/>
      <c r="G34" s="1802"/>
      <c r="H34" s="1802"/>
      <c r="I34" s="1802"/>
      <c r="J34" s="1802"/>
      <c r="K34" s="1802"/>
      <c r="L34" s="1802"/>
      <c r="M34" s="1802"/>
      <c r="N34" s="1802"/>
      <c r="O34" s="1802"/>
      <c r="P34" s="1802"/>
      <c r="Q34" s="1802"/>
      <c r="R34" s="1802"/>
      <c r="S34" s="1847"/>
      <c r="T34" s="1847"/>
      <c r="U34" s="1847"/>
      <c r="V34" s="1849"/>
      <c r="W34" s="1847"/>
      <c r="X34" s="1848"/>
      <c r="Y34" s="525">
        <f t="shared" si="0"/>
        <v>0</v>
      </c>
      <c r="Z34" s="149">
        <f t="shared" si="28"/>
        <v>0</v>
      </c>
      <c r="AA34" s="146">
        <f t="shared" si="29"/>
        <v>0</v>
      </c>
      <c r="AB34" s="1728"/>
      <c r="AC34" s="574"/>
      <c r="AD34"/>
      <c r="AE34"/>
      <c r="AF34" t="str">
        <f t="shared" si="1"/>
        <v/>
      </c>
      <c r="AG34" t="str">
        <f t="shared" si="2"/>
        <v/>
      </c>
      <c r="AH34" t="str">
        <f t="shared" si="3"/>
        <v/>
      </c>
      <c r="AI34" t="str">
        <f t="shared" si="4"/>
        <v/>
      </c>
      <c r="AJ34" t="str">
        <f t="shared" si="5"/>
        <v/>
      </c>
      <c r="AK34" t="str">
        <f t="shared" si="6"/>
        <v/>
      </c>
      <c r="AL34" t="str">
        <f t="shared" si="7"/>
        <v/>
      </c>
      <c r="AM34" t="str">
        <f t="shared" si="8"/>
        <v/>
      </c>
      <c r="AN34" t="str">
        <f t="shared" si="9"/>
        <v/>
      </c>
      <c r="AO34" t="str">
        <f t="shared" si="10"/>
        <v/>
      </c>
      <c r="AP34" t="str">
        <f t="shared" si="11"/>
        <v/>
      </c>
      <c r="AQ34" t="str">
        <f t="shared" si="12"/>
        <v/>
      </c>
      <c r="AR34" t="str">
        <f t="shared" si="13"/>
        <v/>
      </c>
      <c r="AS34" t="str">
        <f t="shared" si="14"/>
        <v/>
      </c>
      <c r="AT34" t="str">
        <f t="shared" si="15"/>
        <v/>
      </c>
      <c r="AU34" t="str">
        <f t="shared" si="16"/>
        <v/>
      </c>
      <c r="AV34" t="str">
        <f t="shared" si="17"/>
        <v/>
      </c>
      <c r="AW34" t="str">
        <f t="shared" si="18"/>
        <v/>
      </c>
      <c r="AX34" t="str">
        <f t="shared" si="19"/>
        <v/>
      </c>
      <c r="AY34"/>
      <c r="AZ34"/>
      <c r="BA34"/>
      <c r="BB34"/>
      <c r="BC34"/>
      <c r="CN34"/>
      <c r="CO34"/>
      <c r="CP34"/>
      <c r="CQ34"/>
      <c r="CR34"/>
      <c r="CS34"/>
      <c r="CT34"/>
      <c r="CU34"/>
    </row>
    <row r="35" spans="1:99" ht="46.5" thickBot="1">
      <c r="A35" s="2257"/>
      <c r="C35" s="537">
        <f>+PP!B53</f>
        <v>30</v>
      </c>
      <c r="D35" s="167" t="str">
        <f>+PP!C53</f>
        <v>NUCA C/C ABIERTO 1.0 - UP kg/pza</v>
      </c>
      <c r="E35" s="2014"/>
      <c r="F35" s="1829"/>
      <c r="G35" s="1829"/>
      <c r="H35" s="1829"/>
      <c r="I35" s="1829"/>
      <c r="J35" s="1829"/>
      <c r="K35" s="1829"/>
      <c r="L35" s="1829"/>
      <c r="M35" s="1829"/>
      <c r="N35" s="1829"/>
      <c r="O35" s="1829"/>
      <c r="P35" s="1829"/>
      <c r="Q35" s="1829"/>
      <c r="R35" s="1829"/>
      <c r="S35" s="1850"/>
      <c r="T35" s="1850"/>
      <c r="U35" s="1850"/>
      <c r="V35" s="1850"/>
      <c r="W35" s="1850"/>
      <c r="X35" s="1851"/>
      <c r="Y35" s="1032">
        <f t="shared" si="0"/>
        <v>0</v>
      </c>
      <c r="Z35" s="155">
        <f t="shared" si="28"/>
        <v>0</v>
      </c>
      <c r="AA35" s="156">
        <f t="shared" si="29"/>
        <v>0</v>
      </c>
      <c r="AB35" s="1728"/>
      <c r="AC35" s="574"/>
      <c r="AD35"/>
      <c r="AE35"/>
      <c r="AF35" t="str">
        <f t="shared" si="1"/>
        <v/>
      </c>
      <c r="AG35" t="str">
        <f t="shared" si="2"/>
        <v/>
      </c>
      <c r="AH35" t="str">
        <f t="shared" si="3"/>
        <v/>
      </c>
      <c r="AI35" t="str">
        <f t="shared" si="4"/>
        <v/>
      </c>
      <c r="AJ35" t="str">
        <f t="shared" si="5"/>
        <v/>
      </c>
      <c r="AK35" t="str">
        <f t="shared" si="6"/>
        <v/>
      </c>
      <c r="AL35" t="str">
        <f t="shared" si="7"/>
        <v/>
      </c>
      <c r="AM35" t="str">
        <f t="shared" si="8"/>
        <v/>
      </c>
      <c r="AN35" t="str">
        <f t="shared" si="9"/>
        <v/>
      </c>
      <c r="AO35" t="str">
        <f t="shared" si="10"/>
        <v/>
      </c>
      <c r="AP35" t="str">
        <f t="shared" si="11"/>
        <v/>
      </c>
      <c r="AQ35" t="str">
        <f t="shared" si="12"/>
        <v/>
      </c>
      <c r="AR35" t="str">
        <f t="shared" si="13"/>
        <v/>
      </c>
      <c r="AS35" t="str">
        <f t="shared" si="14"/>
        <v/>
      </c>
      <c r="AT35" t="str">
        <f t="shared" si="15"/>
        <v/>
      </c>
      <c r="AU35" t="str">
        <f t="shared" si="16"/>
        <v/>
      </c>
      <c r="AV35" t="str">
        <f t="shared" si="17"/>
        <v/>
      </c>
      <c r="AW35" t="str">
        <f t="shared" si="18"/>
        <v/>
      </c>
      <c r="AX35" t="str">
        <f t="shared" si="19"/>
        <v/>
      </c>
      <c r="AY35"/>
      <c r="AZ35"/>
      <c r="BA35"/>
      <c r="BB35"/>
      <c r="BC35"/>
      <c r="CN35"/>
      <c r="CO35"/>
      <c r="CP35"/>
      <c r="CQ35"/>
      <c r="CR35"/>
      <c r="CS35"/>
      <c r="CT35"/>
      <c r="CU35"/>
    </row>
    <row r="36" spans="1:99" ht="45.75">
      <c r="A36" s="2257"/>
      <c r="C36" s="41">
        <f>+PP!B54</f>
        <v>31</v>
      </c>
      <c r="D36" s="162" t="str">
        <f>+PP!C54</f>
        <v>RECORTE BLANCO SM ST</v>
      </c>
      <c r="E36" s="2967"/>
      <c r="F36" s="2968"/>
      <c r="G36" s="2968"/>
      <c r="H36" s="2968"/>
      <c r="I36" s="2968"/>
      <c r="J36" s="2968"/>
      <c r="K36" s="2968"/>
      <c r="L36" s="2968"/>
      <c r="M36" s="2968"/>
      <c r="N36" s="2968"/>
      <c r="O36" s="2968"/>
      <c r="P36" s="2968"/>
      <c r="Q36" s="2968"/>
      <c r="R36" s="2970"/>
      <c r="S36" s="2970"/>
      <c r="T36" s="2970"/>
      <c r="U36" s="2970"/>
      <c r="V36" s="2970"/>
      <c r="W36" s="2970"/>
      <c r="X36" s="2977"/>
      <c r="Y36" s="510">
        <f t="shared" si="0"/>
        <v>0</v>
      </c>
      <c r="Z36" s="148">
        <f t="shared" si="28"/>
        <v>0</v>
      </c>
      <c r="AA36" s="145">
        <f t="shared" si="29"/>
        <v>0</v>
      </c>
      <c r="AB36" s="1728"/>
      <c r="AC36" s="574"/>
      <c r="AD36"/>
      <c r="AE36"/>
      <c r="AF36" t="str">
        <f t="shared" si="1"/>
        <v/>
      </c>
      <c r="AG36" t="str">
        <f t="shared" si="2"/>
        <v/>
      </c>
      <c r="AH36" t="str">
        <f t="shared" si="3"/>
        <v/>
      </c>
      <c r="AI36" t="str">
        <f t="shared" si="4"/>
        <v/>
      </c>
      <c r="AJ36" t="str">
        <f t="shared" si="5"/>
        <v/>
      </c>
      <c r="AK36" t="str">
        <f t="shared" si="6"/>
        <v/>
      </c>
      <c r="AL36" t="str">
        <f t="shared" si="7"/>
        <v/>
      </c>
      <c r="AM36" t="str">
        <f t="shared" si="8"/>
        <v/>
      </c>
      <c r="AN36" t="str">
        <f t="shared" si="9"/>
        <v/>
      </c>
      <c r="AO36" t="str">
        <f t="shared" si="10"/>
        <v/>
      </c>
      <c r="AP36" t="str">
        <f t="shared" si="11"/>
        <v/>
      </c>
      <c r="AQ36" t="str">
        <f t="shared" si="12"/>
        <v/>
      </c>
      <c r="AR36" t="str">
        <f t="shared" si="13"/>
        <v/>
      </c>
      <c r="AS36" t="str">
        <f t="shared" si="14"/>
        <v/>
      </c>
      <c r="AT36" t="str">
        <f t="shared" si="15"/>
        <v/>
      </c>
      <c r="AU36" t="str">
        <f t="shared" si="16"/>
        <v/>
      </c>
      <c r="AV36" t="str">
        <f t="shared" si="17"/>
        <v/>
      </c>
      <c r="AW36" t="str">
        <f t="shared" si="18"/>
        <v/>
      </c>
      <c r="AX36" t="str">
        <f t="shared" si="19"/>
        <v/>
      </c>
      <c r="AY36"/>
      <c r="AZ36"/>
      <c r="BA36"/>
      <c r="BB36"/>
      <c r="BC36"/>
      <c r="CN36"/>
      <c r="CO36"/>
      <c r="CP36"/>
      <c r="CQ36"/>
      <c r="CR36"/>
      <c r="CS36"/>
      <c r="CT36"/>
      <c r="CU36"/>
    </row>
    <row r="37" spans="1:99" ht="45.75">
      <c r="A37" s="2257"/>
      <c r="C37" s="42">
        <f>+PP!B55</f>
        <v>32</v>
      </c>
      <c r="D37" s="164" t="str">
        <f>+PP!C55</f>
        <v>RECORTE AMARILLO SM ST</v>
      </c>
      <c r="E37" s="2013"/>
      <c r="F37" s="1802"/>
      <c r="G37" s="1802"/>
      <c r="H37" s="1802"/>
      <c r="I37" s="1802"/>
      <c r="J37" s="1802"/>
      <c r="K37" s="1802"/>
      <c r="L37" s="1802"/>
      <c r="M37" s="1802"/>
      <c r="N37" s="1802"/>
      <c r="O37" s="1802"/>
      <c r="P37" s="1802"/>
      <c r="Q37" s="1802"/>
      <c r="R37" s="1847"/>
      <c r="S37" s="1847"/>
      <c r="T37" s="1847"/>
      <c r="U37" s="1847"/>
      <c r="V37" s="1847"/>
      <c r="W37" s="1847"/>
      <c r="X37" s="1848"/>
      <c r="Y37" s="525">
        <f t="shared" si="0"/>
        <v>0</v>
      </c>
      <c r="Z37" s="149">
        <f t="shared" si="28"/>
        <v>0</v>
      </c>
      <c r="AA37" s="146">
        <f t="shared" si="29"/>
        <v>0</v>
      </c>
      <c r="AB37" s="1728"/>
      <c r="AC37" s="574"/>
      <c r="AD37"/>
      <c r="AE37"/>
      <c r="AF37" t="str">
        <f t="shared" si="1"/>
        <v/>
      </c>
      <c r="AG37" t="str">
        <f t="shared" si="2"/>
        <v/>
      </c>
      <c r="AH37" t="str">
        <f t="shared" si="3"/>
        <v/>
      </c>
      <c r="AI37" t="str">
        <f t="shared" si="4"/>
        <v/>
      </c>
      <c r="AJ37" t="str">
        <f t="shared" si="5"/>
        <v/>
      </c>
      <c r="AK37" t="str">
        <f t="shared" si="6"/>
        <v/>
      </c>
      <c r="AL37" t="str">
        <f t="shared" si="7"/>
        <v/>
      </c>
      <c r="AM37" t="str">
        <f t="shared" si="8"/>
        <v/>
      </c>
      <c r="AN37" t="str">
        <f t="shared" si="9"/>
        <v/>
      </c>
      <c r="AO37" t="str">
        <f t="shared" si="10"/>
        <v/>
      </c>
      <c r="AP37" t="str">
        <f t="shared" si="11"/>
        <v/>
      </c>
      <c r="AQ37" t="str">
        <f t="shared" si="12"/>
        <v/>
      </c>
      <c r="AR37" t="str">
        <f t="shared" si="13"/>
        <v/>
      </c>
      <c r="AS37" t="str">
        <f t="shared" si="14"/>
        <v/>
      </c>
      <c r="AT37" t="str">
        <f t="shared" si="15"/>
        <v/>
      </c>
      <c r="AU37" t="str">
        <f t="shared" si="16"/>
        <v/>
      </c>
      <c r="AV37" t="str">
        <f t="shared" si="17"/>
        <v/>
      </c>
      <c r="AW37" t="str">
        <f t="shared" si="18"/>
        <v/>
      </c>
      <c r="AX37" t="str">
        <f t="shared" si="19"/>
        <v/>
      </c>
      <c r="AY37"/>
      <c r="AZ37"/>
      <c r="BA37"/>
      <c r="BB37"/>
      <c r="BC37"/>
      <c r="CN37"/>
      <c r="CO37"/>
      <c r="CP37"/>
      <c r="CQ37"/>
      <c r="CR37"/>
      <c r="CS37"/>
      <c r="CT37"/>
      <c r="CU37"/>
    </row>
    <row r="38" spans="1:99" ht="46.5" thickBot="1">
      <c r="A38" s="2257"/>
      <c r="C38" s="537">
        <f>+PP!B56</f>
        <v>33</v>
      </c>
      <c r="D38" s="167" t="str">
        <f>+PP!C56</f>
        <v>RECORTE PRECOCIDO</v>
      </c>
      <c r="E38" s="2014"/>
      <c r="F38" s="1829"/>
      <c r="G38" s="1829"/>
      <c r="H38" s="1829"/>
      <c r="I38" s="1829"/>
      <c r="J38" s="1829"/>
      <c r="K38" s="1829"/>
      <c r="L38" s="1829"/>
      <c r="M38" s="1829"/>
      <c r="N38" s="1829"/>
      <c r="O38" s="1829"/>
      <c r="P38" s="1829"/>
      <c r="Q38" s="1829"/>
      <c r="R38" s="1850"/>
      <c r="S38" s="1850"/>
      <c r="T38" s="1850"/>
      <c r="U38" s="1850"/>
      <c r="V38" s="1850"/>
      <c r="W38" s="1850"/>
      <c r="X38" s="1851"/>
      <c r="Y38" s="1032">
        <f t="shared" si="0"/>
        <v>0</v>
      </c>
      <c r="Z38" s="155">
        <f t="shared" si="28"/>
        <v>0</v>
      </c>
      <c r="AA38" s="156">
        <f t="shared" si="29"/>
        <v>0</v>
      </c>
      <c r="AB38" s="1728"/>
      <c r="AC38" s="574"/>
      <c r="AD38"/>
      <c r="AE38"/>
      <c r="AF38" t="str">
        <f t="shared" si="1"/>
        <v/>
      </c>
      <c r="AG38" t="str">
        <f t="shared" si="2"/>
        <v/>
      </c>
      <c r="AH38" t="str">
        <f t="shared" si="3"/>
        <v/>
      </c>
      <c r="AI38" t="str">
        <f t="shared" si="4"/>
        <v/>
      </c>
      <c r="AJ38" t="str">
        <f t="shared" si="5"/>
        <v/>
      </c>
      <c r="AK38" t="str">
        <f t="shared" si="6"/>
        <v/>
      </c>
      <c r="AL38" t="str">
        <f t="shared" si="7"/>
        <v/>
      </c>
      <c r="AM38" t="str">
        <f t="shared" si="8"/>
        <v/>
      </c>
      <c r="AN38" t="str">
        <f t="shared" si="9"/>
        <v/>
      </c>
      <c r="AO38" t="str">
        <f t="shared" si="10"/>
        <v/>
      </c>
      <c r="AP38" t="str">
        <f t="shared" si="11"/>
        <v/>
      </c>
      <c r="AQ38" t="str">
        <f t="shared" si="12"/>
        <v/>
      </c>
      <c r="AR38" t="str">
        <f t="shared" si="13"/>
        <v/>
      </c>
      <c r="AS38" t="str">
        <f t="shared" si="14"/>
        <v/>
      </c>
      <c r="AT38" t="str">
        <f t="shared" si="15"/>
        <v/>
      </c>
      <c r="AU38" t="str">
        <f t="shared" si="16"/>
        <v/>
      </c>
      <c r="AV38" t="str">
        <f t="shared" si="17"/>
        <v/>
      </c>
      <c r="AW38" t="str">
        <f t="shared" si="18"/>
        <v/>
      </c>
      <c r="AX38" t="str">
        <f t="shared" si="19"/>
        <v/>
      </c>
      <c r="AY38"/>
      <c r="AZ38"/>
      <c r="BA38"/>
      <c r="BB38"/>
      <c r="BC38"/>
      <c r="CN38"/>
      <c r="CO38"/>
      <c r="CP38"/>
      <c r="CQ38"/>
      <c r="CR38"/>
      <c r="CS38"/>
      <c r="CT38"/>
      <c r="CU38"/>
    </row>
    <row r="39" spans="1:99" ht="45.75">
      <c r="A39" s="2257"/>
      <c r="C39" s="41">
        <f>+PP!B57</f>
        <v>34</v>
      </c>
      <c r="D39" s="162" t="str">
        <f>+PP!C57</f>
        <v>REPRODUCTORES SV, PEQUEÑO</v>
      </c>
      <c r="E39" s="2967"/>
      <c r="F39" s="2968"/>
      <c r="G39" s="2968"/>
      <c r="H39" s="2968"/>
      <c r="I39" s="2968"/>
      <c r="J39" s="2968"/>
      <c r="K39" s="2968"/>
      <c r="L39" s="2968"/>
      <c r="M39" s="2968"/>
      <c r="N39" s="2968"/>
      <c r="O39" s="2968"/>
      <c r="P39" s="2968"/>
      <c r="Q39" s="2968"/>
      <c r="R39" s="2968"/>
      <c r="S39" s="2970"/>
      <c r="T39" s="2970"/>
      <c r="U39" s="2970"/>
      <c r="V39" s="2970"/>
      <c r="W39" s="2970"/>
      <c r="X39" s="2977"/>
      <c r="Y39" s="510">
        <f t="shared" si="0"/>
        <v>0</v>
      </c>
      <c r="Z39" s="148">
        <f t="shared" si="28"/>
        <v>0</v>
      </c>
      <c r="AA39" s="145">
        <f t="shared" si="29"/>
        <v>0</v>
      </c>
      <c r="AB39" s="574"/>
      <c r="AC39" s="574"/>
      <c r="AD39"/>
      <c r="AE39"/>
      <c r="AF39" t="str">
        <f t="shared" si="1"/>
        <v/>
      </c>
      <c r="AG39" t="str">
        <f t="shared" si="2"/>
        <v/>
      </c>
      <c r="AH39" t="str">
        <f t="shared" si="3"/>
        <v/>
      </c>
      <c r="AI39" t="str">
        <f t="shared" si="4"/>
        <v/>
      </c>
      <c r="AJ39" t="str">
        <f t="shared" si="5"/>
        <v/>
      </c>
      <c r="AK39" t="str">
        <f t="shared" si="6"/>
        <v/>
      </c>
      <c r="AL39" t="str">
        <f t="shared" si="7"/>
        <v/>
      </c>
      <c r="AM39" t="str">
        <f t="shared" si="8"/>
        <v/>
      </c>
      <c r="AN39" t="str">
        <f t="shared" si="9"/>
        <v/>
      </c>
      <c r="AO39" t="str">
        <f t="shared" si="10"/>
        <v/>
      </c>
      <c r="AP39" t="str">
        <f t="shared" si="11"/>
        <v/>
      </c>
      <c r="AQ39" t="str">
        <f t="shared" si="12"/>
        <v/>
      </c>
      <c r="AR39" t="str">
        <f t="shared" si="13"/>
        <v/>
      </c>
      <c r="AS39" t="str">
        <f t="shared" si="14"/>
        <v/>
      </c>
      <c r="AT39" t="str">
        <f t="shared" si="15"/>
        <v/>
      </c>
      <c r="AU39" t="str">
        <f t="shared" si="16"/>
        <v/>
      </c>
      <c r="AV39" t="str">
        <f t="shared" si="17"/>
        <v/>
      </c>
      <c r="AW39" t="str">
        <f t="shared" si="18"/>
        <v/>
      </c>
      <c r="AX39" t="str">
        <f t="shared" si="19"/>
        <v/>
      </c>
      <c r="AY39"/>
      <c r="AZ39"/>
      <c r="BA39"/>
      <c r="BB39"/>
      <c r="CN39"/>
      <c r="CO39"/>
      <c r="CP39"/>
      <c r="CQ39"/>
      <c r="CR39"/>
      <c r="CS39"/>
      <c r="CT39"/>
      <c r="CU39"/>
    </row>
    <row r="40" spans="1:99" ht="46.5" thickBot="1">
      <c r="A40" s="2257"/>
      <c r="C40" s="40">
        <f>+PP!B58</f>
        <v>35</v>
      </c>
      <c r="D40" s="163" t="str">
        <f>+PP!C58</f>
        <v>REPRODUCTOR SV GRANDE</v>
      </c>
      <c r="E40" s="2972"/>
      <c r="F40" s="2973"/>
      <c r="G40" s="2973"/>
      <c r="H40" s="2973"/>
      <c r="I40" s="2973"/>
      <c r="J40" s="2973"/>
      <c r="K40" s="2973"/>
      <c r="L40" s="2973"/>
      <c r="M40" s="2973"/>
      <c r="N40" s="2973"/>
      <c r="O40" s="2973"/>
      <c r="P40" s="2973"/>
      <c r="Q40" s="2973"/>
      <c r="R40" s="2973"/>
      <c r="S40" s="2975"/>
      <c r="T40" s="2975"/>
      <c r="U40" s="2975"/>
      <c r="V40" s="2975"/>
      <c r="W40" s="2975"/>
      <c r="X40" s="2978"/>
      <c r="Y40" s="511">
        <f t="shared" si="0"/>
        <v>0</v>
      </c>
      <c r="Z40" s="150">
        <f t="shared" si="28"/>
        <v>0</v>
      </c>
      <c r="AA40" s="147">
        <f t="shared" si="29"/>
        <v>0</v>
      </c>
      <c r="AB40" s="574"/>
      <c r="AC40" s="574"/>
      <c r="AD40"/>
      <c r="AE40"/>
      <c r="AF40" t="str">
        <f t="shared" si="1"/>
        <v/>
      </c>
      <c r="AG40" t="str">
        <f t="shared" si="2"/>
        <v/>
      </c>
      <c r="AH40" t="str">
        <f t="shared" si="3"/>
        <v/>
      </c>
      <c r="AI40" t="str">
        <f t="shared" si="4"/>
        <v/>
      </c>
      <c r="AJ40" t="str">
        <f t="shared" si="5"/>
        <v/>
      </c>
      <c r="AK40" t="str">
        <f t="shared" si="6"/>
        <v/>
      </c>
      <c r="AL40" t="str">
        <f t="shared" si="7"/>
        <v/>
      </c>
      <c r="AM40" t="str">
        <f t="shared" si="8"/>
        <v/>
      </c>
      <c r="AN40" t="str">
        <f t="shared" si="9"/>
        <v/>
      </c>
      <c r="AO40" t="str">
        <f t="shared" si="10"/>
        <v/>
      </c>
      <c r="AP40" t="str">
        <f t="shared" si="11"/>
        <v/>
      </c>
      <c r="AQ40" t="str">
        <f t="shared" si="12"/>
        <v/>
      </c>
      <c r="AR40" t="str">
        <f t="shared" si="13"/>
        <v/>
      </c>
      <c r="AS40" t="str">
        <f t="shared" si="14"/>
        <v/>
      </c>
      <c r="AT40" t="str">
        <f t="shared" si="15"/>
        <v/>
      </c>
      <c r="AU40" t="str">
        <f t="shared" si="16"/>
        <v/>
      </c>
      <c r="AV40" t="str">
        <f t="shared" si="17"/>
        <v/>
      </c>
      <c r="AW40" t="str">
        <f t="shared" si="18"/>
        <v/>
      </c>
      <c r="AX40" t="str">
        <f t="shared" si="19"/>
        <v/>
      </c>
      <c r="AY40"/>
      <c r="AZ40"/>
      <c r="BA40"/>
      <c r="BB40"/>
      <c r="CN40"/>
      <c r="CO40"/>
      <c r="CP40"/>
      <c r="CQ40"/>
      <c r="CR40"/>
      <c r="CS40"/>
      <c r="CT40"/>
      <c r="CU40"/>
    </row>
    <row r="41" spans="1:99" ht="46.5" thickBot="1">
      <c r="A41" s="2257"/>
      <c r="C41" s="526">
        <f>+PP!B59</f>
        <v>36</v>
      </c>
      <c r="D41" s="538" t="str">
        <f>+PP!C59</f>
        <v>TUBO ALETA 1.0-2.0 Kg/pza</v>
      </c>
      <c r="E41" s="2979"/>
      <c r="F41" s="2980"/>
      <c r="G41" s="2980"/>
      <c r="H41" s="2980"/>
      <c r="I41" s="2980"/>
      <c r="J41" s="2980"/>
      <c r="K41" s="2980"/>
      <c r="L41" s="2980"/>
      <c r="M41" s="2980"/>
      <c r="N41" s="2980"/>
      <c r="O41" s="2980"/>
      <c r="P41" s="2980"/>
      <c r="Q41" s="2980"/>
      <c r="R41" s="2980"/>
      <c r="S41" s="2981"/>
      <c r="T41" s="2981"/>
      <c r="U41" s="2981"/>
      <c r="V41" s="2981"/>
      <c r="W41" s="2981"/>
      <c r="X41" s="2982"/>
      <c r="Y41" s="527">
        <f t="shared" si="0"/>
        <v>0</v>
      </c>
      <c r="Z41" s="1793">
        <f t="shared" si="28"/>
        <v>0</v>
      </c>
      <c r="AA41" s="557">
        <f t="shared" si="29"/>
        <v>0</v>
      </c>
      <c r="AB41" s="574"/>
      <c r="AC41" s="574"/>
      <c r="AD41"/>
      <c r="AE41"/>
      <c r="AF41" t="str">
        <f t="shared" si="1"/>
        <v/>
      </c>
      <c r="AG41" t="str">
        <f t="shared" si="2"/>
        <v/>
      </c>
      <c r="AH41" t="str">
        <f t="shared" si="3"/>
        <v/>
      </c>
      <c r="AI41" t="str">
        <f t="shared" si="4"/>
        <v/>
      </c>
      <c r="AJ41" t="str">
        <f t="shared" si="5"/>
        <v/>
      </c>
      <c r="AK41" t="str">
        <f t="shared" si="6"/>
        <v/>
      </c>
      <c r="AL41" t="str">
        <f t="shared" si="7"/>
        <v/>
      </c>
      <c r="AM41" t="str">
        <f t="shared" si="8"/>
        <v/>
      </c>
      <c r="AN41" t="str">
        <f t="shared" si="9"/>
        <v/>
      </c>
      <c r="AO41" t="str">
        <f t="shared" si="10"/>
        <v/>
      </c>
      <c r="AP41" t="str">
        <f t="shared" si="11"/>
        <v/>
      </c>
      <c r="AQ41" t="str">
        <f t="shared" si="12"/>
        <v/>
      </c>
      <c r="AR41" t="str">
        <f t="shared" si="13"/>
        <v/>
      </c>
      <c r="AS41" t="str">
        <f t="shared" si="14"/>
        <v/>
      </c>
      <c r="AT41" t="str">
        <f t="shared" si="15"/>
        <v/>
      </c>
      <c r="AU41" t="str">
        <f t="shared" si="16"/>
        <v/>
      </c>
      <c r="AV41" t="str">
        <f t="shared" si="17"/>
        <v/>
      </c>
      <c r="AW41" t="str">
        <f t="shared" si="18"/>
        <v/>
      </c>
      <c r="AX41" t="str">
        <f t="shared" si="19"/>
        <v/>
      </c>
      <c r="AY41"/>
      <c r="AZ41"/>
      <c r="BA41"/>
      <c r="BB41"/>
      <c r="CN41"/>
      <c r="CO41"/>
      <c r="CP41"/>
      <c r="CQ41"/>
      <c r="CR41"/>
      <c r="CS41"/>
      <c r="CT41"/>
      <c r="CU41"/>
    </row>
    <row r="42" spans="1:99" ht="45.75">
      <c r="A42" s="2257"/>
      <c r="C42" s="41">
        <f>+PP!B60</f>
        <v>37</v>
      </c>
      <c r="D42" s="259" t="str">
        <f>+PP!C60</f>
        <v>TENTACULO C/B C/V SR 100-300 g/pza (SUCIO)</v>
      </c>
      <c r="E42" s="2967"/>
      <c r="F42" s="2968"/>
      <c r="G42" s="2968"/>
      <c r="H42" s="2968"/>
      <c r="I42" s="2968"/>
      <c r="J42" s="2968"/>
      <c r="K42" s="2968"/>
      <c r="L42" s="2968"/>
      <c r="M42" s="2968"/>
      <c r="N42" s="2968"/>
      <c r="O42" s="2968"/>
      <c r="P42" s="2968"/>
      <c r="Q42" s="2968"/>
      <c r="R42" s="2968"/>
      <c r="S42" s="2970"/>
      <c r="T42" s="2970"/>
      <c r="U42" s="2970"/>
      <c r="V42" s="2970"/>
      <c r="W42" s="2970"/>
      <c r="X42" s="2977"/>
      <c r="Y42" s="510">
        <f t="shared" si="0"/>
        <v>0</v>
      </c>
      <c r="Z42" s="548">
        <f t="shared" si="28"/>
        <v>0</v>
      </c>
      <c r="AA42" s="490">
        <f t="shared" si="29"/>
        <v>0</v>
      </c>
      <c r="AB42" s="574"/>
      <c r="AC42" s="574"/>
      <c r="AD42"/>
      <c r="AE42"/>
      <c r="AF42" t="str">
        <f t="shared" si="1"/>
        <v/>
      </c>
      <c r="AG42" t="str">
        <f t="shared" si="2"/>
        <v/>
      </c>
      <c r="AH42" t="str">
        <f t="shared" si="3"/>
        <v/>
      </c>
      <c r="AI42" t="str">
        <f t="shared" si="4"/>
        <v/>
      </c>
      <c r="AJ42" t="str">
        <f t="shared" si="5"/>
        <v/>
      </c>
      <c r="AK42" t="str">
        <f t="shared" si="6"/>
        <v/>
      </c>
      <c r="AL42" t="str">
        <f t="shared" si="7"/>
        <v/>
      </c>
      <c r="AM42" t="str">
        <f t="shared" si="8"/>
        <v/>
      </c>
      <c r="AN42" t="str">
        <f t="shared" si="9"/>
        <v/>
      </c>
      <c r="AO42" t="str">
        <f t="shared" si="10"/>
        <v/>
      </c>
      <c r="AP42" t="str">
        <f t="shared" si="11"/>
        <v/>
      </c>
      <c r="AQ42" t="str">
        <f t="shared" si="12"/>
        <v/>
      </c>
      <c r="AR42" t="str">
        <f t="shared" si="13"/>
        <v/>
      </c>
      <c r="AS42" t="str">
        <f t="shared" si="14"/>
        <v/>
      </c>
      <c r="AT42" t="str">
        <f t="shared" si="15"/>
        <v/>
      </c>
      <c r="AU42" t="str">
        <f t="shared" si="16"/>
        <v/>
      </c>
      <c r="AV42" t="str">
        <f t="shared" si="17"/>
        <v/>
      </c>
      <c r="AW42" t="str">
        <f t="shared" si="18"/>
        <v/>
      </c>
      <c r="AX42" t="str">
        <f t="shared" si="19"/>
        <v/>
      </c>
      <c r="AY42"/>
      <c r="AZ42"/>
      <c r="BA42"/>
      <c r="BB42"/>
      <c r="CN42"/>
      <c r="CO42"/>
      <c r="CP42"/>
      <c r="CQ42"/>
      <c r="CR42"/>
      <c r="CS42"/>
      <c r="CT42"/>
      <c r="CU42"/>
    </row>
    <row r="43" spans="1:99" ht="45.75">
      <c r="A43" s="2257"/>
      <c r="C43" s="42">
        <f>+PP!B61</f>
        <v>38</v>
      </c>
      <c r="D43" s="229" t="str">
        <f>+PP!C61</f>
        <v>TENTACULO C/B C/V SR 300-500 g/pza (SUCIO)</v>
      </c>
      <c r="E43" s="2013"/>
      <c r="F43" s="1802"/>
      <c r="G43" s="1802"/>
      <c r="H43" s="1802"/>
      <c r="I43" s="1802"/>
      <c r="J43" s="1802"/>
      <c r="K43" s="1802"/>
      <c r="L43" s="1802"/>
      <c r="M43" s="1802"/>
      <c r="N43" s="1802"/>
      <c r="O43" s="1802"/>
      <c r="P43" s="1802"/>
      <c r="Q43" s="1802"/>
      <c r="R43" s="1802"/>
      <c r="S43" s="1847"/>
      <c r="T43" s="1847"/>
      <c r="U43" s="1847"/>
      <c r="V43" s="1847"/>
      <c r="W43" s="1847"/>
      <c r="X43" s="1848"/>
      <c r="Y43" s="525">
        <f t="shared" si="0"/>
        <v>0</v>
      </c>
      <c r="Z43" s="551">
        <f t="shared" si="28"/>
        <v>0</v>
      </c>
      <c r="AA43" s="552">
        <f t="shared" si="29"/>
        <v>0</v>
      </c>
      <c r="AB43" s="574"/>
      <c r="AC43" s="574"/>
      <c r="AD43"/>
      <c r="AE43"/>
      <c r="AF43" t="str">
        <f t="shared" si="1"/>
        <v/>
      </c>
      <c r="AG43" t="str">
        <f t="shared" si="2"/>
        <v/>
      </c>
      <c r="AH43" t="str">
        <f t="shared" si="3"/>
        <v/>
      </c>
      <c r="AI43" t="str">
        <f t="shared" si="4"/>
        <v/>
      </c>
      <c r="AJ43" t="str">
        <f t="shared" si="5"/>
        <v/>
      </c>
      <c r="AK43" t="str">
        <f t="shared" si="6"/>
        <v/>
      </c>
      <c r="AL43" t="str">
        <f t="shared" si="7"/>
        <v/>
      </c>
      <c r="AM43" t="str">
        <f t="shared" si="8"/>
        <v/>
      </c>
      <c r="AN43" t="str">
        <f t="shared" si="9"/>
        <v/>
      </c>
      <c r="AO43" t="str">
        <f t="shared" si="10"/>
        <v/>
      </c>
      <c r="AP43" t="str">
        <f t="shared" si="11"/>
        <v/>
      </c>
      <c r="AQ43" t="str">
        <f t="shared" si="12"/>
        <v/>
      </c>
      <c r="AR43" t="str">
        <f t="shared" si="13"/>
        <v/>
      </c>
      <c r="AS43" t="str">
        <f t="shared" si="14"/>
        <v/>
      </c>
      <c r="AT43" t="str">
        <f t="shared" si="15"/>
        <v/>
      </c>
      <c r="AU43" t="str">
        <f t="shared" si="16"/>
        <v/>
      </c>
      <c r="AV43" t="str">
        <f t="shared" si="17"/>
        <v/>
      </c>
      <c r="AW43" t="str">
        <f t="shared" si="18"/>
        <v/>
      </c>
      <c r="AX43" t="str">
        <f t="shared" si="19"/>
        <v/>
      </c>
      <c r="AY43"/>
      <c r="AZ43"/>
      <c r="BA43"/>
      <c r="BB43"/>
      <c r="CN43"/>
      <c r="CO43"/>
      <c r="CP43"/>
      <c r="CQ43"/>
      <c r="CR43"/>
      <c r="CS43"/>
      <c r="CT43"/>
      <c r="CU43"/>
    </row>
    <row r="44" spans="1:99" ht="45.75">
      <c r="A44" s="2257"/>
      <c r="C44" s="42">
        <f>+PP!B62</f>
        <v>39</v>
      </c>
      <c r="D44" s="229" t="str">
        <f>+PP!C62</f>
        <v>TENTACULO C/B S/V SR 100-300 g/pza</v>
      </c>
      <c r="E44" s="2013"/>
      <c r="F44" s="1802"/>
      <c r="G44" s="1802"/>
      <c r="H44" s="1802"/>
      <c r="I44" s="1802"/>
      <c r="J44" s="1802"/>
      <c r="K44" s="1802"/>
      <c r="L44" s="1802"/>
      <c r="M44" s="1802"/>
      <c r="N44" s="1802"/>
      <c r="O44" s="1802"/>
      <c r="P44" s="1802"/>
      <c r="Q44" s="1802"/>
      <c r="R44" s="1802"/>
      <c r="S44" s="1847"/>
      <c r="T44" s="1847"/>
      <c r="U44" s="1847"/>
      <c r="V44" s="1847"/>
      <c r="W44" s="1847"/>
      <c r="X44" s="1848"/>
      <c r="Y44" s="525">
        <f t="shared" si="0"/>
        <v>0</v>
      </c>
      <c r="Z44" s="551">
        <f t="shared" si="28"/>
        <v>0</v>
      </c>
      <c r="AA44" s="552">
        <f t="shared" si="29"/>
        <v>0</v>
      </c>
      <c r="AB44" s="574"/>
      <c r="AC44" s="574"/>
      <c r="AD44"/>
      <c r="AE44"/>
      <c r="AF44" t="str">
        <f t="shared" si="1"/>
        <v/>
      </c>
      <c r="AG44" t="str">
        <f t="shared" si="2"/>
        <v/>
      </c>
      <c r="AH44" t="str">
        <f t="shared" si="3"/>
        <v/>
      </c>
      <c r="AI44" t="str">
        <f t="shared" si="4"/>
        <v/>
      </c>
      <c r="AJ44" t="str">
        <f t="shared" si="5"/>
        <v/>
      </c>
      <c r="AK44" t="str">
        <f t="shared" si="6"/>
        <v/>
      </c>
      <c r="AL44" t="str">
        <f t="shared" si="7"/>
        <v/>
      </c>
      <c r="AM44" t="str">
        <f t="shared" si="8"/>
        <v/>
      </c>
      <c r="AN44" t="str">
        <f t="shared" si="9"/>
        <v/>
      </c>
      <c r="AO44" t="str">
        <f t="shared" si="10"/>
        <v/>
      </c>
      <c r="AP44" t="str">
        <f t="shared" si="11"/>
        <v/>
      </c>
      <c r="AQ44" t="str">
        <f t="shared" si="12"/>
        <v/>
      </c>
      <c r="AR44" t="str">
        <f t="shared" si="13"/>
        <v/>
      </c>
      <c r="AS44" t="str">
        <f t="shared" si="14"/>
        <v/>
      </c>
      <c r="AT44" t="str">
        <f t="shared" si="15"/>
        <v/>
      </c>
      <c r="AU44" t="str">
        <f t="shared" si="16"/>
        <v/>
      </c>
      <c r="AV44" t="str">
        <f t="shared" si="17"/>
        <v/>
      </c>
      <c r="AW44" t="str">
        <f t="shared" si="18"/>
        <v/>
      </c>
      <c r="AX44" t="str">
        <f t="shared" si="19"/>
        <v/>
      </c>
      <c r="AY44"/>
      <c r="AZ44"/>
      <c r="BA44"/>
      <c r="BB44"/>
      <c r="CN44"/>
      <c r="CO44"/>
      <c r="CP44"/>
      <c r="CQ44"/>
      <c r="CR44"/>
      <c r="CS44"/>
      <c r="CT44"/>
      <c r="CU44"/>
    </row>
    <row r="45" spans="1:99" ht="45.75">
      <c r="A45" s="2257"/>
      <c r="C45" s="42">
        <f>+PP!B63</f>
        <v>40</v>
      </c>
      <c r="D45" s="229" t="str">
        <f>+PP!C63</f>
        <v>TENTACULO C/B C/V SR 100-500 g/pza (SUCIO)</v>
      </c>
      <c r="E45" s="2013"/>
      <c r="F45" s="1802"/>
      <c r="G45" s="1802"/>
      <c r="H45" s="1802"/>
      <c r="I45" s="1802"/>
      <c r="J45" s="1802"/>
      <c r="K45" s="1802"/>
      <c r="L45" s="1802"/>
      <c r="M45" s="1802"/>
      <c r="N45" s="1802"/>
      <c r="O45" s="1802"/>
      <c r="P45" s="1802"/>
      <c r="Q45" s="1802"/>
      <c r="R45" s="1802"/>
      <c r="S45" s="1847"/>
      <c r="T45" s="1847"/>
      <c r="U45" s="1847"/>
      <c r="V45" s="1847"/>
      <c r="W45" s="1847"/>
      <c r="X45" s="1848"/>
      <c r="Y45" s="525">
        <f t="shared" si="0"/>
        <v>0</v>
      </c>
      <c r="Z45" s="551">
        <f t="shared" si="28"/>
        <v>0</v>
      </c>
      <c r="AA45" s="552">
        <f>+Y45*10</f>
        <v>0</v>
      </c>
      <c r="AB45" s="574"/>
      <c r="AC45" s="574"/>
      <c r="AD45"/>
      <c r="AE45"/>
      <c r="AF45" t="str">
        <f t="shared" si="1"/>
        <v/>
      </c>
      <c r="AG45" t="str">
        <f t="shared" si="2"/>
        <v/>
      </c>
      <c r="AH45" t="str">
        <f t="shared" si="3"/>
        <v/>
      </c>
      <c r="AI45" t="str">
        <f t="shared" si="4"/>
        <v/>
      </c>
      <c r="AJ45" t="str">
        <f t="shared" si="5"/>
        <v/>
      </c>
      <c r="AK45" t="str">
        <f t="shared" si="6"/>
        <v/>
      </c>
      <c r="AL45" t="str">
        <f t="shared" si="7"/>
        <v/>
      </c>
      <c r="AM45" t="str">
        <f t="shared" si="8"/>
        <v/>
      </c>
      <c r="AN45" t="str">
        <f t="shared" si="9"/>
        <v/>
      </c>
      <c r="AO45" t="str">
        <f t="shared" si="10"/>
        <v/>
      </c>
      <c r="AP45" t="str">
        <f t="shared" si="11"/>
        <v/>
      </c>
      <c r="AQ45" t="str">
        <f t="shared" si="12"/>
        <v/>
      </c>
      <c r="AR45" t="str">
        <f t="shared" si="13"/>
        <v/>
      </c>
      <c r="AS45" t="str">
        <f t="shared" si="14"/>
        <v/>
      </c>
      <c r="AT45" t="str">
        <f t="shared" si="15"/>
        <v/>
      </c>
      <c r="AU45" t="str">
        <f t="shared" si="16"/>
        <v/>
      </c>
      <c r="AV45" t="str">
        <f t="shared" si="17"/>
        <v/>
      </c>
      <c r="AW45" t="str">
        <f t="shared" si="18"/>
        <v/>
      </c>
      <c r="AX45" t="str">
        <f t="shared" si="19"/>
        <v/>
      </c>
      <c r="AY45"/>
      <c r="AZ45"/>
      <c r="BA45"/>
      <c r="BB45"/>
      <c r="CN45"/>
      <c r="CO45"/>
      <c r="CP45"/>
      <c r="CQ45"/>
      <c r="CR45"/>
      <c r="CS45"/>
      <c r="CT45"/>
      <c r="CU45"/>
    </row>
    <row r="46" spans="1:99" ht="45.75">
      <c r="A46" s="2257"/>
      <c r="C46" s="42">
        <f>+PP!B64</f>
        <v>41</v>
      </c>
      <c r="D46" s="229" t="str">
        <f>+PP!C64</f>
        <v>TENTACULO C/B S/V SR 100-500 g/pza</v>
      </c>
      <c r="E46" s="2013"/>
      <c r="F46" s="1802"/>
      <c r="G46" s="1802"/>
      <c r="H46" s="1802"/>
      <c r="I46" s="1802"/>
      <c r="J46" s="1802"/>
      <c r="K46" s="1802"/>
      <c r="L46" s="1802"/>
      <c r="M46" s="1802"/>
      <c r="N46" s="1802"/>
      <c r="O46" s="1802"/>
      <c r="P46" s="1802"/>
      <c r="Q46" s="1802"/>
      <c r="R46" s="1802"/>
      <c r="S46" s="1847"/>
      <c r="T46" s="1847"/>
      <c r="U46" s="1847"/>
      <c r="V46" s="1847"/>
      <c r="W46" s="1847"/>
      <c r="X46" s="1848"/>
      <c r="Y46" s="525">
        <f t="shared" si="0"/>
        <v>0</v>
      </c>
      <c r="Z46" s="551">
        <f t="shared" si="28"/>
        <v>0</v>
      </c>
      <c r="AA46" s="552">
        <f t="shared" si="29"/>
        <v>0</v>
      </c>
      <c r="AB46" s="574"/>
      <c r="AC46" s="574"/>
      <c r="AD46"/>
      <c r="AE46"/>
      <c r="AF46" t="str">
        <f t="shared" si="1"/>
        <v/>
      </c>
      <c r="AG46" t="str">
        <f t="shared" si="2"/>
        <v/>
      </c>
      <c r="AH46" t="str">
        <f t="shared" si="3"/>
        <v/>
      </c>
      <c r="AI46" t="str">
        <f t="shared" si="4"/>
        <v/>
      </c>
      <c r="AJ46" t="str">
        <f t="shared" si="5"/>
        <v/>
      </c>
      <c r="AK46" t="str">
        <f t="shared" si="6"/>
        <v/>
      </c>
      <c r="AL46" t="str">
        <f t="shared" si="7"/>
        <v/>
      </c>
      <c r="AM46" t="str">
        <f t="shared" si="8"/>
        <v/>
      </c>
      <c r="AN46" t="str">
        <f t="shared" si="9"/>
        <v/>
      </c>
      <c r="AO46" t="str">
        <f t="shared" si="10"/>
        <v/>
      </c>
      <c r="AP46" t="str">
        <f t="shared" si="11"/>
        <v/>
      </c>
      <c r="AQ46" t="str">
        <f t="shared" si="12"/>
        <v/>
      </c>
      <c r="AR46" t="str">
        <f t="shared" si="13"/>
        <v/>
      </c>
      <c r="AS46" t="str">
        <f t="shared" si="14"/>
        <v/>
      </c>
      <c r="AT46" t="str">
        <f t="shared" si="15"/>
        <v/>
      </c>
      <c r="AU46" t="str">
        <f t="shared" si="16"/>
        <v/>
      </c>
      <c r="AV46" t="str">
        <f t="shared" si="17"/>
        <v/>
      </c>
      <c r="AW46" t="str">
        <f t="shared" si="18"/>
        <v/>
      </c>
      <c r="AX46" t="str">
        <f t="shared" si="19"/>
        <v/>
      </c>
      <c r="AY46"/>
      <c r="AZ46"/>
      <c r="BA46"/>
      <c r="BB46"/>
      <c r="CN46"/>
      <c r="CO46"/>
      <c r="CP46"/>
      <c r="CQ46"/>
      <c r="CR46"/>
      <c r="CS46"/>
      <c r="CT46"/>
      <c r="CU46"/>
    </row>
    <row r="47" spans="1:99" ht="45.75">
      <c r="A47" s="2257"/>
      <c r="C47" s="42">
        <f>+PP!B65</f>
        <v>42</v>
      </c>
      <c r="D47" s="229" t="str">
        <f>+PP!C65</f>
        <v>TENTACULO C/B S/V SR 300-500 g/pza</v>
      </c>
      <c r="E47" s="2013"/>
      <c r="F47" s="1802"/>
      <c r="G47" s="1802"/>
      <c r="H47" s="1802"/>
      <c r="I47" s="1802"/>
      <c r="J47" s="1802"/>
      <c r="K47" s="1802"/>
      <c r="L47" s="1802"/>
      <c r="M47" s="1802"/>
      <c r="N47" s="1802"/>
      <c r="O47" s="1802"/>
      <c r="P47" s="1802"/>
      <c r="Q47" s="1802"/>
      <c r="R47" s="1802"/>
      <c r="S47" s="1847"/>
      <c r="T47" s="1847"/>
      <c r="U47" s="1847"/>
      <c r="V47" s="1847"/>
      <c r="W47" s="1847"/>
      <c r="X47" s="1848"/>
      <c r="Y47" s="525">
        <f t="shared" si="0"/>
        <v>0</v>
      </c>
      <c r="Z47" s="551">
        <f t="shared" si="28"/>
        <v>0</v>
      </c>
      <c r="AA47" s="552">
        <f t="shared" si="29"/>
        <v>0</v>
      </c>
      <c r="AB47" s="574"/>
      <c r="AC47" s="574"/>
      <c r="AD47"/>
      <c r="AE47"/>
      <c r="AF47" t="str">
        <f t="shared" si="1"/>
        <v/>
      </c>
      <c r="AG47" t="str">
        <f t="shared" si="2"/>
        <v/>
      </c>
      <c r="AH47" t="str">
        <f t="shared" si="3"/>
        <v/>
      </c>
      <c r="AI47" t="str">
        <f t="shared" si="4"/>
        <v/>
      </c>
      <c r="AJ47" t="str">
        <f t="shared" si="5"/>
        <v/>
      </c>
      <c r="AK47" t="str">
        <f t="shared" si="6"/>
        <v/>
      </c>
      <c r="AL47" t="str">
        <f t="shared" si="7"/>
        <v/>
      </c>
      <c r="AM47" t="str">
        <f t="shared" si="8"/>
        <v/>
      </c>
      <c r="AN47" t="str">
        <f t="shared" si="9"/>
        <v/>
      </c>
      <c r="AO47" t="str">
        <f t="shared" si="10"/>
        <v/>
      </c>
      <c r="AP47" t="str">
        <f t="shared" si="11"/>
        <v/>
      </c>
      <c r="AQ47" t="str">
        <f t="shared" si="12"/>
        <v/>
      </c>
      <c r="AR47" t="str">
        <f t="shared" si="13"/>
        <v/>
      </c>
      <c r="AS47" t="str">
        <f t="shared" si="14"/>
        <v/>
      </c>
      <c r="AT47" t="str">
        <f t="shared" si="15"/>
        <v/>
      </c>
      <c r="AU47" t="str">
        <f t="shared" si="16"/>
        <v/>
      </c>
      <c r="AV47" t="str">
        <f t="shared" si="17"/>
        <v/>
      </c>
      <c r="AW47" t="str">
        <f t="shared" si="18"/>
        <v/>
      </c>
      <c r="AX47" t="str">
        <f t="shared" si="19"/>
        <v/>
      </c>
      <c r="AY47"/>
      <c r="AZ47"/>
      <c r="BA47"/>
      <c r="BB47"/>
      <c r="CN47"/>
      <c r="CO47"/>
      <c r="CP47"/>
      <c r="CQ47"/>
      <c r="CR47"/>
      <c r="CS47"/>
      <c r="CT47"/>
      <c r="CU47"/>
    </row>
    <row r="48" spans="1:99" ht="49.5" customHeight="1">
      <c r="A48" s="2257"/>
      <c r="C48" s="42">
        <f>+PP!B66</f>
        <v>43</v>
      </c>
      <c r="D48" s="229" t="str">
        <f>+PP!C66</f>
        <v>TENTACULO C/B C/V SR 500-1000 g/pza (SUCIO)</v>
      </c>
      <c r="E48" s="2013"/>
      <c r="F48" s="1802"/>
      <c r="G48" s="1802"/>
      <c r="H48" s="1802"/>
      <c r="I48" s="1802"/>
      <c r="J48" s="1802"/>
      <c r="K48" s="1802"/>
      <c r="L48" s="1802"/>
      <c r="M48" s="1802"/>
      <c r="N48" s="1802"/>
      <c r="O48" s="1802"/>
      <c r="P48" s="1802"/>
      <c r="Q48" s="1802"/>
      <c r="R48" s="1802"/>
      <c r="S48" s="1847"/>
      <c r="T48" s="1847"/>
      <c r="U48" s="1847"/>
      <c r="V48" s="1847"/>
      <c r="W48" s="1847"/>
      <c r="X48" s="1848"/>
      <c r="Y48" s="525">
        <f t="shared" si="0"/>
        <v>0</v>
      </c>
      <c r="Z48" s="551">
        <f t="shared" si="28"/>
        <v>0</v>
      </c>
      <c r="AA48" s="552">
        <f t="shared" si="29"/>
        <v>0</v>
      </c>
      <c r="AB48" s="574"/>
      <c r="AC48" s="574"/>
      <c r="AD48"/>
      <c r="AE48"/>
      <c r="AF48" t="str">
        <f t="shared" si="1"/>
        <v/>
      </c>
      <c r="AG48" t="str">
        <f t="shared" si="2"/>
        <v/>
      </c>
      <c r="AH48" t="str">
        <f t="shared" si="3"/>
        <v/>
      </c>
      <c r="AI48" t="str">
        <f t="shared" si="4"/>
        <v/>
      </c>
      <c r="AJ48" t="str">
        <f t="shared" si="5"/>
        <v/>
      </c>
      <c r="AK48" t="str">
        <f t="shared" si="6"/>
        <v/>
      </c>
      <c r="AL48" t="str">
        <f t="shared" si="7"/>
        <v/>
      </c>
      <c r="AM48" t="str">
        <f t="shared" si="8"/>
        <v/>
      </c>
      <c r="AN48" t="str">
        <f t="shared" si="9"/>
        <v/>
      </c>
      <c r="AO48" t="str">
        <f t="shared" si="10"/>
        <v/>
      </c>
      <c r="AP48" t="str">
        <f t="shared" si="11"/>
        <v/>
      </c>
      <c r="AQ48" t="str">
        <f t="shared" si="12"/>
        <v/>
      </c>
      <c r="AR48" t="str">
        <f t="shared" si="13"/>
        <v/>
      </c>
      <c r="AS48" t="str">
        <f t="shared" si="14"/>
        <v/>
      </c>
      <c r="AT48" t="str">
        <f t="shared" si="15"/>
        <v/>
      </c>
      <c r="AU48" t="str">
        <f t="shared" si="16"/>
        <v/>
      </c>
      <c r="AV48" t="str">
        <f t="shared" si="17"/>
        <v/>
      </c>
      <c r="AW48" t="str">
        <f t="shared" si="18"/>
        <v/>
      </c>
      <c r="AX48" t="str">
        <f t="shared" si="19"/>
        <v/>
      </c>
      <c r="AY48"/>
      <c r="AZ48"/>
      <c r="BA48"/>
      <c r="BB48"/>
      <c r="CN48"/>
      <c r="CO48"/>
      <c r="CP48"/>
      <c r="CQ48"/>
      <c r="CR48"/>
      <c r="CS48"/>
      <c r="CT48"/>
      <c r="CU48"/>
    </row>
    <row r="49" spans="1:99" ht="45.75">
      <c r="A49" s="2257"/>
      <c r="C49" s="42">
        <f>+PP!B67</f>
        <v>44</v>
      </c>
      <c r="D49" s="229" t="str">
        <f>+PP!C67</f>
        <v>TENTACULO C/B S/V SR 500-1000 g/pza</v>
      </c>
      <c r="E49" s="2013"/>
      <c r="F49" s="1802"/>
      <c r="G49" s="1802"/>
      <c r="H49" s="1802"/>
      <c r="I49" s="1802"/>
      <c r="J49" s="1802"/>
      <c r="K49" s="1802"/>
      <c r="L49" s="1802"/>
      <c r="M49" s="1802"/>
      <c r="N49" s="1802"/>
      <c r="O49" s="1802"/>
      <c r="P49" s="1802"/>
      <c r="Q49" s="1802"/>
      <c r="R49" s="1802"/>
      <c r="S49" s="1847"/>
      <c r="T49" s="1847"/>
      <c r="U49" s="1847"/>
      <c r="V49" s="1847"/>
      <c r="W49" s="1847"/>
      <c r="X49" s="1848"/>
      <c r="Y49" s="525">
        <f t="shared" si="0"/>
        <v>0</v>
      </c>
      <c r="Z49" s="551">
        <f t="shared" si="28"/>
        <v>0</v>
      </c>
      <c r="AA49" s="552">
        <f t="shared" si="29"/>
        <v>0</v>
      </c>
      <c r="AB49" s="574"/>
      <c r="AC49" s="574"/>
      <c r="AD49"/>
      <c r="AE49"/>
      <c r="AF49" t="str">
        <f t="shared" si="1"/>
        <v/>
      </c>
      <c r="AG49" t="str">
        <f t="shared" si="2"/>
        <v/>
      </c>
      <c r="AH49" t="str">
        <f t="shared" si="3"/>
        <v/>
      </c>
      <c r="AI49" t="str">
        <f t="shared" si="4"/>
        <v/>
      </c>
      <c r="AJ49" t="str">
        <f t="shared" si="5"/>
        <v/>
      </c>
      <c r="AK49" t="str">
        <f t="shared" si="6"/>
        <v/>
      </c>
      <c r="AL49" t="str">
        <f t="shared" si="7"/>
        <v/>
      </c>
      <c r="AM49" t="str">
        <f t="shared" si="8"/>
        <v/>
      </c>
      <c r="AN49" t="str">
        <f t="shared" si="9"/>
        <v/>
      </c>
      <c r="AO49" t="str">
        <f t="shared" si="10"/>
        <v/>
      </c>
      <c r="AP49" t="str">
        <f t="shared" si="11"/>
        <v/>
      </c>
      <c r="AQ49" t="str">
        <f t="shared" si="12"/>
        <v/>
      </c>
      <c r="AR49" t="str">
        <f t="shared" si="13"/>
        <v/>
      </c>
      <c r="AS49" t="str">
        <f t="shared" si="14"/>
        <v/>
      </c>
      <c r="AT49" t="str">
        <f t="shared" si="15"/>
        <v/>
      </c>
      <c r="AU49" t="str">
        <f t="shared" si="16"/>
        <v/>
      </c>
      <c r="AV49" t="str">
        <f t="shared" si="17"/>
        <v/>
      </c>
      <c r="AW49" t="str">
        <f t="shared" si="18"/>
        <v/>
      </c>
      <c r="AX49" t="str">
        <f t="shared" si="19"/>
        <v/>
      </c>
      <c r="AY49"/>
      <c r="AZ49"/>
      <c r="BA49"/>
      <c r="BB49"/>
      <c r="CN49"/>
      <c r="CO49"/>
      <c r="CP49"/>
      <c r="CQ49"/>
      <c r="CR49"/>
      <c r="CS49"/>
      <c r="CT49"/>
      <c r="CU49"/>
    </row>
    <row r="50" spans="1:99" ht="45.75">
      <c r="A50" s="2257"/>
      <c r="C50" s="42">
        <f>+PP!B68</f>
        <v>45</v>
      </c>
      <c r="D50" s="229" t="str">
        <f>+PP!C68</f>
        <v>TENTACULO C/B C/V SR 1.0-2.0 Kg/pza (SUCIO)</v>
      </c>
      <c r="E50" s="2013"/>
      <c r="F50" s="1802"/>
      <c r="G50" s="1802"/>
      <c r="H50" s="1802"/>
      <c r="I50" s="1802"/>
      <c r="J50" s="1802"/>
      <c r="K50" s="1802"/>
      <c r="L50" s="1802"/>
      <c r="M50" s="1802"/>
      <c r="N50" s="1802"/>
      <c r="O50" s="1802"/>
      <c r="P50" s="1802"/>
      <c r="Q50" s="1802"/>
      <c r="R50" s="1802"/>
      <c r="S50" s="1847"/>
      <c r="T50" s="1847"/>
      <c r="U50" s="1847"/>
      <c r="V50" s="1847"/>
      <c r="W50" s="1847"/>
      <c r="X50" s="1848"/>
      <c r="Y50" s="525">
        <f t="shared" si="0"/>
        <v>0</v>
      </c>
      <c r="Z50" s="551">
        <f t="shared" si="28"/>
        <v>0</v>
      </c>
      <c r="AA50" s="552">
        <f t="shared" si="29"/>
        <v>0</v>
      </c>
      <c r="AB50" s="574"/>
      <c r="AC50" s="574"/>
      <c r="AD50"/>
      <c r="AE50"/>
      <c r="AF50" t="str">
        <f t="shared" si="1"/>
        <v/>
      </c>
      <c r="AG50" t="str">
        <f t="shared" si="2"/>
        <v/>
      </c>
      <c r="AH50" t="str">
        <f t="shared" si="3"/>
        <v/>
      </c>
      <c r="AI50" t="str">
        <f t="shared" si="4"/>
        <v/>
      </c>
      <c r="AJ50" t="str">
        <f t="shared" si="5"/>
        <v/>
      </c>
      <c r="AK50" t="str">
        <f t="shared" si="6"/>
        <v/>
      </c>
      <c r="AL50" t="str">
        <f t="shared" si="7"/>
        <v/>
      </c>
      <c r="AM50" t="str">
        <f t="shared" si="8"/>
        <v/>
      </c>
      <c r="AN50" t="str">
        <f t="shared" si="9"/>
        <v/>
      </c>
      <c r="AO50" t="str">
        <f t="shared" si="10"/>
        <v/>
      </c>
      <c r="AP50" t="str">
        <f t="shared" si="11"/>
        <v/>
      </c>
      <c r="AQ50" t="str">
        <f t="shared" si="12"/>
        <v/>
      </c>
      <c r="AR50" t="str">
        <f t="shared" si="13"/>
        <v/>
      </c>
      <c r="AS50" t="str">
        <f t="shared" si="14"/>
        <v/>
      </c>
      <c r="AT50" t="str">
        <f t="shared" si="15"/>
        <v/>
      </c>
      <c r="AU50" t="str">
        <f t="shared" si="16"/>
        <v/>
      </c>
      <c r="AV50" t="str">
        <f t="shared" si="17"/>
        <v/>
      </c>
      <c r="AW50" t="str">
        <f t="shared" si="18"/>
        <v/>
      </c>
      <c r="AX50" t="str">
        <f t="shared" si="19"/>
        <v/>
      </c>
      <c r="AY50"/>
      <c r="AZ50"/>
      <c r="BA50"/>
      <c r="BB50"/>
      <c r="CN50"/>
      <c r="CO50"/>
      <c r="CP50"/>
      <c r="CQ50"/>
      <c r="CR50"/>
      <c r="CS50"/>
      <c r="CT50"/>
      <c r="CU50"/>
    </row>
    <row r="51" spans="1:99" ht="46.5" thickBot="1">
      <c r="A51" s="2257"/>
      <c r="C51" s="537">
        <f>+PP!B69</f>
        <v>46</v>
      </c>
      <c r="D51" s="230" t="str">
        <f>+PP!C69</f>
        <v>TENTACULO C/B S/V SR 1.0-2.0 Kg/pza</v>
      </c>
      <c r="E51" s="2014"/>
      <c r="F51" s="1829"/>
      <c r="G51" s="1829"/>
      <c r="H51" s="1829"/>
      <c r="I51" s="1829"/>
      <c r="J51" s="1829"/>
      <c r="K51" s="1829"/>
      <c r="L51" s="1829"/>
      <c r="M51" s="1829"/>
      <c r="N51" s="1829"/>
      <c r="O51" s="1829"/>
      <c r="P51" s="1829"/>
      <c r="Q51" s="1829"/>
      <c r="R51" s="1829"/>
      <c r="S51" s="1850"/>
      <c r="T51" s="1850"/>
      <c r="U51" s="1850"/>
      <c r="V51" s="1850"/>
      <c r="W51" s="1850"/>
      <c r="X51" s="1851"/>
      <c r="Y51" s="1032">
        <f t="shared" si="0"/>
        <v>0</v>
      </c>
      <c r="Z51" s="555">
        <f t="shared" si="28"/>
        <v>0</v>
      </c>
      <c r="AA51" s="556">
        <f t="shared" si="29"/>
        <v>0</v>
      </c>
      <c r="AB51" s="574"/>
      <c r="AC51" s="574"/>
      <c r="AD51"/>
      <c r="AE51"/>
      <c r="AF51" t="str">
        <f t="shared" si="1"/>
        <v/>
      </c>
      <c r="AG51" t="str">
        <f t="shared" si="2"/>
        <v/>
      </c>
      <c r="AH51" t="str">
        <f t="shared" si="3"/>
        <v/>
      </c>
      <c r="AI51" t="str">
        <f t="shared" si="4"/>
        <v/>
      </c>
      <c r="AJ51" t="str">
        <f t="shared" si="5"/>
        <v/>
      </c>
      <c r="AK51" t="str">
        <f t="shared" si="6"/>
        <v/>
      </c>
      <c r="AL51" t="str">
        <f t="shared" si="7"/>
        <v/>
      </c>
      <c r="AM51" t="str">
        <f t="shared" si="8"/>
        <v/>
      </c>
      <c r="AN51" t="str">
        <f t="shared" si="9"/>
        <v/>
      </c>
      <c r="AO51" t="str">
        <f t="shared" si="10"/>
        <v/>
      </c>
      <c r="AP51" t="str">
        <f t="shared" si="11"/>
        <v/>
      </c>
      <c r="AQ51" t="str">
        <f t="shared" si="12"/>
        <v/>
      </c>
      <c r="AR51" t="str">
        <f t="shared" si="13"/>
        <v/>
      </c>
      <c r="AS51" t="str">
        <f t="shared" si="14"/>
        <v/>
      </c>
      <c r="AT51" t="str">
        <f t="shared" si="15"/>
        <v/>
      </c>
      <c r="AU51" t="str">
        <f t="shared" si="16"/>
        <v/>
      </c>
      <c r="AV51" t="str">
        <f t="shared" si="17"/>
        <v/>
      </c>
      <c r="AW51" t="str">
        <f t="shared" si="18"/>
        <v/>
      </c>
      <c r="AX51" t="str">
        <f t="shared" si="19"/>
        <v/>
      </c>
      <c r="AY51"/>
      <c r="AZ51"/>
      <c r="BA51"/>
      <c r="BB51"/>
      <c r="CN51"/>
      <c r="CO51"/>
      <c r="CP51"/>
      <c r="CQ51"/>
      <c r="CR51"/>
      <c r="CS51"/>
      <c r="CT51"/>
      <c r="CU51"/>
    </row>
    <row r="52" spans="1:99" ht="46.5" thickBot="1">
      <c r="A52" s="2257"/>
      <c r="C52" s="526">
        <f>+PP!B70</f>
        <v>47</v>
      </c>
      <c r="D52" s="538" t="str">
        <f>+PP!C70</f>
        <v>TENTACULO C/B S/V SR 2 UP Kg/pza</v>
      </c>
      <c r="E52" s="2979"/>
      <c r="F52" s="2980"/>
      <c r="G52" s="2980"/>
      <c r="H52" s="2980"/>
      <c r="I52" s="2980"/>
      <c r="J52" s="2980"/>
      <c r="K52" s="2980"/>
      <c r="L52" s="2980"/>
      <c r="M52" s="2980"/>
      <c r="N52" s="2980"/>
      <c r="O52" s="2980"/>
      <c r="P52" s="2980"/>
      <c r="Q52" s="2980"/>
      <c r="R52" s="2980"/>
      <c r="S52" s="2981"/>
      <c r="T52" s="2981"/>
      <c r="U52" s="2981"/>
      <c r="V52" s="2981"/>
      <c r="W52" s="2981"/>
      <c r="X52" s="2982"/>
      <c r="Y52" s="527">
        <f t="shared" si="0"/>
        <v>0</v>
      </c>
      <c r="Z52" s="1793">
        <f t="shared" si="28"/>
        <v>0</v>
      </c>
      <c r="AA52" s="557">
        <f t="shared" si="29"/>
        <v>0</v>
      </c>
      <c r="AB52" s="574"/>
      <c r="AC52" s="574"/>
      <c r="AD52"/>
      <c r="AE52"/>
      <c r="AF52" t="str">
        <f t="shared" si="1"/>
        <v/>
      </c>
      <c r="AG52" t="str">
        <f t="shared" si="2"/>
        <v/>
      </c>
      <c r="AH52" t="str">
        <f t="shared" si="3"/>
        <v/>
      </c>
      <c r="AI52" t="str">
        <f t="shared" si="4"/>
        <v/>
      </c>
      <c r="AJ52" t="str">
        <f t="shared" si="5"/>
        <v/>
      </c>
      <c r="AK52" t="str">
        <f t="shared" si="6"/>
        <v/>
      </c>
      <c r="AL52" t="str">
        <f t="shared" si="7"/>
        <v/>
      </c>
      <c r="AM52" t="str">
        <f t="shared" si="8"/>
        <v/>
      </c>
      <c r="AN52" t="str">
        <f t="shared" si="9"/>
        <v/>
      </c>
      <c r="AO52" t="str">
        <f t="shared" si="10"/>
        <v/>
      </c>
      <c r="AP52" t="str">
        <f t="shared" si="11"/>
        <v/>
      </c>
      <c r="AQ52" t="str">
        <f t="shared" si="12"/>
        <v/>
      </c>
      <c r="AR52" t="str">
        <f t="shared" si="13"/>
        <v/>
      </c>
      <c r="AS52" t="str">
        <f t="shared" si="14"/>
        <v/>
      </c>
      <c r="AT52" t="str">
        <f t="shared" si="15"/>
        <v/>
      </c>
      <c r="AU52" t="str">
        <f t="shared" si="16"/>
        <v/>
      </c>
      <c r="AV52" t="str">
        <f t="shared" si="17"/>
        <v/>
      </c>
      <c r="AW52" t="str">
        <f t="shared" si="18"/>
        <v/>
      </c>
      <c r="AX52" t="str">
        <f t="shared" si="19"/>
        <v/>
      </c>
      <c r="AY52"/>
      <c r="AZ52"/>
      <c r="BA52"/>
      <c r="BB52"/>
      <c r="CN52"/>
      <c r="CO52"/>
      <c r="CP52"/>
      <c r="CQ52"/>
      <c r="CR52"/>
      <c r="CS52"/>
      <c r="CT52"/>
      <c r="CU52"/>
    </row>
    <row r="53" spans="1:99" ht="46.5" thickBot="1">
      <c r="A53" s="2257"/>
      <c r="C53" s="677">
        <f>+PP!B71</f>
        <v>48</v>
      </c>
      <c r="D53" s="1021" t="str">
        <f>+PP!C71</f>
        <v>TUBO ALETA 500-1000 g/pza</v>
      </c>
      <c r="E53" s="2984"/>
      <c r="F53" s="2985"/>
      <c r="G53" s="2985"/>
      <c r="H53" s="2985"/>
      <c r="I53" s="2985"/>
      <c r="J53" s="2985"/>
      <c r="K53" s="2985"/>
      <c r="L53" s="2985"/>
      <c r="M53" s="2985"/>
      <c r="N53" s="2985"/>
      <c r="O53" s="2985"/>
      <c r="P53" s="2985"/>
      <c r="Q53" s="2985"/>
      <c r="R53" s="2986"/>
      <c r="S53" s="2986"/>
      <c r="T53" s="2986"/>
      <c r="U53" s="2986"/>
      <c r="V53" s="2986"/>
      <c r="W53" s="2986"/>
      <c r="X53" s="2987"/>
      <c r="Y53" s="1770">
        <f t="shared" si="0"/>
        <v>0</v>
      </c>
      <c r="Z53" s="1794">
        <f t="shared" si="28"/>
        <v>0</v>
      </c>
      <c r="AA53" s="554">
        <f t="shared" si="29"/>
        <v>0</v>
      </c>
      <c r="AB53" s="574"/>
      <c r="AC53" s="574"/>
      <c r="AD53"/>
      <c r="AE53"/>
      <c r="AF53" t="str">
        <f t="shared" si="1"/>
        <v/>
      </c>
      <c r="AG53" t="str">
        <f t="shared" si="2"/>
        <v/>
      </c>
      <c r="AH53" t="str">
        <f t="shared" si="3"/>
        <v/>
      </c>
      <c r="AI53" t="str">
        <f t="shared" si="4"/>
        <v/>
      </c>
      <c r="AJ53" t="str">
        <f t="shared" si="5"/>
        <v/>
      </c>
      <c r="AK53" t="str">
        <f t="shared" si="6"/>
        <v/>
      </c>
      <c r="AL53" t="str">
        <f t="shared" si="7"/>
        <v/>
      </c>
      <c r="AM53" t="str">
        <f t="shared" si="8"/>
        <v/>
      </c>
      <c r="AN53" t="str">
        <f t="shared" si="9"/>
        <v/>
      </c>
      <c r="AO53" t="str">
        <f t="shared" si="10"/>
        <v/>
      </c>
      <c r="AP53" t="str">
        <f t="shared" si="11"/>
        <v/>
      </c>
      <c r="AQ53" t="str">
        <f t="shared" si="12"/>
        <v/>
      </c>
      <c r="AR53" t="str">
        <f t="shared" si="13"/>
        <v/>
      </c>
      <c r="AS53" t="str">
        <f t="shared" si="14"/>
        <v/>
      </c>
      <c r="AT53" t="str">
        <f t="shared" si="15"/>
        <v/>
      </c>
      <c r="AU53" t="str">
        <f t="shared" si="16"/>
        <v/>
      </c>
      <c r="AV53" t="str">
        <f t="shared" si="17"/>
        <v/>
      </c>
      <c r="AW53" t="str">
        <f t="shared" si="18"/>
        <v/>
      </c>
      <c r="AX53" t="str">
        <f t="shared" si="19"/>
        <v/>
      </c>
      <c r="AY53"/>
      <c r="AZ53"/>
      <c r="BA53"/>
      <c r="BB53"/>
      <c r="CN53"/>
      <c r="CO53"/>
      <c r="CP53"/>
      <c r="CQ53"/>
      <c r="CR53"/>
      <c r="CS53"/>
      <c r="CT53"/>
      <c r="CU53"/>
    </row>
    <row r="54" spans="1:99" ht="46.5" thickBot="1">
      <c r="A54" s="2257"/>
      <c r="C54" s="564"/>
      <c r="D54" s="1791" t="s">
        <v>38</v>
      </c>
      <c r="E54" s="528">
        <f t="shared" ref="E54:AA54" si="31">SUM(E6:E53)</f>
        <v>0</v>
      </c>
      <c r="F54" s="70">
        <f t="shared" si="31"/>
        <v>0</v>
      </c>
      <c r="G54" s="70">
        <f t="shared" si="31"/>
        <v>0</v>
      </c>
      <c r="H54" s="70">
        <f t="shared" si="31"/>
        <v>0</v>
      </c>
      <c r="I54" s="70">
        <f t="shared" si="31"/>
        <v>0</v>
      </c>
      <c r="J54" s="70">
        <f t="shared" si="31"/>
        <v>0</v>
      </c>
      <c r="K54" s="70">
        <f t="shared" si="31"/>
        <v>0</v>
      </c>
      <c r="L54" s="70">
        <f t="shared" si="31"/>
        <v>0</v>
      </c>
      <c r="M54" s="70">
        <f t="shared" si="31"/>
        <v>0</v>
      </c>
      <c r="N54" s="70">
        <f t="shared" si="31"/>
        <v>0</v>
      </c>
      <c r="O54" s="70">
        <f t="shared" si="31"/>
        <v>0</v>
      </c>
      <c r="P54" s="70">
        <f t="shared" si="31"/>
        <v>0</v>
      </c>
      <c r="Q54" s="70">
        <f t="shared" si="31"/>
        <v>0</v>
      </c>
      <c r="R54" s="70">
        <f t="shared" si="31"/>
        <v>0</v>
      </c>
      <c r="S54" s="70">
        <f t="shared" si="31"/>
        <v>0</v>
      </c>
      <c r="T54" s="1833">
        <f t="shared" si="31"/>
        <v>0</v>
      </c>
      <c r="U54" s="70">
        <f t="shared" si="31"/>
        <v>0</v>
      </c>
      <c r="V54" s="70">
        <f t="shared" si="31"/>
        <v>0</v>
      </c>
      <c r="W54" s="70">
        <f t="shared" si="31"/>
        <v>0</v>
      </c>
      <c r="X54" s="70">
        <f t="shared" si="31"/>
        <v>0</v>
      </c>
      <c r="Y54" s="1795">
        <f t="shared" si="31"/>
        <v>0</v>
      </c>
      <c r="Z54" s="1695">
        <f t="shared" si="31"/>
        <v>0</v>
      </c>
      <c r="AA54" s="1205">
        <f t="shared" si="31"/>
        <v>0</v>
      </c>
      <c r="AB54" s="592"/>
      <c r="AC54" s="592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CN54"/>
      <c r="CO54"/>
      <c r="CP54"/>
      <c r="CQ54"/>
      <c r="CR54"/>
      <c r="CS54"/>
      <c r="CT54"/>
      <c r="CU54"/>
    </row>
    <row r="55" spans="1:99" ht="30.75" thickBot="1">
      <c r="A55" s="30"/>
      <c r="D55" s="30"/>
      <c r="E55" s="1804"/>
      <c r="F55" s="1804"/>
      <c r="G55" s="1804"/>
      <c r="H55" s="1804"/>
      <c r="I55" s="1804"/>
      <c r="J55" s="1804"/>
      <c r="K55" s="1804"/>
      <c r="L55" s="1804"/>
      <c r="M55" s="1804"/>
      <c r="N55" s="1804"/>
      <c r="O55" s="1804"/>
      <c r="P55" s="1804"/>
      <c r="Q55" s="1804"/>
      <c r="R55" s="1805"/>
      <c r="S55" s="1805"/>
      <c r="T55" s="1804"/>
      <c r="U55" s="1805"/>
      <c r="V55" s="1801"/>
      <c r="W55" s="1801"/>
      <c r="X55" s="1801"/>
      <c r="CN55"/>
      <c r="CO55"/>
      <c r="CP55"/>
      <c r="CQ55"/>
      <c r="CR55"/>
      <c r="CS55"/>
      <c r="CT55"/>
      <c r="CU55"/>
    </row>
    <row r="56" spans="1:99" ht="46.5" thickBot="1">
      <c r="D56" s="46" t="s">
        <v>118</v>
      </c>
      <c r="E56" s="2258" t="s">
        <v>119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60"/>
      <c r="S56" s="2260"/>
      <c r="T56" s="2260"/>
      <c r="U56" s="2260"/>
      <c r="V56" s="2260"/>
      <c r="W56" s="2260"/>
      <c r="X56" s="2261"/>
      <c r="CL56" s="33" t="s">
        <v>77</v>
      </c>
      <c r="CN56"/>
      <c r="CO56"/>
      <c r="CP56"/>
      <c r="CQ56"/>
      <c r="CR56"/>
      <c r="CS56"/>
      <c r="CT56"/>
      <c r="CU56"/>
    </row>
    <row r="57" spans="1:99" ht="30">
      <c r="F57" s="1804"/>
      <c r="G57" s="1804"/>
      <c r="H57" s="1804"/>
      <c r="I57" s="1804"/>
      <c r="J57" s="1804"/>
      <c r="K57" s="1804"/>
      <c r="L57" s="1804"/>
      <c r="M57" s="1804"/>
      <c r="R57" s="1806"/>
      <c r="S57" s="1801"/>
      <c r="U57" s="1801"/>
      <c r="V57" s="1801"/>
      <c r="W57" s="1801"/>
      <c r="X57" s="1801"/>
      <c r="CN57"/>
      <c r="CO57"/>
      <c r="CP57"/>
      <c r="CQ57"/>
      <c r="CR57"/>
      <c r="CS57"/>
      <c r="CT57"/>
      <c r="CU57"/>
    </row>
    <row r="58" spans="1:99" ht="45.75">
      <c r="F58" s="1804"/>
      <c r="G58" s="1804"/>
      <c r="H58" s="1804"/>
      <c r="I58" s="1804"/>
      <c r="J58" s="1804"/>
      <c r="K58" s="1804"/>
      <c r="L58" s="1804"/>
      <c r="M58" s="1804"/>
      <c r="R58" s="1801"/>
      <c r="S58" s="1801"/>
      <c r="U58" s="1801"/>
      <c r="V58" s="1801"/>
      <c r="W58" s="1801"/>
      <c r="X58" s="1801"/>
      <c r="AA58" s="98"/>
      <c r="AB58" s="98"/>
      <c r="AC58" s="98"/>
      <c r="CN58"/>
      <c r="CO58"/>
      <c r="CP58"/>
      <c r="CQ58"/>
      <c r="CR58"/>
      <c r="CS58"/>
      <c r="CT58"/>
      <c r="CU58"/>
    </row>
    <row r="59" spans="1:99" ht="30.75" thickBot="1">
      <c r="F59" s="1804"/>
      <c r="G59" s="1804"/>
      <c r="H59" s="1804"/>
      <c r="I59" s="1804"/>
      <c r="J59" s="1804"/>
      <c r="K59" s="1804"/>
      <c r="L59" s="1804"/>
      <c r="M59" s="1804"/>
      <c r="N59" s="1804"/>
      <c r="O59" s="1804"/>
      <c r="P59" s="1804"/>
      <c r="Q59" s="1804"/>
      <c r="R59" s="1805"/>
      <c r="S59" s="1805"/>
      <c r="T59" s="1804"/>
      <c r="U59" s="1805"/>
      <c r="V59" s="1801"/>
      <c r="W59" s="1801"/>
      <c r="X59" s="1801"/>
      <c r="CN59"/>
      <c r="CO59"/>
      <c r="CP59"/>
      <c r="CQ59"/>
      <c r="CR59"/>
      <c r="CS59"/>
      <c r="CT59"/>
      <c r="CU59"/>
    </row>
    <row r="60" spans="1:99" ht="33.950000000000003" customHeight="1" thickTop="1" thickBot="1">
      <c r="D60" s="2526" t="s">
        <v>657</v>
      </c>
      <c r="E60" s="2527"/>
      <c r="F60" s="2527"/>
      <c r="G60" s="2527"/>
      <c r="H60" s="2527"/>
      <c r="I60" s="2527"/>
      <c r="J60" s="2528"/>
      <c r="K60" s="1807"/>
      <c r="O60" s="1804"/>
      <c r="P60" s="1804"/>
      <c r="Q60" s="2580" t="s">
        <v>604</v>
      </c>
      <c r="R60" s="2581"/>
      <c r="S60" s="2581"/>
      <c r="T60" s="1804"/>
      <c r="U60" s="1805"/>
      <c r="V60" s="1801"/>
      <c r="W60" s="1801"/>
      <c r="X60" s="1801"/>
      <c r="CN60"/>
      <c r="CO60"/>
      <c r="CP60"/>
      <c r="CQ60"/>
      <c r="CR60"/>
      <c r="CS60"/>
      <c r="CT60"/>
      <c r="CU60"/>
    </row>
    <row r="61" spans="1:99" ht="30.95" customHeight="1" thickTop="1">
      <c r="D61" s="2532" t="s">
        <v>15</v>
      </c>
      <c r="E61" s="2533"/>
      <c r="F61" s="2533"/>
      <c r="G61" s="2533"/>
      <c r="H61" s="1808" t="s">
        <v>186</v>
      </c>
      <c r="I61" s="1808" t="s">
        <v>637</v>
      </c>
      <c r="J61" s="1808" t="s">
        <v>637</v>
      </c>
      <c r="K61" s="1808" t="s">
        <v>637</v>
      </c>
      <c r="L61" s="1808" t="s">
        <v>637</v>
      </c>
      <c r="M61" s="1467" t="s">
        <v>502</v>
      </c>
      <c r="O61" s="1809"/>
      <c r="P61" s="1804"/>
      <c r="Q61" s="2573" t="s">
        <v>658</v>
      </c>
      <c r="R61" s="2574"/>
      <c r="S61" s="1820">
        <f>+AA54</f>
        <v>0</v>
      </c>
      <c r="T61" s="1804"/>
      <c r="U61" s="1805"/>
      <c r="V61" s="1801"/>
      <c r="W61" s="1801"/>
      <c r="X61" s="1801"/>
    </row>
    <row r="62" spans="1:99" ht="30.95" customHeight="1">
      <c r="D62" s="2521">
        <v>1</v>
      </c>
      <c r="E62" s="2522"/>
      <c r="F62" s="2522"/>
      <c r="G62" s="2522"/>
      <c r="H62" s="1810" t="str">
        <f>+'T1'!E62</f>
        <v xml:space="preserve">ANDRES </v>
      </c>
      <c r="I62" s="1811"/>
      <c r="J62" s="1812"/>
      <c r="K62" s="1811"/>
      <c r="L62" s="1811"/>
      <c r="M62" s="1813">
        <f>SUM(I62+J62+K62+L62)</f>
        <v>0</v>
      </c>
      <c r="O62" s="1814"/>
      <c r="P62" s="1804"/>
      <c r="Q62" s="2575" t="s">
        <v>8</v>
      </c>
      <c r="R62" s="2574"/>
      <c r="S62" s="1820">
        <f>M73</f>
        <v>0</v>
      </c>
      <c r="T62" s="1804"/>
      <c r="U62" s="1805"/>
      <c r="V62" s="1801"/>
      <c r="W62" s="1801"/>
      <c r="X62" s="1801"/>
    </row>
    <row r="63" spans="1:99" ht="30.95" customHeight="1">
      <c r="D63" s="2521">
        <v>2</v>
      </c>
      <c r="E63" s="2522"/>
      <c r="F63" s="2522"/>
      <c r="G63" s="2522"/>
      <c r="H63" s="1810" t="str">
        <f>+'T1'!E63</f>
        <v xml:space="preserve">FLOR </v>
      </c>
      <c r="I63" s="1815"/>
      <c r="J63" s="1815"/>
      <c r="K63" s="1815"/>
      <c r="L63" s="1815"/>
      <c r="M63" s="1813">
        <f t="shared" ref="M63:M72" si="32">SUM(I63+J63+K63+L63)</f>
        <v>0</v>
      </c>
      <c r="O63" s="1814"/>
      <c r="P63" s="1804"/>
      <c r="Q63" s="2571" t="s">
        <v>659</v>
      </c>
      <c r="R63" s="2576"/>
      <c r="S63" s="1816">
        <f>S61-S62</f>
        <v>0</v>
      </c>
      <c r="T63" s="1804"/>
      <c r="U63" s="1804"/>
    </row>
    <row r="64" spans="1:99" ht="30.95" customHeight="1">
      <c r="D64" s="2521">
        <v>3</v>
      </c>
      <c r="E64" s="2522"/>
      <c r="F64" s="2522"/>
      <c r="G64" s="2522"/>
      <c r="H64" s="1810" t="str">
        <f>+'T1'!E64</f>
        <v>HANNOY</v>
      </c>
      <c r="I64" s="1812"/>
      <c r="J64" s="1812"/>
      <c r="K64" s="1811"/>
      <c r="L64" s="1811"/>
      <c r="M64" s="1813">
        <f t="shared" si="32"/>
        <v>0</v>
      </c>
      <c r="O64" s="1814"/>
      <c r="P64" s="1804"/>
      <c r="Q64" s="2571" t="s">
        <v>449</v>
      </c>
      <c r="R64" s="2571"/>
      <c r="S64" s="1817" t="str">
        <f>IF(S63&lt;0,"SOBRA",IF(S63&gt;0,"FALTA","OK"))</f>
        <v>OK</v>
      </c>
      <c r="T64" s="1804"/>
      <c r="U64" s="1804"/>
    </row>
    <row r="65" spans="4:19" ht="30.95" customHeight="1">
      <c r="D65" s="2521">
        <v>4</v>
      </c>
      <c r="E65" s="2522"/>
      <c r="F65" s="2522"/>
      <c r="G65" s="2522"/>
      <c r="H65" s="1810" t="str">
        <f>+'T1'!E65</f>
        <v>CHERLITA</v>
      </c>
      <c r="I65" s="1812"/>
      <c r="J65" s="1811"/>
      <c r="K65" s="1811"/>
      <c r="L65" s="1811"/>
      <c r="M65" s="1813">
        <f t="shared" si="32"/>
        <v>0</v>
      </c>
      <c r="O65" s="1814"/>
      <c r="Q65" s="1807"/>
      <c r="R65" s="1807"/>
      <c r="S65" s="1807"/>
    </row>
    <row r="66" spans="4:19" ht="33.950000000000003" customHeight="1">
      <c r="D66" s="2521">
        <v>5</v>
      </c>
      <c r="E66" s="2522"/>
      <c r="F66" s="2522"/>
      <c r="G66" s="2522"/>
      <c r="H66" s="1810" t="str">
        <f>+'T1'!E66</f>
        <v>CHARLY</v>
      </c>
      <c r="I66" s="1812"/>
      <c r="J66" s="1812"/>
      <c r="K66" s="1811"/>
      <c r="L66" s="1811"/>
      <c r="M66" s="1813">
        <f t="shared" si="32"/>
        <v>0</v>
      </c>
      <c r="O66" s="1814"/>
      <c r="Q66" s="2572" t="s">
        <v>660</v>
      </c>
      <c r="R66" s="2570"/>
      <c r="S66" s="2570"/>
    </row>
    <row r="67" spans="4:19" ht="33.950000000000003" customHeight="1">
      <c r="D67" s="2521">
        <v>6</v>
      </c>
      <c r="E67" s="2522"/>
      <c r="F67" s="2522"/>
      <c r="G67" s="2522"/>
      <c r="H67" s="1810" t="str">
        <f>+'T1'!E67</f>
        <v>POLANCO</v>
      </c>
      <c r="I67" s="1811"/>
      <c r="J67" s="1811"/>
      <c r="K67" s="1811"/>
      <c r="L67" s="1811"/>
      <c r="M67" s="1813">
        <f t="shared" si="32"/>
        <v>0</v>
      </c>
      <c r="O67" s="1814"/>
      <c r="Q67" s="2570" t="s">
        <v>662</v>
      </c>
      <c r="R67" s="2570"/>
      <c r="S67" s="2570"/>
    </row>
    <row r="68" spans="4:19" ht="33.950000000000003" customHeight="1">
      <c r="D68" s="2521">
        <v>7</v>
      </c>
      <c r="E68" s="2522"/>
      <c r="F68" s="2522"/>
      <c r="G68" s="2522"/>
      <c r="H68" s="1810" t="str">
        <f>+'T1'!E68</f>
        <v>ELIANA</v>
      </c>
      <c r="I68" s="1811"/>
      <c r="J68" s="1811"/>
      <c r="K68" s="1811"/>
      <c r="L68" s="1811"/>
      <c r="M68" s="1813">
        <f t="shared" si="32"/>
        <v>0</v>
      </c>
      <c r="O68" s="1814"/>
    </row>
    <row r="69" spans="4:19" ht="33.950000000000003" customHeight="1">
      <c r="D69" s="2521">
        <v>8</v>
      </c>
      <c r="E69" s="2522"/>
      <c r="F69" s="2522"/>
      <c r="G69" s="2522"/>
      <c r="H69" s="1810" t="str">
        <f>+'T1'!E69</f>
        <v>ALENET</v>
      </c>
      <c r="I69" s="1811"/>
      <c r="J69" s="1811"/>
      <c r="K69" s="1811"/>
      <c r="L69" s="1811"/>
      <c r="M69" s="1813">
        <f t="shared" si="32"/>
        <v>0</v>
      </c>
      <c r="O69" s="1814"/>
    </row>
    <row r="70" spans="4:19" ht="33.950000000000003" customHeight="1">
      <c r="D70" s="2521">
        <v>9</v>
      </c>
      <c r="E70" s="2522"/>
      <c r="F70" s="2522"/>
      <c r="G70" s="2522"/>
      <c r="H70" s="1810" t="str">
        <f>+'T1'!E70</f>
        <v>ERIKA</v>
      </c>
      <c r="I70" s="1811"/>
      <c r="J70" s="1811"/>
      <c r="K70" s="1811"/>
      <c r="L70" s="1811"/>
      <c r="M70" s="1813">
        <f t="shared" si="32"/>
        <v>0</v>
      </c>
      <c r="O70" s="1814"/>
    </row>
    <row r="71" spans="4:19" ht="30.95" customHeight="1">
      <c r="D71" s="2521">
        <v>10</v>
      </c>
      <c r="E71" s="2522"/>
      <c r="F71" s="2522"/>
      <c r="G71" s="2522"/>
      <c r="H71" s="1810" t="str">
        <f>+'T1'!E71</f>
        <v>MARILU</v>
      </c>
      <c r="I71" s="1812"/>
      <c r="J71" s="1811"/>
      <c r="K71" s="1811"/>
      <c r="L71" s="1811"/>
      <c r="M71" s="1813">
        <f t="shared" si="32"/>
        <v>0</v>
      </c>
      <c r="O71" s="1814"/>
    </row>
    <row r="72" spans="4:19" ht="30.95" customHeight="1">
      <c r="D72" s="2521">
        <v>11</v>
      </c>
      <c r="E72" s="2522"/>
      <c r="F72" s="2522"/>
      <c r="G72" s="2522"/>
      <c r="H72" s="1810" t="str">
        <f>+'T1'!E72</f>
        <v>WALLDO</v>
      </c>
      <c r="I72" s="1811"/>
      <c r="J72" s="1811"/>
      <c r="K72" s="1811"/>
      <c r="L72" s="1811"/>
      <c r="M72" s="1813">
        <f t="shared" si="32"/>
        <v>0</v>
      </c>
      <c r="O72" s="1814"/>
    </row>
    <row r="73" spans="4:19" ht="30.95" customHeight="1" thickBot="1">
      <c r="D73" s="2523" t="s">
        <v>3</v>
      </c>
      <c r="E73" s="2524"/>
      <c r="F73" s="2524"/>
      <c r="G73" s="2524"/>
      <c r="H73" s="2524"/>
      <c r="I73" s="1818">
        <f>SUM(I62:I72)</f>
        <v>0</v>
      </c>
      <c r="J73" s="1818">
        <f>SUM(J62:J72)</f>
        <v>0</v>
      </c>
      <c r="K73" s="1818">
        <f>SUM(K62:K72)</f>
        <v>0</v>
      </c>
      <c r="L73" s="1818">
        <f>SUM(L62:L72)</f>
        <v>0</v>
      </c>
      <c r="M73" s="1819">
        <f>SUM(M62:M72)</f>
        <v>0</v>
      </c>
      <c r="O73" s="1820"/>
    </row>
    <row r="74" spans="4:19">
      <c r="D74"/>
      <c r="E74" s="1062"/>
      <c r="F74" s="1062"/>
      <c r="G74" s="1062"/>
      <c r="H74" s="1062"/>
      <c r="I74" s="1062"/>
      <c r="J74" s="1062"/>
      <c r="K74" s="1062"/>
      <c r="L74" s="1062"/>
      <c r="M74" s="1062"/>
      <c r="O74" s="1062"/>
    </row>
    <row r="75" spans="4:19">
      <c r="D75"/>
      <c r="E75" s="1062"/>
      <c r="F75" s="1062"/>
      <c r="G75" s="1062"/>
      <c r="H75" s="1062"/>
      <c r="I75" s="1062"/>
      <c r="J75" s="1062"/>
      <c r="K75" s="1062"/>
      <c r="L75" s="1062"/>
      <c r="M75" s="1062"/>
      <c r="N75" s="1062"/>
    </row>
    <row r="76" spans="4:19">
      <c r="D76"/>
      <c r="E76" s="1062"/>
      <c r="F76" s="1062"/>
      <c r="G76" s="1062"/>
      <c r="H76" s="1062"/>
      <c r="I76" s="1062"/>
      <c r="J76" s="1062"/>
      <c r="K76" s="1062"/>
      <c r="L76" s="1062"/>
      <c r="M76" s="1062"/>
      <c r="N76" s="1062"/>
    </row>
    <row r="77" spans="4:19">
      <c r="D77"/>
      <c r="E77" s="1062"/>
      <c r="F77" s="1062"/>
      <c r="G77" s="1062"/>
      <c r="H77" s="1062"/>
      <c r="I77" s="1062"/>
      <c r="J77" s="1062"/>
      <c r="K77" s="1062"/>
      <c r="L77" s="1062"/>
      <c r="M77" s="1062"/>
      <c r="N77" s="1062"/>
    </row>
  </sheetData>
  <sheetProtection autoFilter="0"/>
  <autoFilter ref="D5:D54" xr:uid="{C6091DE8-58DF-4F35-9508-483160517D1E}"/>
  <mergeCells count="29">
    <mergeCell ref="D72:G72"/>
    <mergeCell ref="D73:H73"/>
    <mergeCell ref="D67:G67"/>
    <mergeCell ref="Q67:S67"/>
    <mergeCell ref="D68:G68"/>
    <mergeCell ref="D69:G69"/>
    <mergeCell ref="D70:G70"/>
    <mergeCell ref="D71:G71"/>
    <mergeCell ref="D63:G63"/>
    <mergeCell ref="Q63:R63"/>
    <mergeCell ref="D64:G64"/>
    <mergeCell ref="Q64:R64"/>
    <mergeCell ref="D65:G65"/>
    <mergeCell ref="D66:G66"/>
    <mergeCell ref="Q66:S66"/>
    <mergeCell ref="E56:X56"/>
    <mergeCell ref="D60:J60"/>
    <mergeCell ref="Q60:S60"/>
    <mergeCell ref="D61:G61"/>
    <mergeCell ref="Q61:R61"/>
    <mergeCell ref="D62:G62"/>
    <mergeCell ref="Q62:R62"/>
    <mergeCell ref="C2:D2"/>
    <mergeCell ref="E2:N2"/>
    <mergeCell ref="E4:X4"/>
    <mergeCell ref="AD4:BC4"/>
    <mergeCell ref="BF4:BI4"/>
    <mergeCell ref="A5:A54"/>
    <mergeCell ref="BF28:BG28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7E0BF-0541-4BEF-8C95-96312D64E895}">
  <sheetPr codeName="Hoja10">
    <pageSetUpPr fitToPage="1"/>
  </sheetPr>
  <dimension ref="A1:CO77"/>
  <sheetViews>
    <sheetView topLeftCell="E1" zoomScale="40" zoomScaleNormal="40" workbookViewId="0">
      <pane ySplit="5" topLeftCell="A6" activePane="bottomLeft" state="frozen"/>
      <selection activeCell="C32" sqref="C32"/>
      <selection pane="bottomLeft" activeCell="N9" sqref="N9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98.140625" style="26" customWidth="1"/>
    <col min="5" max="27" width="15.140625" style="26" customWidth="1"/>
    <col min="28" max="31" width="30.85546875" style="26" customWidth="1"/>
    <col min="32" max="32" width="6.42578125" style="26" bestFit="1" customWidth="1"/>
    <col min="33" max="33" width="92" style="26" customWidth="1"/>
    <col min="34" max="55" width="11.42578125" style="26" customWidth="1"/>
    <col min="56" max="58" width="21.7109375" style="26" customWidth="1"/>
    <col min="59" max="59" width="25" style="26" customWidth="1"/>
    <col min="60" max="60" width="21.7109375" style="26" customWidth="1"/>
    <col min="61" max="62" width="13.85546875" style="26" customWidth="1"/>
    <col min="63" max="63" width="6.42578125" style="26" customWidth="1"/>
    <col min="64" max="64" width="93.5703125" style="26" customWidth="1"/>
    <col min="65" max="65" width="16.85546875" style="26" customWidth="1"/>
    <col min="66" max="66" width="18.28515625" style="26" customWidth="1"/>
    <col min="67" max="89" width="13.85546875" style="26" customWidth="1"/>
    <col min="90" max="90" width="12.140625" style="26" bestFit="1" customWidth="1"/>
    <col min="91" max="93" width="28.28515625" style="26" customWidth="1"/>
    <col min="94" max="16384" width="11.42578125" style="26"/>
  </cols>
  <sheetData>
    <row r="1" spans="1:66" ht="45.75" hidden="1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43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</row>
    <row r="2" spans="1:66" ht="46.5" hidden="1" thickBot="1">
      <c r="B2" s="38"/>
      <c r="C2" s="2266" t="s">
        <v>41</v>
      </c>
      <c r="D2" s="2267"/>
      <c r="E2" s="2268" t="s">
        <v>684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69"/>
      <c r="Q2" s="2269"/>
      <c r="R2" s="2599"/>
      <c r="S2" s="1721"/>
      <c r="T2" s="1721"/>
      <c r="U2" s="1721"/>
      <c r="V2" s="1721"/>
      <c r="W2" s="1721"/>
      <c r="X2" s="1716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</row>
    <row r="3" spans="1:66" ht="17.25" thickBot="1">
      <c r="C3" s="28"/>
      <c r="R3" s="452"/>
      <c r="S3" s="452"/>
      <c r="T3" s="452"/>
      <c r="U3" s="452"/>
      <c r="V3" s="452"/>
      <c r="W3" s="452"/>
      <c r="X3" s="452"/>
      <c r="BI3" s="28"/>
      <c r="BJ3" s="28"/>
      <c r="BK3" s="28"/>
    </row>
    <row r="4" spans="1:66" ht="38.25" customHeight="1" thickBot="1">
      <c r="C4" s="28"/>
      <c r="E4" s="2551" t="s">
        <v>376</v>
      </c>
      <c r="F4" s="2551"/>
      <c r="G4" s="2551"/>
      <c r="H4" s="2551"/>
      <c r="I4" s="2551"/>
      <c r="J4" s="2551"/>
      <c r="K4" s="2551"/>
      <c r="L4" s="2551"/>
      <c r="M4" s="2551"/>
      <c r="N4" s="2551"/>
      <c r="O4" s="2551"/>
      <c r="P4" s="2551"/>
      <c r="Q4" s="2551"/>
      <c r="R4" s="2551"/>
      <c r="S4" s="2551"/>
      <c r="T4" s="2551"/>
      <c r="U4" s="2551"/>
      <c r="V4" s="2551"/>
      <c r="W4" s="2551"/>
      <c r="X4" s="2551"/>
      <c r="Y4" s="2551"/>
      <c r="Z4" s="2551"/>
      <c r="AA4" s="2551"/>
      <c r="AF4" s="2600" t="s">
        <v>507</v>
      </c>
      <c r="AG4" s="2601"/>
      <c r="AH4" s="2601"/>
      <c r="AI4" s="2601"/>
      <c r="AJ4" s="2601"/>
      <c r="AK4" s="2601"/>
      <c r="AL4" s="2601"/>
      <c r="AM4" s="2601"/>
      <c r="AN4" s="2601"/>
      <c r="AO4" s="2601"/>
      <c r="AP4" s="2601"/>
      <c r="AQ4" s="2601"/>
      <c r="AR4" s="2601"/>
      <c r="AS4" s="2601"/>
      <c r="AT4" s="2601"/>
      <c r="AU4" s="2601"/>
      <c r="AV4" s="2601"/>
      <c r="AW4" s="2601"/>
      <c r="AX4" s="2601"/>
      <c r="AY4" s="2601"/>
      <c r="AZ4" s="2601"/>
      <c r="BA4" s="2601"/>
      <c r="BB4" s="2601"/>
      <c r="BC4" s="2601"/>
      <c r="BD4" s="2601"/>
      <c r="BE4" s="2601"/>
      <c r="BF4" s="2601"/>
      <c r="BG4" s="2601"/>
      <c r="BH4" s="2602"/>
      <c r="BI4" s="28"/>
      <c r="BJ4" s="28"/>
      <c r="BK4" s="2513" t="s">
        <v>511</v>
      </c>
      <c r="BL4" s="2514"/>
      <c r="BM4" s="2514"/>
      <c r="BN4" s="2515"/>
    </row>
    <row r="5" spans="1:66" ht="90.75" thickBot="1">
      <c r="A5" s="2257"/>
      <c r="C5" s="543" t="s">
        <v>15</v>
      </c>
      <c r="D5" s="544" t="s">
        <v>6</v>
      </c>
      <c r="E5" s="35" t="s">
        <v>316</v>
      </c>
      <c r="F5" s="36" t="s">
        <v>317</v>
      </c>
      <c r="G5" s="36" t="s">
        <v>318</v>
      </c>
      <c r="H5" s="36" t="s">
        <v>319</v>
      </c>
      <c r="I5" s="36" t="s">
        <v>320</v>
      </c>
      <c r="J5" s="36" t="s">
        <v>321</v>
      </c>
      <c r="K5" s="36" t="s">
        <v>322</v>
      </c>
      <c r="L5" s="36" t="s">
        <v>323</v>
      </c>
      <c r="M5" s="36" t="s">
        <v>324</v>
      </c>
      <c r="N5" s="36" t="s">
        <v>325</v>
      </c>
      <c r="O5" s="36" t="s">
        <v>326</v>
      </c>
      <c r="P5" s="2104" t="s">
        <v>327</v>
      </c>
      <c r="Q5" s="2105" t="s">
        <v>328</v>
      </c>
      <c r="R5" s="2105" t="s">
        <v>329</v>
      </c>
      <c r="S5" s="2105" t="s">
        <v>330</v>
      </c>
      <c r="T5" s="2105" t="s">
        <v>331</v>
      </c>
      <c r="U5" s="2105" t="s">
        <v>332</v>
      </c>
      <c r="V5" s="2105" t="s">
        <v>333</v>
      </c>
      <c r="W5" s="2105" t="s">
        <v>334</v>
      </c>
      <c r="X5" s="2105" t="s">
        <v>343</v>
      </c>
      <c r="Y5" s="2106" t="s">
        <v>344</v>
      </c>
      <c r="Z5" s="2104" t="s">
        <v>345</v>
      </c>
      <c r="AA5" s="2107"/>
      <c r="AB5" s="60" t="s">
        <v>108</v>
      </c>
      <c r="AC5" s="49" t="s">
        <v>107</v>
      </c>
      <c r="AD5" s="47" t="s">
        <v>3</v>
      </c>
      <c r="AE5" s="567"/>
      <c r="AF5" s="441" t="s">
        <v>15</v>
      </c>
      <c r="AG5" s="441" t="s">
        <v>6</v>
      </c>
      <c r="AH5" s="441" t="s">
        <v>316</v>
      </c>
      <c r="AI5" s="441" t="s">
        <v>317</v>
      </c>
      <c r="AJ5" s="441" t="s">
        <v>318</v>
      </c>
      <c r="AK5" s="441" t="s">
        <v>319</v>
      </c>
      <c r="AL5" s="441" t="s">
        <v>320</v>
      </c>
      <c r="AM5" s="441" t="s">
        <v>321</v>
      </c>
      <c r="AN5" s="441" t="s">
        <v>322</v>
      </c>
      <c r="AO5" s="441" t="s">
        <v>323</v>
      </c>
      <c r="AP5" s="441" t="s">
        <v>324</v>
      </c>
      <c r="AQ5" s="441" t="s">
        <v>325</v>
      </c>
      <c r="AR5" s="441" t="s">
        <v>326</v>
      </c>
      <c r="AS5" s="441" t="s">
        <v>327</v>
      </c>
      <c r="AT5" s="441" t="s">
        <v>328</v>
      </c>
      <c r="AU5" s="441" t="s">
        <v>329</v>
      </c>
      <c r="AV5" s="441" t="s">
        <v>330</v>
      </c>
      <c r="AW5" s="441" t="s">
        <v>331</v>
      </c>
      <c r="AX5" s="441" t="s">
        <v>332</v>
      </c>
      <c r="AY5" s="441" t="s">
        <v>333</v>
      </c>
      <c r="AZ5" s="441" t="s">
        <v>334</v>
      </c>
      <c r="BA5" s="441" t="s">
        <v>343</v>
      </c>
      <c r="BB5" s="441" t="s">
        <v>344</v>
      </c>
      <c r="BC5" s="441" t="s">
        <v>345</v>
      </c>
      <c r="BD5" s="669" t="s">
        <v>108</v>
      </c>
      <c r="BE5" s="669" t="s">
        <v>107</v>
      </c>
      <c r="BF5" s="669" t="s">
        <v>509</v>
      </c>
      <c r="BG5" s="669" t="s">
        <v>505</v>
      </c>
      <c r="BH5" s="669" t="s">
        <v>512</v>
      </c>
      <c r="BK5" s="441" t="s">
        <v>15</v>
      </c>
      <c r="BL5" s="441" t="s">
        <v>6</v>
      </c>
      <c r="BM5" s="441" t="s">
        <v>8</v>
      </c>
      <c r="BN5" s="441" t="s">
        <v>513</v>
      </c>
    </row>
    <row r="6" spans="1:66" ht="45.75">
      <c r="A6" s="2257"/>
      <c r="C6" s="41">
        <f>+PP!B24</f>
        <v>1</v>
      </c>
      <c r="D6" s="162" t="str">
        <f>+PP!C24</f>
        <v>ANILLAS BLANCAS SM ST</v>
      </c>
      <c r="E6" s="2967"/>
      <c r="F6" s="2968"/>
      <c r="G6" s="2968"/>
      <c r="H6" s="2968"/>
      <c r="I6" s="2968"/>
      <c r="J6" s="2968"/>
      <c r="K6" s="2968"/>
      <c r="L6" s="2968"/>
      <c r="M6" s="2968"/>
      <c r="N6" s="2968"/>
      <c r="O6" s="2968"/>
      <c r="P6" s="2968"/>
      <c r="Q6" s="2968"/>
      <c r="R6" s="2969"/>
      <c r="S6" s="2969"/>
      <c r="T6" s="2970"/>
      <c r="U6" s="2969"/>
      <c r="V6" s="2969"/>
      <c r="W6" s="2969"/>
      <c r="X6" s="1007"/>
      <c r="Y6" s="1007"/>
      <c r="Z6" s="1007"/>
      <c r="AA6" s="2989"/>
      <c r="AB6" s="1391">
        <f>SUM(E6:AA6)</f>
        <v>0</v>
      </c>
      <c r="AC6" s="148">
        <f t="shared" ref="AC6:AC53" si="0">AB6/2</f>
        <v>0</v>
      </c>
      <c r="AD6" s="490">
        <f t="shared" ref="AD6:AD53" si="1">+AB6*10</f>
        <v>0</v>
      </c>
      <c r="AE6" s="574"/>
      <c r="AF6" s="1373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</f>
        <v/>
      </c>
      <c r="AG6" s="1374" t="str">
        <f>IF($AF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)</f>
        <v/>
      </c>
      <c r="AH6" s="2009" t="str">
        <f t="shared" ref="AH6:AH53" si="2">IF($AF6="","",IFERROR(IF(INDEX($E$6:$E$53,MATCH($AF6,$C$6:$C$53,0))&gt;0,INDEX($E$6:$E$53,MATCH($AF6,$C$6:$C$53,0)),""),""))</f>
        <v/>
      </c>
      <c r="AI6" s="2009" t="str">
        <f t="shared" ref="AI6:AI53" si="3">IF($AF6="","",IFERROR(IF(INDEX($F$6:$F$53,MATCH($AF6,$C$6:$C$53,0))&gt;0,INDEX($F$6:$F$53,MATCH($AF6,$C$6:$C$53,0)),""),""))</f>
        <v/>
      </c>
      <c r="AJ6" s="2009" t="str">
        <f t="shared" ref="AJ6:AJ53" si="4">IF($AF6="","",IFERROR(IF(INDEX($G$6:$G$53,MATCH($AF6,$C$6:$C$53,0))&gt;0,INDEX($G$6:$G$53,MATCH($AF6,$C$6:$C$53,0)),""),""))</f>
        <v/>
      </c>
      <c r="AK6" s="2009" t="str">
        <f t="shared" ref="AK6:AK53" si="5">IF($AF6="","",IFERROR(IF(INDEX($H$6:$H$53,MATCH($AF6,$C$6:$C$53,0))&gt;0,INDEX($H$6:$H$53,MATCH($AF6,$C$6:$C$53,0)),""),""))</f>
        <v/>
      </c>
      <c r="AL6" s="2009" t="str">
        <f t="shared" ref="AL6:AL53" si="6">IF($AF6="","",IFERROR(IF(INDEX($I$6:$I$53,MATCH($AF6,$C$6:$C$53,0))&gt;0,INDEX($I$6:$I$53,MATCH($AF6,$C$6:$C$53,0)),""),""))</f>
        <v/>
      </c>
      <c r="AM6" s="2009" t="str">
        <f t="shared" ref="AM6:AM53" si="7">IF($AF6="","",IFERROR(IF(INDEX($J$6:$J$53,MATCH($AF6,$C$6:$C$53,0))&gt;0,INDEX($J$6:$J$53,MATCH($AF6,$C$6:$C$53,0)),""),""))</f>
        <v/>
      </c>
      <c r="AN6" s="2009" t="str">
        <f t="shared" ref="AN6:AN53" si="8">IF($AF6="","",IFERROR(IF(INDEX($K$6:$K$53,MATCH($AF6,$C$6:$C$53,0))&gt;0,INDEX($K$6:$K$53,MATCH($AF6,$C$6:$C$53,0)),""),""))</f>
        <v/>
      </c>
      <c r="AO6" s="2009" t="str">
        <f t="shared" ref="AO6:AO53" si="9">IF($AF6="","",IFERROR(IF(INDEX($L$6:$L$53,MATCH($AF6,$C$6:$C$53,0))&gt;0,INDEX($L$6:$L$53,MATCH($AF6,$C$6:$C$53,0)),""),""))</f>
        <v/>
      </c>
      <c r="AP6" s="2009" t="str">
        <f t="shared" ref="AP6:AP53" si="10">IF($AF6="","",IFERROR(IF(INDEX($M$6:$M$53,MATCH($AF6,$C$6:$C$53,0))&gt;0,INDEX($M$6:$M$53,MATCH($AF6,$C$6:$C$53,0)),""),""))</f>
        <v/>
      </c>
      <c r="AQ6" s="2009" t="str">
        <f t="shared" ref="AQ6:AQ53" si="11">IF($AF6="","",IFERROR(IF(INDEX($N$6:$N$53,MATCH($AF6,$C$6:$C$53,0))&gt;0,INDEX($N$6:$N$53,MATCH($AF6,$C$6:$C$53,0)),""),""))</f>
        <v/>
      </c>
      <c r="AR6" s="2009" t="str">
        <f t="shared" ref="AR6:AR53" si="12">IF($AF6="","",IFERROR(IF(INDEX($O$6:$O$53,MATCH($AF6,$C$6:$C$53,0))&gt;0,INDEX($O$6:$O$53,MATCH($AF6,$C$6:$C$53,0)),""),""))</f>
        <v/>
      </c>
      <c r="AS6" s="2009" t="str">
        <f t="shared" ref="AS6:AS53" si="13">IF($AF6="","",IFERROR(IF(INDEX($P$6:$P$53,MATCH($AF6,$C$6:$C$53,0))&gt;0,INDEX($P$6:$P$53,MATCH($AF6,$C$6:$C$53,0)),""),""))</f>
        <v/>
      </c>
      <c r="AT6" s="2009" t="str">
        <f t="shared" ref="AT6:AT53" si="14">IF($AF6="","",IFERROR(IF(INDEX($Q$6:$Q$53,MATCH($AF6,$C$6:$C$53,0))&gt;0,INDEX($Q$6:$Q$53,MATCH($AF6,$C$6:$C$53,0)),""),""))</f>
        <v/>
      </c>
      <c r="AU6" s="2009" t="str">
        <f t="shared" ref="AU6:AU53" si="15">IF($AF6="","",IFERROR(IF(INDEX($R$6:$R$53,MATCH($AF6,$C$6:$C$53,0))&gt;0,INDEX($R$6:$R$53,MATCH($AF6,$C$6:$C$53,0)),""),""))</f>
        <v/>
      </c>
      <c r="AV6" s="2009" t="str">
        <f t="shared" ref="AV6:AV53" si="16">IF($AF6="","",IFERROR(IF(INDEX($S$6:$S$53,MATCH($AF6,$C$6:$C$53,0))&gt;0,INDEX($S$6:$S$53,MATCH($AF6,$C$6:$C$53,0)),""),""))</f>
        <v/>
      </c>
      <c r="AW6" s="2009" t="str">
        <f t="shared" ref="AW6:AW53" si="17">IF($AF6="","",IFERROR(IF(INDEX($T$6:$T$53,MATCH($AF6,$C$6:$C$53,0))&gt;0,INDEX($T$6:$T$53,MATCH($AF6,$C$6:$C$53,0)),""),""))</f>
        <v/>
      </c>
      <c r="AX6" s="2009" t="str">
        <f t="shared" ref="AX6:AX53" si="18">IF($AF6="","",IFERROR(IF(INDEX($U$6:$U$53,MATCH($AF6,$C$6:$C$53,0))&gt;0,INDEX($U$6:$U$53,MATCH($AF6,$C$6:$C$53,0)),""),""))</f>
        <v/>
      </c>
      <c r="AY6" s="2009" t="str">
        <f t="shared" ref="AY6:AY53" si="19">IF($AF6="","",IFERROR(IF(INDEX($V$6:$V$53,MATCH($AF6,$C$6:$C$53,0))&gt;0,INDEX($V$6:$V$53,MATCH($AF6,$C$6:$C$53,0)),""),""))</f>
        <v/>
      </c>
      <c r="AZ6" s="2009" t="str">
        <f t="shared" ref="AZ6:AZ53" si="20">IF($AF6="","",IFERROR(IF(INDEX($W$6:$W$53,MATCH($AF6,$C$6:$C$53,0))&gt;0,INDEX($W$6:$W$53,MATCH($AF6,$C$6:$C$53,0)),""),""))</f>
        <v/>
      </c>
      <c r="BA6" s="2009" t="str">
        <f t="shared" ref="BA6:BA53" si="21">IF($AF6="","",IFERROR(IF(INDEX($X$6:$X$53,MATCH($AF6,$C$6:$C$53,0))&gt;0,INDEX($X$6:$X$53,MATCH($AF6,$C$6:$C$53,0)),""),""))</f>
        <v/>
      </c>
      <c r="BB6" s="2009" t="str">
        <f t="shared" ref="BB6:BB53" si="22">IF($AF6="","",IFERROR(IF(INDEX($Y$6:$Y$53,MATCH($AF6,$C$6:$C$53,0))&gt;0,INDEX($Y$6:$Y$53,MATCH($AF6,$C$6:$C$53,0)),""),""))</f>
        <v/>
      </c>
      <c r="BC6" s="2009" t="str">
        <f t="shared" ref="BC6:BC53" si="23">IF($AF6="","",IFERROR(IF(INDEX($Z$6:$Z$53,MATCH($AF6,$C$6:$C$53,0))&gt;0,INDEX($Z$6:$Z$53,MATCH($AF6,$C$6:$C$53,0)),""),""))</f>
        <v/>
      </c>
      <c r="BD6" s="674" t="str">
        <f t="shared" ref="BD6:BD27" si="24">IF($AF6="","",SUM($AH6:$BC6))</f>
        <v/>
      </c>
      <c r="BE6" s="674" t="str">
        <f t="shared" ref="BE6:BE27" si="25">IF($AF6="","",$BD6/2)</f>
        <v/>
      </c>
      <c r="BF6" s="674" t="str">
        <f t="shared" ref="BF6:BF27" si="26">IF($AF6="","",$BD6*10)</f>
        <v/>
      </c>
      <c r="BG6" s="675" t="str">
        <f t="shared" ref="BG6:BG27" si="27">IF($AF6="","",IF(MAX($AH6:$BC6)&gt;50,"REVISIÓN: EXCEDE 50","OK"))</f>
        <v/>
      </c>
      <c r="BH6" s="675" t="str">
        <f t="shared" ref="BH6:BH27" si="28">IF($AF6="","",IF(MOD($BF6,20)=10,"SÍ","NO"))</f>
        <v/>
      </c>
      <c r="BK6" s="491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6))),"")</f>
        <v/>
      </c>
      <c r="BL6" s="492" t="str">
        <f t="shared" ref="BL6:BL27" si="29">IF($BK6="","",IFERROR(INDEX($D$6:$D$53,MATCH($BK6,$C$6:$C$53,0)),""))</f>
        <v/>
      </c>
      <c r="BM6" s="462" t="str">
        <f t="shared" ref="BM6:BM27" si="30">IF($BK6="","",SUMPRODUCT(($C$6:$C$53=$BK6)*$E$6:$Z$53)*10)</f>
        <v/>
      </c>
      <c r="BN6" s="493" t="str">
        <f t="shared" ref="BN6:BN27" si="31">IF($BK6="","","10 KG")</f>
        <v/>
      </c>
    </row>
    <row r="7" spans="1:66" ht="45.75">
      <c r="A7" s="2257"/>
      <c r="C7" s="42">
        <f>+PP!B25</f>
        <v>2</v>
      </c>
      <c r="D7" s="164" t="str">
        <f>+PP!C25</f>
        <v>ANILLAS AMARILLAS SM ST</v>
      </c>
      <c r="E7" s="2013"/>
      <c r="F7" s="1802"/>
      <c r="G7" s="1802"/>
      <c r="H7" s="1802"/>
      <c r="I7" s="1802"/>
      <c r="J7" s="1802"/>
      <c r="K7" s="1802"/>
      <c r="L7" s="1802"/>
      <c r="M7" s="1802"/>
      <c r="N7" s="1802"/>
      <c r="O7" s="1802"/>
      <c r="P7" s="1802"/>
      <c r="Q7" s="1802"/>
      <c r="R7" s="1803"/>
      <c r="S7" s="1803"/>
      <c r="T7" s="1847"/>
      <c r="U7" s="1803"/>
      <c r="V7" s="1803"/>
      <c r="W7" s="1803"/>
      <c r="X7" s="388"/>
      <c r="Y7" s="388"/>
      <c r="Z7" s="388"/>
      <c r="AA7" s="1873"/>
      <c r="AB7" s="1821">
        <f t="shared" ref="AB7:AB53" si="32">SUM(E7:AA7)</f>
        <v>0</v>
      </c>
      <c r="AC7" s="155">
        <f t="shared" si="0"/>
        <v>0</v>
      </c>
      <c r="AD7" s="552">
        <f t="shared" si="1"/>
        <v>0</v>
      </c>
      <c r="AE7" s="574"/>
      <c r="AF7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</f>
        <v/>
      </c>
      <c r="AG7" s="1376" t="str">
        <f>IF($AF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)</f>
        <v/>
      </c>
      <c r="AH7" s="2010" t="str">
        <f t="shared" si="2"/>
        <v/>
      </c>
      <c r="AI7" s="2010" t="str">
        <f t="shared" si="3"/>
        <v/>
      </c>
      <c r="AJ7" s="2010" t="str">
        <f t="shared" si="4"/>
        <v/>
      </c>
      <c r="AK7" s="2010" t="str">
        <f t="shared" si="5"/>
        <v/>
      </c>
      <c r="AL7" s="2010" t="str">
        <f t="shared" si="6"/>
        <v/>
      </c>
      <c r="AM7" s="2010" t="str">
        <f t="shared" si="7"/>
        <v/>
      </c>
      <c r="AN7" s="2010" t="str">
        <f t="shared" si="8"/>
        <v/>
      </c>
      <c r="AO7" s="2010" t="str">
        <f t="shared" si="9"/>
        <v/>
      </c>
      <c r="AP7" s="2010" t="str">
        <f t="shared" si="10"/>
        <v/>
      </c>
      <c r="AQ7" s="2010" t="str">
        <f t="shared" si="11"/>
        <v/>
      </c>
      <c r="AR7" s="2010" t="str">
        <f t="shared" si="12"/>
        <v/>
      </c>
      <c r="AS7" s="2010" t="str">
        <f t="shared" si="13"/>
        <v/>
      </c>
      <c r="AT7" s="2010" t="str">
        <f t="shared" si="14"/>
        <v/>
      </c>
      <c r="AU7" s="2010" t="str">
        <f t="shared" si="15"/>
        <v/>
      </c>
      <c r="AV7" s="2010" t="str">
        <f t="shared" si="16"/>
        <v/>
      </c>
      <c r="AW7" s="2010" t="str">
        <f t="shared" si="17"/>
        <v/>
      </c>
      <c r="AX7" s="2010" t="str">
        <f t="shared" si="18"/>
        <v/>
      </c>
      <c r="AY7" s="2010" t="str">
        <f t="shared" si="19"/>
        <v/>
      </c>
      <c r="AZ7" s="2010" t="str">
        <f t="shared" si="20"/>
        <v/>
      </c>
      <c r="BA7" s="2010" t="str">
        <f t="shared" si="21"/>
        <v/>
      </c>
      <c r="BB7" s="2010" t="str">
        <f t="shared" si="22"/>
        <v/>
      </c>
      <c r="BC7" s="2010" t="str">
        <f t="shared" si="23"/>
        <v/>
      </c>
      <c r="BD7" s="674" t="str">
        <f t="shared" si="24"/>
        <v/>
      </c>
      <c r="BE7" s="674" t="str">
        <f t="shared" si="25"/>
        <v/>
      </c>
      <c r="BF7" s="674" t="str">
        <f t="shared" si="26"/>
        <v/>
      </c>
      <c r="BG7" s="675" t="str">
        <f t="shared" si="27"/>
        <v/>
      </c>
      <c r="BH7" s="675" t="str">
        <f t="shared" si="28"/>
        <v/>
      </c>
      <c r="BK7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7))),"")</f>
        <v/>
      </c>
      <c r="BL7" s="500" t="str">
        <f t="shared" si="29"/>
        <v/>
      </c>
      <c r="BM7" s="458" t="str">
        <f t="shared" si="30"/>
        <v/>
      </c>
      <c r="BN7" s="501" t="str">
        <f t="shared" si="31"/>
        <v/>
      </c>
    </row>
    <row r="8" spans="1:66" ht="46.5" thickBot="1">
      <c r="A8" s="2257"/>
      <c r="C8" s="40">
        <f>+PP!B26</f>
        <v>3</v>
      </c>
      <c r="D8" s="163" t="str">
        <f>+PP!C26</f>
        <v>ANILLAS BLANCAS SM ST MEDIANA</v>
      </c>
      <c r="E8" s="2972"/>
      <c r="F8" s="2973"/>
      <c r="G8" s="2973"/>
      <c r="H8" s="2973"/>
      <c r="I8" s="2973"/>
      <c r="J8" s="2973"/>
      <c r="K8" s="2973"/>
      <c r="L8" s="2973"/>
      <c r="M8" s="2973"/>
      <c r="N8" s="2973"/>
      <c r="O8" s="2973"/>
      <c r="P8" s="2973"/>
      <c r="Q8" s="2973"/>
      <c r="R8" s="2974"/>
      <c r="S8" s="2974"/>
      <c r="T8" s="2975"/>
      <c r="U8" s="2974"/>
      <c r="V8" s="2974"/>
      <c r="W8" s="2974"/>
      <c r="X8" s="1008"/>
      <c r="Y8" s="1008"/>
      <c r="Z8" s="1008"/>
      <c r="AA8" s="2990"/>
      <c r="AB8" s="1393">
        <f t="shared" si="32"/>
        <v>0</v>
      </c>
      <c r="AC8" s="150">
        <f t="shared" si="0"/>
        <v>0</v>
      </c>
      <c r="AD8" s="507">
        <f t="shared" si="1"/>
        <v>0</v>
      </c>
      <c r="AE8" s="574"/>
      <c r="AF8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</f>
        <v/>
      </c>
      <c r="AG8" s="1376" t="str">
        <f>IF($AF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)</f>
        <v/>
      </c>
      <c r="AH8" s="2010" t="str">
        <f t="shared" si="2"/>
        <v/>
      </c>
      <c r="AI8" s="2010" t="str">
        <f t="shared" si="3"/>
        <v/>
      </c>
      <c r="AJ8" s="2010" t="str">
        <f t="shared" si="4"/>
        <v/>
      </c>
      <c r="AK8" s="2010" t="str">
        <f t="shared" si="5"/>
        <v/>
      </c>
      <c r="AL8" s="2010" t="str">
        <f t="shared" si="6"/>
        <v/>
      </c>
      <c r="AM8" s="2010" t="str">
        <f t="shared" si="7"/>
        <v/>
      </c>
      <c r="AN8" s="2010" t="str">
        <f t="shared" si="8"/>
        <v/>
      </c>
      <c r="AO8" s="2010" t="str">
        <f t="shared" si="9"/>
        <v/>
      </c>
      <c r="AP8" s="2010" t="str">
        <f t="shared" si="10"/>
        <v/>
      </c>
      <c r="AQ8" s="2010" t="str">
        <f t="shared" si="11"/>
        <v/>
      </c>
      <c r="AR8" s="2010" t="str">
        <f t="shared" si="12"/>
        <v/>
      </c>
      <c r="AS8" s="2010" t="str">
        <f t="shared" si="13"/>
        <v/>
      </c>
      <c r="AT8" s="2010" t="str">
        <f t="shared" si="14"/>
        <v/>
      </c>
      <c r="AU8" s="2010" t="str">
        <f t="shared" si="15"/>
        <v/>
      </c>
      <c r="AV8" s="2010" t="str">
        <f t="shared" si="16"/>
        <v/>
      </c>
      <c r="AW8" s="2010" t="str">
        <f t="shared" si="17"/>
        <v/>
      </c>
      <c r="AX8" s="2010" t="str">
        <f t="shared" si="18"/>
        <v/>
      </c>
      <c r="AY8" s="2010" t="str">
        <f t="shared" si="19"/>
        <v/>
      </c>
      <c r="AZ8" s="2010" t="str">
        <f t="shared" si="20"/>
        <v/>
      </c>
      <c r="BA8" s="2010" t="str">
        <f t="shared" si="21"/>
        <v/>
      </c>
      <c r="BB8" s="2010" t="str">
        <f t="shared" si="22"/>
        <v/>
      </c>
      <c r="BC8" s="2010" t="str">
        <f t="shared" si="23"/>
        <v/>
      </c>
      <c r="BD8" s="674" t="str">
        <f t="shared" si="24"/>
        <v/>
      </c>
      <c r="BE8" s="674" t="str">
        <f t="shared" si="25"/>
        <v/>
      </c>
      <c r="BF8" s="674" t="str">
        <f t="shared" si="26"/>
        <v/>
      </c>
      <c r="BG8" s="675" t="str">
        <f t="shared" si="27"/>
        <v/>
      </c>
      <c r="BH8" s="675" t="str">
        <f t="shared" si="28"/>
        <v/>
      </c>
      <c r="BK8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8))),"")</f>
        <v/>
      </c>
      <c r="BL8" s="500" t="str">
        <f t="shared" si="29"/>
        <v/>
      </c>
      <c r="BM8" s="458" t="str">
        <f t="shared" si="30"/>
        <v/>
      </c>
      <c r="BN8" s="501" t="str">
        <f t="shared" si="31"/>
        <v/>
      </c>
    </row>
    <row r="9" spans="1:66" ht="45.75">
      <c r="A9" s="2257"/>
      <c r="C9" s="41">
        <f>+PP!B27</f>
        <v>4</v>
      </c>
      <c r="D9" s="162" t="str">
        <f>+PP!C27</f>
        <v>ALETA FRESCA CORTE CRUZ</v>
      </c>
      <c r="E9" s="2967"/>
      <c r="F9" s="2968"/>
      <c r="G9" s="2968"/>
      <c r="H9" s="2968"/>
      <c r="I9" s="2968"/>
      <c r="J9" s="2968"/>
      <c r="K9" s="2968"/>
      <c r="L9" s="2968"/>
      <c r="M9" s="2968"/>
      <c r="N9" s="2968"/>
      <c r="O9" s="2968"/>
      <c r="P9" s="2968"/>
      <c r="Q9" s="2968"/>
      <c r="R9" s="2970"/>
      <c r="S9" s="2970"/>
      <c r="T9" s="2970"/>
      <c r="U9" s="2970"/>
      <c r="V9" s="2970"/>
      <c r="W9" s="2970"/>
      <c r="X9" s="1007"/>
      <c r="Y9" s="1007"/>
      <c r="Z9" s="1007"/>
      <c r="AA9" s="2989"/>
      <c r="AB9" s="1391">
        <f t="shared" si="32"/>
        <v>0</v>
      </c>
      <c r="AC9" s="148">
        <f t="shared" si="0"/>
        <v>0</v>
      </c>
      <c r="AD9" s="490">
        <f t="shared" si="1"/>
        <v>0</v>
      </c>
      <c r="AE9" s="574"/>
      <c r="AF9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</f>
        <v/>
      </c>
      <c r="AG9" s="1376" t="str">
        <f>IF($AF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)</f>
        <v/>
      </c>
      <c r="AH9" s="2010" t="str">
        <f t="shared" si="2"/>
        <v/>
      </c>
      <c r="AI9" s="2010" t="str">
        <f t="shared" si="3"/>
        <v/>
      </c>
      <c r="AJ9" s="2010" t="str">
        <f t="shared" si="4"/>
        <v/>
      </c>
      <c r="AK9" s="2010" t="str">
        <f t="shared" si="5"/>
        <v/>
      </c>
      <c r="AL9" s="2010" t="str">
        <f t="shared" si="6"/>
        <v/>
      </c>
      <c r="AM9" s="2010" t="str">
        <f t="shared" si="7"/>
        <v/>
      </c>
      <c r="AN9" s="2010" t="str">
        <f t="shared" si="8"/>
        <v/>
      </c>
      <c r="AO9" s="2010" t="str">
        <f t="shared" si="9"/>
        <v/>
      </c>
      <c r="AP9" s="2010" t="str">
        <f t="shared" si="10"/>
        <v/>
      </c>
      <c r="AQ9" s="2010" t="str">
        <f t="shared" si="11"/>
        <v/>
      </c>
      <c r="AR9" s="2010" t="str">
        <f t="shared" si="12"/>
        <v/>
      </c>
      <c r="AS9" s="2010" t="str">
        <f t="shared" si="13"/>
        <v/>
      </c>
      <c r="AT9" s="2010" t="str">
        <f t="shared" si="14"/>
        <v/>
      </c>
      <c r="AU9" s="2010" t="str">
        <f t="shared" si="15"/>
        <v/>
      </c>
      <c r="AV9" s="2010" t="str">
        <f t="shared" si="16"/>
        <v/>
      </c>
      <c r="AW9" s="2010" t="str">
        <f t="shared" si="17"/>
        <v/>
      </c>
      <c r="AX9" s="2010" t="str">
        <f t="shared" si="18"/>
        <v/>
      </c>
      <c r="AY9" s="2010" t="str">
        <f t="shared" si="19"/>
        <v/>
      </c>
      <c r="AZ9" s="2010" t="str">
        <f t="shared" si="20"/>
        <v/>
      </c>
      <c r="BA9" s="2010" t="str">
        <f t="shared" si="21"/>
        <v/>
      </c>
      <c r="BB9" s="2010" t="str">
        <f t="shared" si="22"/>
        <v/>
      </c>
      <c r="BC9" s="2010" t="str">
        <f t="shared" si="23"/>
        <v/>
      </c>
      <c r="BD9" s="674" t="str">
        <f t="shared" si="24"/>
        <v/>
      </c>
      <c r="BE9" s="674" t="str">
        <f t="shared" si="25"/>
        <v/>
      </c>
      <c r="BF9" s="674" t="str">
        <f t="shared" si="26"/>
        <v/>
      </c>
      <c r="BG9" s="675" t="str">
        <f t="shared" si="27"/>
        <v/>
      </c>
      <c r="BH9" s="675" t="str">
        <f t="shared" si="28"/>
        <v/>
      </c>
      <c r="BK9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9))),"")</f>
        <v/>
      </c>
      <c r="BL9" s="500" t="str">
        <f t="shared" si="29"/>
        <v/>
      </c>
      <c r="BM9" s="458" t="str">
        <f t="shared" si="30"/>
        <v/>
      </c>
      <c r="BN9" s="501" t="str">
        <f t="shared" si="31"/>
        <v/>
      </c>
    </row>
    <row r="10" spans="1:66" ht="45.75">
      <c r="A10" s="2257"/>
      <c r="C10" s="42">
        <f>+PP!B28</f>
        <v>5</v>
      </c>
      <c r="D10" s="164" t="str">
        <f>+PP!C28</f>
        <v>ALETA ENTERA 100-500 g/pza</v>
      </c>
      <c r="E10" s="2013"/>
      <c r="F10" s="1802"/>
      <c r="G10" s="1802"/>
      <c r="H10" s="1802"/>
      <c r="I10" s="1802"/>
      <c r="J10" s="1802"/>
      <c r="K10" s="1802"/>
      <c r="L10" s="1802"/>
      <c r="M10" s="1802"/>
      <c r="N10" s="1802"/>
      <c r="O10" s="1802"/>
      <c r="P10" s="1802"/>
      <c r="Q10" s="1802"/>
      <c r="R10" s="1847"/>
      <c r="S10" s="1847"/>
      <c r="T10" s="1847"/>
      <c r="U10" s="1847"/>
      <c r="V10" s="1847"/>
      <c r="W10" s="1847"/>
      <c r="X10" s="388"/>
      <c r="Y10" s="388"/>
      <c r="Z10" s="388"/>
      <c r="AA10" s="1873"/>
      <c r="AB10" s="1392">
        <f t="shared" si="32"/>
        <v>0</v>
      </c>
      <c r="AC10" s="149">
        <f t="shared" si="0"/>
        <v>0</v>
      </c>
      <c r="AD10" s="552">
        <f t="shared" si="1"/>
        <v>0</v>
      </c>
      <c r="AE10" s="574"/>
      <c r="AF10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</f>
        <v/>
      </c>
      <c r="AG10" s="1376" t="str">
        <f>IF($AF10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)</f>
        <v/>
      </c>
      <c r="AH10" s="2010" t="str">
        <f t="shared" si="2"/>
        <v/>
      </c>
      <c r="AI10" s="2010" t="str">
        <f t="shared" si="3"/>
        <v/>
      </c>
      <c r="AJ10" s="2010" t="str">
        <f t="shared" si="4"/>
        <v/>
      </c>
      <c r="AK10" s="2010" t="str">
        <f t="shared" si="5"/>
        <v/>
      </c>
      <c r="AL10" s="2010" t="str">
        <f t="shared" si="6"/>
        <v/>
      </c>
      <c r="AM10" s="2010" t="str">
        <f t="shared" si="7"/>
        <v/>
      </c>
      <c r="AN10" s="2010" t="str">
        <f t="shared" si="8"/>
        <v/>
      </c>
      <c r="AO10" s="2010" t="str">
        <f t="shared" si="9"/>
        <v/>
      </c>
      <c r="AP10" s="2010" t="str">
        <f t="shared" si="10"/>
        <v/>
      </c>
      <c r="AQ10" s="2010" t="str">
        <f t="shared" si="11"/>
        <v/>
      </c>
      <c r="AR10" s="2010" t="str">
        <f t="shared" si="12"/>
        <v/>
      </c>
      <c r="AS10" s="2010" t="str">
        <f t="shared" si="13"/>
        <v/>
      </c>
      <c r="AT10" s="2010" t="str">
        <f t="shared" si="14"/>
        <v/>
      </c>
      <c r="AU10" s="2010" t="str">
        <f t="shared" si="15"/>
        <v/>
      </c>
      <c r="AV10" s="2010" t="str">
        <f t="shared" si="16"/>
        <v/>
      </c>
      <c r="AW10" s="2010" t="str">
        <f t="shared" si="17"/>
        <v/>
      </c>
      <c r="AX10" s="2010" t="str">
        <f t="shared" si="18"/>
        <v/>
      </c>
      <c r="AY10" s="2010" t="str">
        <f t="shared" si="19"/>
        <v/>
      </c>
      <c r="AZ10" s="2010" t="str">
        <f t="shared" si="20"/>
        <v/>
      </c>
      <c r="BA10" s="2010" t="str">
        <f t="shared" si="21"/>
        <v/>
      </c>
      <c r="BB10" s="2010" t="str">
        <f t="shared" si="22"/>
        <v/>
      </c>
      <c r="BC10" s="2010" t="str">
        <f t="shared" si="23"/>
        <v/>
      </c>
      <c r="BD10" s="674" t="str">
        <f t="shared" si="24"/>
        <v/>
      </c>
      <c r="BE10" s="674" t="str">
        <f t="shared" si="25"/>
        <v/>
      </c>
      <c r="BF10" s="674" t="str">
        <f t="shared" si="26"/>
        <v/>
      </c>
      <c r="BG10" s="675" t="str">
        <f t="shared" si="27"/>
        <v/>
      </c>
      <c r="BH10" s="675" t="str">
        <f t="shared" si="28"/>
        <v/>
      </c>
      <c r="BK10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10))),"")</f>
        <v/>
      </c>
      <c r="BL10" s="500" t="str">
        <f t="shared" si="29"/>
        <v/>
      </c>
      <c r="BM10" s="458" t="str">
        <f t="shared" si="30"/>
        <v/>
      </c>
      <c r="BN10" s="501" t="str">
        <f t="shared" si="31"/>
        <v/>
      </c>
    </row>
    <row r="11" spans="1:66" ht="45.75">
      <c r="A11" s="2257"/>
      <c r="C11" s="42">
        <f>+PP!B29</f>
        <v>6</v>
      </c>
      <c r="D11" s="164" t="str">
        <f>+PP!C29</f>
        <v>ALETA ENTERA 500-1000 g/pza</v>
      </c>
      <c r="E11" s="2013"/>
      <c r="F11" s="1802"/>
      <c r="G11" s="1802"/>
      <c r="H11" s="1802"/>
      <c r="I11" s="1802"/>
      <c r="J11" s="1802"/>
      <c r="K11" s="1802"/>
      <c r="L11" s="1802"/>
      <c r="M11" s="1802"/>
      <c r="N11" s="1802"/>
      <c r="O11" s="1802"/>
      <c r="P11" s="1802"/>
      <c r="Q11" s="1802"/>
      <c r="R11" s="1847"/>
      <c r="S11" s="1847"/>
      <c r="T11" s="1847"/>
      <c r="U11" s="1847"/>
      <c r="V11" s="1847"/>
      <c r="W11" s="1847"/>
      <c r="X11" s="388"/>
      <c r="Y11" s="388"/>
      <c r="Z11" s="388"/>
      <c r="AA11" s="1873"/>
      <c r="AB11" s="1392">
        <f t="shared" si="32"/>
        <v>0</v>
      </c>
      <c r="AC11" s="149">
        <f t="shared" si="0"/>
        <v>0</v>
      </c>
      <c r="AD11" s="552">
        <f t="shared" si="1"/>
        <v>0</v>
      </c>
      <c r="AE11" s="574"/>
      <c r="AF11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</f>
        <v/>
      </c>
      <c r="AG11" s="1376" t="str">
        <f>IF($AF11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)</f>
        <v/>
      </c>
      <c r="AH11" s="2010" t="str">
        <f t="shared" si="2"/>
        <v/>
      </c>
      <c r="AI11" s="2010" t="str">
        <f t="shared" si="3"/>
        <v/>
      </c>
      <c r="AJ11" s="2010" t="str">
        <f t="shared" si="4"/>
        <v/>
      </c>
      <c r="AK11" s="2010" t="str">
        <f t="shared" si="5"/>
        <v/>
      </c>
      <c r="AL11" s="2010" t="str">
        <f t="shared" si="6"/>
        <v/>
      </c>
      <c r="AM11" s="2010" t="str">
        <f t="shared" si="7"/>
        <v/>
      </c>
      <c r="AN11" s="2010" t="str">
        <f t="shared" si="8"/>
        <v/>
      </c>
      <c r="AO11" s="2010" t="str">
        <f t="shared" si="9"/>
        <v/>
      </c>
      <c r="AP11" s="2010" t="str">
        <f t="shared" si="10"/>
        <v/>
      </c>
      <c r="AQ11" s="2010" t="str">
        <f t="shared" si="11"/>
        <v/>
      </c>
      <c r="AR11" s="2010" t="str">
        <f t="shared" si="12"/>
        <v/>
      </c>
      <c r="AS11" s="2010" t="str">
        <f t="shared" si="13"/>
        <v/>
      </c>
      <c r="AT11" s="2010" t="str">
        <f t="shared" si="14"/>
        <v/>
      </c>
      <c r="AU11" s="2010" t="str">
        <f t="shared" si="15"/>
        <v/>
      </c>
      <c r="AV11" s="2010" t="str">
        <f t="shared" si="16"/>
        <v/>
      </c>
      <c r="AW11" s="2010" t="str">
        <f t="shared" si="17"/>
        <v/>
      </c>
      <c r="AX11" s="2010" t="str">
        <f t="shared" si="18"/>
        <v/>
      </c>
      <c r="AY11" s="2010" t="str">
        <f t="shared" si="19"/>
        <v/>
      </c>
      <c r="AZ11" s="2010" t="str">
        <f t="shared" si="20"/>
        <v/>
      </c>
      <c r="BA11" s="2010" t="str">
        <f t="shared" si="21"/>
        <v/>
      </c>
      <c r="BB11" s="2010" t="str">
        <f t="shared" si="22"/>
        <v/>
      </c>
      <c r="BC11" s="2010" t="str">
        <f t="shared" si="23"/>
        <v/>
      </c>
      <c r="BD11" s="674" t="str">
        <f t="shared" si="24"/>
        <v/>
      </c>
      <c r="BE11" s="674" t="str">
        <f t="shared" si="25"/>
        <v/>
      </c>
      <c r="BF11" s="674" t="str">
        <f t="shared" si="26"/>
        <v/>
      </c>
      <c r="BG11" s="675" t="str">
        <f t="shared" si="27"/>
        <v/>
      </c>
      <c r="BH11" s="675" t="str">
        <f t="shared" si="28"/>
        <v/>
      </c>
      <c r="BK11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11))),"")</f>
        <v/>
      </c>
      <c r="BL11" s="500" t="str">
        <f t="shared" si="29"/>
        <v/>
      </c>
      <c r="BM11" s="458" t="str">
        <f t="shared" si="30"/>
        <v/>
      </c>
      <c r="BN11" s="501" t="str">
        <f t="shared" si="31"/>
        <v/>
      </c>
    </row>
    <row r="12" spans="1:66" ht="45.75">
      <c r="A12" s="2257"/>
      <c r="C12" s="42">
        <f>+PP!B30</f>
        <v>7</v>
      </c>
      <c r="D12" s="164" t="str">
        <f>+PP!C30</f>
        <v>ALETA ENTERA 1.0-2.0 kg/pza</v>
      </c>
      <c r="E12" s="2013"/>
      <c r="F12" s="1802"/>
      <c r="G12" s="1802"/>
      <c r="H12" s="1802"/>
      <c r="I12" s="1802"/>
      <c r="J12" s="1802"/>
      <c r="K12" s="1802"/>
      <c r="L12" s="1802"/>
      <c r="M12" s="1802"/>
      <c r="N12" s="1802"/>
      <c r="O12" s="1802"/>
      <c r="P12" s="1802"/>
      <c r="Q12" s="1802"/>
      <c r="R12" s="1847"/>
      <c r="S12" s="1847"/>
      <c r="T12" s="1847"/>
      <c r="U12" s="1847"/>
      <c r="V12" s="1847"/>
      <c r="W12" s="1847"/>
      <c r="X12" s="388"/>
      <c r="Y12" s="388"/>
      <c r="Z12" s="388"/>
      <c r="AA12" s="1873"/>
      <c r="AB12" s="1392">
        <f t="shared" si="32"/>
        <v>0</v>
      </c>
      <c r="AC12" s="149">
        <f t="shared" si="0"/>
        <v>0</v>
      </c>
      <c r="AD12" s="552">
        <f t="shared" si="1"/>
        <v>0</v>
      </c>
      <c r="AE12" s="574"/>
      <c r="AF12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</f>
        <v/>
      </c>
      <c r="AG12" s="1376" t="str">
        <f>IF($AF12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)</f>
        <v/>
      </c>
      <c r="AH12" s="2010" t="str">
        <f t="shared" si="2"/>
        <v/>
      </c>
      <c r="AI12" s="2010" t="str">
        <f t="shared" si="3"/>
        <v/>
      </c>
      <c r="AJ12" s="2010" t="str">
        <f t="shared" si="4"/>
        <v/>
      </c>
      <c r="AK12" s="2010" t="str">
        <f t="shared" si="5"/>
        <v/>
      </c>
      <c r="AL12" s="2010" t="str">
        <f t="shared" si="6"/>
        <v/>
      </c>
      <c r="AM12" s="2010" t="str">
        <f t="shared" si="7"/>
        <v/>
      </c>
      <c r="AN12" s="2010" t="str">
        <f t="shared" si="8"/>
        <v/>
      </c>
      <c r="AO12" s="2010" t="str">
        <f t="shared" si="9"/>
        <v/>
      </c>
      <c r="AP12" s="2010" t="str">
        <f t="shared" si="10"/>
        <v/>
      </c>
      <c r="AQ12" s="2010" t="str">
        <f t="shared" si="11"/>
        <v/>
      </c>
      <c r="AR12" s="2010" t="str">
        <f t="shared" si="12"/>
        <v/>
      </c>
      <c r="AS12" s="2010" t="str">
        <f t="shared" si="13"/>
        <v/>
      </c>
      <c r="AT12" s="2010" t="str">
        <f t="shared" si="14"/>
        <v/>
      </c>
      <c r="AU12" s="2010" t="str">
        <f t="shared" si="15"/>
        <v/>
      </c>
      <c r="AV12" s="2010" t="str">
        <f t="shared" si="16"/>
        <v/>
      </c>
      <c r="AW12" s="2010" t="str">
        <f t="shared" si="17"/>
        <v/>
      </c>
      <c r="AX12" s="2010" t="str">
        <f t="shared" si="18"/>
        <v/>
      </c>
      <c r="AY12" s="2010" t="str">
        <f t="shared" si="19"/>
        <v/>
      </c>
      <c r="AZ12" s="2010" t="str">
        <f t="shared" si="20"/>
        <v/>
      </c>
      <c r="BA12" s="2010" t="str">
        <f t="shared" si="21"/>
        <v/>
      </c>
      <c r="BB12" s="2010" t="str">
        <f t="shared" si="22"/>
        <v/>
      </c>
      <c r="BC12" s="2010" t="str">
        <f t="shared" si="23"/>
        <v/>
      </c>
      <c r="BD12" s="674" t="str">
        <f t="shared" si="24"/>
        <v/>
      </c>
      <c r="BE12" s="674" t="str">
        <f t="shared" si="25"/>
        <v/>
      </c>
      <c r="BF12" s="674" t="str">
        <f t="shared" si="26"/>
        <v/>
      </c>
      <c r="BG12" s="675" t="str">
        <f t="shared" si="27"/>
        <v/>
      </c>
      <c r="BH12" s="675" t="str">
        <f t="shared" si="28"/>
        <v/>
      </c>
      <c r="BK12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12))),"")</f>
        <v/>
      </c>
      <c r="BL12" s="500" t="str">
        <f t="shared" si="29"/>
        <v/>
      </c>
      <c r="BM12" s="458" t="str">
        <f t="shared" si="30"/>
        <v/>
      </c>
      <c r="BN12" s="501" t="str">
        <f t="shared" si="31"/>
        <v/>
      </c>
    </row>
    <row r="13" spans="1:66" ht="45.75">
      <c r="A13" s="2257"/>
      <c r="C13" s="42">
        <f>+PP!B31</f>
        <v>8</v>
      </c>
      <c r="D13" s="164" t="str">
        <f>+PP!C31</f>
        <v>ALETA FRESCA PARTIDA 2.0-4.0 kg/pza</v>
      </c>
      <c r="E13" s="2013"/>
      <c r="F13" s="1802"/>
      <c r="G13" s="1802"/>
      <c r="H13" s="1802"/>
      <c r="I13" s="1802"/>
      <c r="J13" s="1802"/>
      <c r="K13" s="1802"/>
      <c r="L13" s="1802"/>
      <c r="M13" s="1802"/>
      <c r="N13" s="1802"/>
      <c r="O13" s="1802"/>
      <c r="P13" s="1802"/>
      <c r="Q13" s="1802"/>
      <c r="R13" s="1847"/>
      <c r="S13" s="1847"/>
      <c r="T13" s="1847"/>
      <c r="U13" s="1847"/>
      <c r="V13" s="1847"/>
      <c r="W13" s="1847"/>
      <c r="X13" s="388"/>
      <c r="Y13" s="388"/>
      <c r="Z13" s="388"/>
      <c r="AA13" s="1873"/>
      <c r="AB13" s="1392">
        <f t="shared" si="32"/>
        <v>0</v>
      </c>
      <c r="AC13" s="149">
        <f t="shared" si="0"/>
        <v>0</v>
      </c>
      <c r="AD13" s="552">
        <f t="shared" si="1"/>
        <v>0</v>
      </c>
      <c r="AE13" s="574"/>
      <c r="AF13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</f>
        <v/>
      </c>
      <c r="AG13" s="1376" t="str">
        <f>IF($AF13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)</f>
        <v/>
      </c>
      <c r="AH13" s="2010" t="str">
        <f t="shared" si="2"/>
        <v/>
      </c>
      <c r="AI13" s="2010" t="str">
        <f t="shared" si="3"/>
        <v/>
      </c>
      <c r="AJ13" s="2010" t="str">
        <f t="shared" si="4"/>
        <v/>
      </c>
      <c r="AK13" s="2010" t="str">
        <f t="shared" si="5"/>
        <v/>
      </c>
      <c r="AL13" s="2010" t="str">
        <f t="shared" si="6"/>
        <v/>
      </c>
      <c r="AM13" s="2010" t="str">
        <f t="shared" si="7"/>
        <v/>
      </c>
      <c r="AN13" s="2010" t="str">
        <f t="shared" si="8"/>
        <v/>
      </c>
      <c r="AO13" s="2010" t="str">
        <f t="shared" si="9"/>
        <v/>
      </c>
      <c r="AP13" s="2010" t="str">
        <f t="shared" si="10"/>
        <v/>
      </c>
      <c r="AQ13" s="2010" t="str">
        <f t="shared" si="11"/>
        <v/>
      </c>
      <c r="AR13" s="2010" t="str">
        <f t="shared" si="12"/>
        <v/>
      </c>
      <c r="AS13" s="2010" t="str">
        <f t="shared" si="13"/>
        <v/>
      </c>
      <c r="AT13" s="2010" t="str">
        <f t="shared" si="14"/>
        <v/>
      </c>
      <c r="AU13" s="2010" t="str">
        <f t="shared" si="15"/>
        <v/>
      </c>
      <c r="AV13" s="2010" t="str">
        <f t="shared" si="16"/>
        <v/>
      </c>
      <c r="AW13" s="2010" t="str">
        <f t="shared" si="17"/>
        <v/>
      </c>
      <c r="AX13" s="2010" t="str">
        <f t="shared" si="18"/>
        <v/>
      </c>
      <c r="AY13" s="2010" t="str">
        <f t="shared" si="19"/>
        <v/>
      </c>
      <c r="AZ13" s="2010" t="str">
        <f t="shared" si="20"/>
        <v/>
      </c>
      <c r="BA13" s="2010" t="str">
        <f t="shared" si="21"/>
        <v/>
      </c>
      <c r="BB13" s="2010" t="str">
        <f t="shared" si="22"/>
        <v/>
      </c>
      <c r="BC13" s="2010" t="str">
        <f t="shared" si="23"/>
        <v/>
      </c>
      <c r="BD13" s="674" t="str">
        <f t="shared" si="24"/>
        <v/>
      </c>
      <c r="BE13" s="674" t="str">
        <f t="shared" si="25"/>
        <v/>
      </c>
      <c r="BF13" s="674" t="str">
        <f t="shared" si="26"/>
        <v/>
      </c>
      <c r="BG13" s="675" t="str">
        <f t="shared" si="27"/>
        <v/>
      </c>
      <c r="BH13" s="675" t="str">
        <f t="shared" si="28"/>
        <v/>
      </c>
      <c r="BK13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13))),"")</f>
        <v/>
      </c>
      <c r="BL13" s="500" t="str">
        <f t="shared" si="29"/>
        <v/>
      </c>
      <c r="BM13" s="458" t="str">
        <f t="shared" si="30"/>
        <v/>
      </c>
      <c r="BN13" s="501" t="str">
        <f t="shared" si="31"/>
        <v/>
      </c>
    </row>
    <row r="14" spans="1:66" ht="45.75">
      <c r="A14" s="2257"/>
      <c r="C14" s="42">
        <f>+PP!B32</f>
        <v>9</v>
      </c>
      <c r="D14" s="164" t="str">
        <f>+PP!C32</f>
        <v>ALETA PRECOCIDA ENTERA 300-UP g/pza</v>
      </c>
      <c r="E14" s="2013"/>
      <c r="F14" s="1802"/>
      <c r="G14" s="1802"/>
      <c r="H14" s="1802"/>
      <c r="I14" s="1802"/>
      <c r="J14" s="1802"/>
      <c r="K14" s="1802"/>
      <c r="L14" s="1802"/>
      <c r="M14" s="1802"/>
      <c r="N14" s="1802"/>
      <c r="O14" s="1802"/>
      <c r="P14" s="1802"/>
      <c r="Q14" s="1802"/>
      <c r="R14" s="1847"/>
      <c r="S14" s="1847"/>
      <c r="T14" s="1847"/>
      <c r="U14" s="1847"/>
      <c r="V14" s="1847"/>
      <c r="W14" s="1847"/>
      <c r="X14" s="388"/>
      <c r="Y14" s="388"/>
      <c r="Z14" s="388"/>
      <c r="AA14" s="1873"/>
      <c r="AB14" s="1392">
        <f t="shared" si="32"/>
        <v>0</v>
      </c>
      <c r="AC14" s="149">
        <f t="shared" si="0"/>
        <v>0</v>
      </c>
      <c r="AD14" s="552">
        <f t="shared" si="1"/>
        <v>0</v>
      </c>
      <c r="AE14" s="574"/>
      <c r="AF14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</f>
        <v/>
      </c>
      <c r="AG14" s="1376" t="str">
        <f>IF($AF14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)</f>
        <v/>
      </c>
      <c r="AH14" s="2010" t="str">
        <f t="shared" si="2"/>
        <v/>
      </c>
      <c r="AI14" s="2010" t="str">
        <f t="shared" si="3"/>
        <v/>
      </c>
      <c r="AJ14" s="2010" t="str">
        <f t="shared" si="4"/>
        <v/>
      </c>
      <c r="AK14" s="2010" t="str">
        <f t="shared" si="5"/>
        <v/>
      </c>
      <c r="AL14" s="2010" t="str">
        <f t="shared" si="6"/>
        <v/>
      </c>
      <c r="AM14" s="2010" t="str">
        <f t="shared" si="7"/>
        <v/>
      </c>
      <c r="AN14" s="2010" t="str">
        <f t="shared" si="8"/>
        <v/>
      </c>
      <c r="AO14" s="2010" t="str">
        <f t="shared" si="9"/>
        <v/>
      </c>
      <c r="AP14" s="2010" t="str">
        <f t="shared" si="10"/>
        <v/>
      </c>
      <c r="AQ14" s="2010" t="str">
        <f t="shared" si="11"/>
        <v/>
      </c>
      <c r="AR14" s="2010" t="str">
        <f t="shared" si="12"/>
        <v/>
      </c>
      <c r="AS14" s="2010" t="str">
        <f t="shared" si="13"/>
        <v/>
      </c>
      <c r="AT14" s="2010" t="str">
        <f t="shared" si="14"/>
        <v/>
      </c>
      <c r="AU14" s="2010" t="str">
        <f t="shared" si="15"/>
        <v/>
      </c>
      <c r="AV14" s="2010" t="str">
        <f t="shared" si="16"/>
        <v/>
      </c>
      <c r="AW14" s="2010" t="str">
        <f t="shared" si="17"/>
        <v/>
      </c>
      <c r="AX14" s="2010" t="str">
        <f t="shared" si="18"/>
        <v/>
      </c>
      <c r="AY14" s="2010" t="str">
        <f t="shared" si="19"/>
        <v/>
      </c>
      <c r="AZ14" s="2010" t="str">
        <f t="shared" si="20"/>
        <v/>
      </c>
      <c r="BA14" s="2010" t="str">
        <f t="shared" si="21"/>
        <v/>
      </c>
      <c r="BB14" s="2010" t="str">
        <f t="shared" si="22"/>
        <v/>
      </c>
      <c r="BC14" s="2010" t="str">
        <f t="shared" si="23"/>
        <v/>
      </c>
      <c r="BD14" s="674" t="str">
        <f t="shared" si="24"/>
        <v/>
      </c>
      <c r="BE14" s="674" t="str">
        <f t="shared" si="25"/>
        <v/>
      </c>
      <c r="BF14" s="674" t="str">
        <f t="shared" si="26"/>
        <v/>
      </c>
      <c r="BG14" s="675" t="str">
        <f t="shared" si="27"/>
        <v/>
      </c>
      <c r="BH14" s="675" t="str">
        <f t="shared" si="28"/>
        <v/>
      </c>
      <c r="BK14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14))),"")</f>
        <v/>
      </c>
      <c r="BL14" s="500" t="str">
        <f t="shared" si="29"/>
        <v/>
      </c>
      <c r="BM14" s="458" t="str">
        <f t="shared" si="30"/>
        <v/>
      </c>
      <c r="BN14" s="501" t="str">
        <f t="shared" si="31"/>
        <v/>
      </c>
    </row>
    <row r="15" spans="1:66" ht="46.5" thickBot="1">
      <c r="A15" s="2257"/>
      <c r="C15" s="40">
        <f>+PP!B33</f>
        <v>10</v>
      </c>
      <c r="D15" s="163" t="str">
        <f>+PP!C33</f>
        <v>ALETA PRECOCIDA PARTIDA 300-UP g/pza</v>
      </c>
      <c r="E15" s="2972"/>
      <c r="F15" s="2973"/>
      <c r="G15" s="2973"/>
      <c r="H15" s="2973"/>
      <c r="I15" s="2973"/>
      <c r="J15" s="2973"/>
      <c r="K15" s="2973"/>
      <c r="L15" s="2973"/>
      <c r="M15" s="2973"/>
      <c r="N15" s="2973"/>
      <c r="O15" s="2973"/>
      <c r="P15" s="2973"/>
      <c r="Q15" s="2973"/>
      <c r="R15" s="2975"/>
      <c r="S15" s="2975"/>
      <c r="T15" s="2975"/>
      <c r="U15" s="2975"/>
      <c r="V15" s="2975"/>
      <c r="W15" s="2975"/>
      <c r="X15" s="1008"/>
      <c r="Y15" s="1008"/>
      <c r="Z15" s="1008"/>
      <c r="AA15" s="2990"/>
      <c r="AB15" s="1393">
        <f t="shared" si="32"/>
        <v>0</v>
      </c>
      <c r="AC15" s="150">
        <f t="shared" si="0"/>
        <v>0</v>
      </c>
      <c r="AD15" s="507">
        <f t="shared" si="1"/>
        <v>0</v>
      </c>
      <c r="AE15" s="574"/>
      <c r="AF15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</f>
        <v/>
      </c>
      <c r="AG15" s="1376" t="str">
        <f>IF($AF15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)</f>
        <v/>
      </c>
      <c r="AH15" s="2010" t="str">
        <f t="shared" si="2"/>
        <v/>
      </c>
      <c r="AI15" s="2010" t="str">
        <f t="shared" si="3"/>
        <v/>
      </c>
      <c r="AJ15" s="2010" t="str">
        <f t="shared" si="4"/>
        <v/>
      </c>
      <c r="AK15" s="2010" t="str">
        <f t="shared" si="5"/>
        <v/>
      </c>
      <c r="AL15" s="2010" t="str">
        <f t="shared" si="6"/>
        <v/>
      </c>
      <c r="AM15" s="2010" t="str">
        <f t="shared" si="7"/>
        <v/>
      </c>
      <c r="AN15" s="2010" t="str">
        <f t="shared" si="8"/>
        <v/>
      </c>
      <c r="AO15" s="2010" t="str">
        <f t="shared" si="9"/>
        <v/>
      </c>
      <c r="AP15" s="2010" t="str">
        <f t="shared" si="10"/>
        <v/>
      </c>
      <c r="AQ15" s="2010" t="str">
        <f t="shared" si="11"/>
        <v/>
      </c>
      <c r="AR15" s="2010" t="str">
        <f t="shared" si="12"/>
        <v/>
      </c>
      <c r="AS15" s="2010" t="str">
        <f t="shared" si="13"/>
        <v/>
      </c>
      <c r="AT15" s="2010" t="str">
        <f t="shared" si="14"/>
        <v/>
      </c>
      <c r="AU15" s="2010" t="str">
        <f t="shared" si="15"/>
        <v/>
      </c>
      <c r="AV15" s="2010" t="str">
        <f t="shared" si="16"/>
        <v/>
      </c>
      <c r="AW15" s="2010" t="str">
        <f t="shared" si="17"/>
        <v/>
      </c>
      <c r="AX15" s="2010" t="str">
        <f t="shared" si="18"/>
        <v/>
      </c>
      <c r="AY15" s="2010" t="str">
        <f t="shared" si="19"/>
        <v/>
      </c>
      <c r="AZ15" s="2010" t="str">
        <f t="shared" si="20"/>
        <v/>
      </c>
      <c r="BA15" s="2010" t="str">
        <f t="shared" si="21"/>
        <v/>
      </c>
      <c r="BB15" s="2010" t="str">
        <f t="shared" si="22"/>
        <v/>
      </c>
      <c r="BC15" s="2010" t="str">
        <f t="shared" si="23"/>
        <v/>
      </c>
      <c r="BD15" s="674" t="str">
        <f t="shared" si="24"/>
        <v/>
      </c>
      <c r="BE15" s="674" t="str">
        <f t="shared" si="25"/>
        <v/>
      </c>
      <c r="BF15" s="674" t="str">
        <f t="shared" si="26"/>
        <v/>
      </c>
      <c r="BG15" s="675" t="str">
        <f t="shared" si="27"/>
        <v/>
      </c>
      <c r="BH15" s="675" t="str">
        <f t="shared" si="28"/>
        <v/>
      </c>
      <c r="BK15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15))),"")</f>
        <v/>
      </c>
      <c r="BL15" s="500" t="str">
        <f t="shared" si="29"/>
        <v/>
      </c>
      <c r="BM15" s="458" t="str">
        <f t="shared" si="30"/>
        <v/>
      </c>
      <c r="BN15" s="501" t="str">
        <f t="shared" si="31"/>
        <v/>
      </c>
    </row>
    <row r="16" spans="1:66" ht="45.75">
      <c r="A16" s="2257"/>
      <c r="C16" s="41">
        <f>+PP!B34</f>
        <v>11</v>
      </c>
      <c r="D16" s="162" t="str">
        <f>+PP!C34</f>
        <v>BOTON BLANCO SM ST</v>
      </c>
      <c r="E16" s="2967"/>
      <c r="F16" s="2968"/>
      <c r="G16" s="2968"/>
      <c r="H16" s="2968"/>
      <c r="I16" s="2968"/>
      <c r="J16" s="2968"/>
      <c r="K16" s="2968"/>
      <c r="L16" s="2968"/>
      <c r="M16" s="2968"/>
      <c r="N16" s="2968"/>
      <c r="O16" s="2968"/>
      <c r="P16" s="2968"/>
      <c r="Q16" s="2968"/>
      <c r="R16" s="2970"/>
      <c r="S16" s="2970"/>
      <c r="T16" s="2970"/>
      <c r="U16" s="2970"/>
      <c r="V16" s="2970"/>
      <c r="W16" s="2970"/>
      <c r="X16" s="1007"/>
      <c r="Y16" s="1007"/>
      <c r="Z16" s="1007"/>
      <c r="AA16" s="2989"/>
      <c r="AB16" s="1391">
        <f t="shared" si="32"/>
        <v>0</v>
      </c>
      <c r="AC16" s="148">
        <f t="shared" si="0"/>
        <v>0</v>
      </c>
      <c r="AD16" s="490">
        <f t="shared" si="1"/>
        <v>0</v>
      </c>
      <c r="AE16" s="574"/>
      <c r="AF16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</f>
        <v/>
      </c>
      <c r="AG16" s="1376" t="str">
        <f>IF($AF16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)</f>
        <v/>
      </c>
      <c r="AH16" s="2010" t="str">
        <f t="shared" si="2"/>
        <v/>
      </c>
      <c r="AI16" s="2010" t="str">
        <f t="shared" si="3"/>
        <v/>
      </c>
      <c r="AJ16" s="2010" t="str">
        <f t="shared" si="4"/>
        <v/>
      </c>
      <c r="AK16" s="2010" t="str">
        <f t="shared" si="5"/>
        <v/>
      </c>
      <c r="AL16" s="2010" t="str">
        <f t="shared" si="6"/>
        <v/>
      </c>
      <c r="AM16" s="2010" t="str">
        <f t="shared" si="7"/>
        <v/>
      </c>
      <c r="AN16" s="2010" t="str">
        <f t="shared" si="8"/>
        <v/>
      </c>
      <c r="AO16" s="2010" t="str">
        <f t="shared" si="9"/>
        <v/>
      </c>
      <c r="AP16" s="2010" t="str">
        <f t="shared" si="10"/>
        <v/>
      </c>
      <c r="AQ16" s="2010" t="str">
        <f t="shared" si="11"/>
        <v/>
      </c>
      <c r="AR16" s="2010" t="str">
        <f t="shared" si="12"/>
        <v/>
      </c>
      <c r="AS16" s="2010" t="str">
        <f t="shared" si="13"/>
        <v/>
      </c>
      <c r="AT16" s="2010" t="str">
        <f t="shared" si="14"/>
        <v/>
      </c>
      <c r="AU16" s="2010" t="str">
        <f t="shared" si="15"/>
        <v/>
      </c>
      <c r="AV16" s="2010" t="str">
        <f t="shared" si="16"/>
        <v/>
      </c>
      <c r="AW16" s="2010" t="str">
        <f t="shared" si="17"/>
        <v/>
      </c>
      <c r="AX16" s="2010" t="str">
        <f t="shared" si="18"/>
        <v/>
      </c>
      <c r="AY16" s="2010" t="str">
        <f t="shared" si="19"/>
        <v/>
      </c>
      <c r="AZ16" s="2010" t="str">
        <f t="shared" si="20"/>
        <v/>
      </c>
      <c r="BA16" s="2010" t="str">
        <f t="shared" si="21"/>
        <v/>
      </c>
      <c r="BB16" s="2010" t="str">
        <f t="shared" si="22"/>
        <v/>
      </c>
      <c r="BC16" s="2010" t="str">
        <f t="shared" si="23"/>
        <v/>
      </c>
      <c r="BD16" s="674" t="str">
        <f t="shared" si="24"/>
        <v/>
      </c>
      <c r="BE16" s="674" t="str">
        <f t="shared" si="25"/>
        <v/>
      </c>
      <c r="BF16" s="674" t="str">
        <f t="shared" si="26"/>
        <v/>
      </c>
      <c r="BG16" s="675" t="str">
        <f t="shared" si="27"/>
        <v/>
      </c>
      <c r="BH16" s="675" t="str">
        <f t="shared" si="28"/>
        <v/>
      </c>
      <c r="BK16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16))),"")</f>
        <v/>
      </c>
      <c r="BL16" s="500" t="str">
        <f t="shared" si="29"/>
        <v/>
      </c>
      <c r="BM16" s="458" t="str">
        <f t="shared" si="30"/>
        <v/>
      </c>
      <c r="BN16" s="501" t="str">
        <f t="shared" si="31"/>
        <v/>
      </c>
    </row>
    <row r="17" spans="1:66" ht="46.5" thickBot="1">
      <c r="A17" s="2257"/>
      <c r="C17" s="40">
        <f>+PP!B35</f>
        <v>12</v>
      </c>
      <c r="D17" s="163" t="str">
        <f>+PP!C35</f>
        <v>BOTON AMARILLO SM ST</v>
      </c>
      <c r="E17" s="2972"/>
      <c r="F17" s="2973"/>
      <c r="G17" s="2973"/>
      <c r="H17" s="2973"/>
      <c r="I17" s="2973"/>
      <c r="J17" s="2973"/>
      <c r="K17" s="2973"/>
      <c r="L17" s="2973"/>
      <c r="M17" s="2973"/>
      <c r="N17" s="2973"/>
      <c r="O17" s="2973"/>
      <c r="P17" s="2973"/>
      <c r="Q17" s="2973"/>
      <c r="R17" s="2975"/>
      <c r="S17" s="2975"/>
      <c r="T17" s="2975"/>
      <c r="U17" s="2975"/>
      <c r="V17" s="2975"/>
      <c r="W17" s="2975"/>
      <c r="X17" s="1008"/>
      <c r="Y17" s="1008"/>
      <c r="Z17" s="1008"/>
      <c r="AA17" s="2990"/>
      <c r="AB17" s="1393">
        <f t="shared" si="32"/>
        <v>0</v>
      </c>
      <c r="AC17" s="150">
        <f t="shared" si="0"/>
        <v>0</v>
      </c>
      <c r="AD17" s="507">
        <f t="shared" si="1"/>
        <v>0</v>
      </c>
      <c r="AE17" s="574"/>
      <c r="AF17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</f>
        <v/>
      </c>
      <c r="AG17" s="1376" t="str">
        <f>IF($AF17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)</f>
        <v/>
      </c>
      <c r="AH17" s="2010" t="str">
        <f t="shared" si="2"/>
        <v/>
      </c>
      <c r="AI17" s="2010" t="str">
        <f t="shared" si="3"/>
        <v/>
      </c>
      <c r="AJ17" s="2010" t="str">
        <f t="shared" si="4"/>
        <v/>
      </c>
      <c r="AK17" s="2010" t="str">
        <f t="shared" si="5"/>
        <v/>
      </c>
      <c r="AL17" s="2010" t="str">
        <f t="shared" si="6"/>
        <v/>
      </c>
      <c r="AM17" s="2010" t="str">
        <f t="shared" si="7"/>
        <v/>
      </c>
      <c r="AN17" s="2010" t="str">
        <f t="shared" si="8"/>
        <v/>
      </c>
      <c r="AO17" s="2010" t="str">
        <f t="shared" si="9"/>
        <v/>
      </c>
      <c r="AP17" s="2010" t="str">
        <f t="shared" si="10"/>
        <v/>
      </c>
      <c r="AQ17" s="2010" t="str">
        <f t="shared" si="11"/>
        <v/>
      </c>
      <c r="AR17" s="2010" t="str">
        <f t="shared" si="12"/>
        <v/>
      </c>
      <c r="AS17" s="2010" t="str">
        <f t="shared" si="13"/>
        <v/>
      </c>
      <c r="AT17" s="2010" t="str">
        <f t="shared" si="14"/>
        <v/>
      </c>
      <c r="AU17" s="2010" t="str">
        <f t="shared" si="15"/>
        <v/>
      </c>
      <c r="AV17" s="2010" t="str">
        <f t="shared" si="16"/>
        <v/>
      </c>
      <c r="AW17" s="2010" t="str">
        <f t="shared" si="17"/>
        <v/>
      </c>
      <c r="AX17" s="2010" t="str">
        <f t="shared" si="18"/>
        <v/>
      </c>
      <c r="AY17" s="2010" t="str">
        <f t="shared" si="19"/>
        <v/>
      </c>
      <c r="AZ17" s="2010" t="str">
        <f t="shared" si="20"/>
        <v/>
      </c>
      <c r="BA17" s="2010" t="str">
        <f t="shared" si="21"/>
        <v/>
      </c>
      <c r="BB17" s="2010" t="str">
        <f t="shared" si="22"/>
        <v/>
      </c>
      <c r="BC17" s="2010" t="str">
        <f t="shared" si="23"/>
        <v/>
      </c>
      <c r="BD17" s="674" t="str">
        <f t="shared" si="24"/>
        <v/>
      </c>
      <c r="BE17" s="674" t="str">
        <f t="shared" si="25"/>
        <v/>
      </c>
      <c r="BF17" s="674" t="str">
        <f t="shared" si="26"/>
        <v/>
      </c>
      <c r="BG17" s="675" t="str">
        <f t="shared" si="27"/>
        <v/>
      </c>
      <c r="BH17" s="675" t="str">
        <f t="shared" si="28"/>
        <v/>
      </c>
      <c r="BK17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17))),"")</f>
        <v/>
      </c>
      <c r="BL17" s="500" t="str">
        <f t="shared" si="29"/>
        <v/>
      </c>
      <c r="BM17" s="458" t="str">
        <f t="shared" si="30"/>
        <v/>
      </c>
      <c r="BN17" s="501" t="str">
        <f t="shared" si="31"/>
        <v/>
      </c>
    </row>
    <row r="18" spans="1:66" ht="41.25" customHeight="1" thickBot="1">
      <c r="A18" s="2257"/>
      <c r="C18" s="526">
        <f>+PP!B36</f>
        <v>13</v>
      </c>
      <c r="D18" s="165" t="str">
        <f>+PP!C36</f>
        <v>CONOS DE POTA</v>
      </c>
      <c r="E18" s="2979"/>
      <c r="F18" s="2980"/>
      <c r="G18" s="2980"/>
      <c r="H18" s="2980"/>
      <c r="I18" s="2980"/>
      <c r="J18" s="2980"/>
      <c r="K18" s="2980"/>
      <c r="L18" s="2980"/>
      <c r="M18" s="2980"/>
      <c r="N18" s="2980"/>
      <c r="O18" s="2980"/>
      <c r="P18" s="2980"/>
      <c r="Q18" s="2980"/>
      <c r="R18" s="2981"/>
      <c r="S18" s="2981"/>
      <c r="T18" s="2981"/>
      <c r="U18" s="2981"/>
      <c r="V18" s="2981"/>
      <c r="W18" s="2981"/>
      <c r="X18" s="1156"/>
      <c r="Y18" s="1156"/>
      <c r="Z18" s="1156"/>
      <c r="AA18" s="2991"/>
      <c r="AB18" s="1697">
        <f t="shared" si="32"/>
        <v>0</v>
      </c>
      <c r="AC18" s="153">
        <f t="shared" si="0"/>
        <v>0</v>
      </c>
      <c r="AD18" s="557">
        <f t="shared" si="1"/>
        <v>0</v>
      </c>
      <c r="AE18" s="574"/>
      <c r="AF18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</f>
        <v/>
      </c>
      <c r="AG18" s="1376" t="str">
        <f>IF($AF18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)</f>
        <v/>
      </c>
      <c r="AH18" s="2010" t="str">
        <f t="shared" si="2"/>
        <v/>
      </c>
      <c r="AI18" s="2010" t="str">
        <f t="shared" si="3"/>
        <v/>
      </c>
      <c r="AJ18" s="2010" t="str">
        <f t="shared" si="4"/>
        <v/>
      </c>
      <c r="AK18" s="2010" t="str">
        <f t="shared" si="5"/>
        <v/>
      </c>
      <c r="AL18" s="2010" t="str">
        <f t="shared" si="6"/>
        <v/>
      </c>
      <c r="AM18" s="2010" t="str">
        <f t="shared" si="7"/>
        <v/>
      </c>
      <c r="AN18" s="2010" t="str">
        <f t="shared" si="8"/>
        <v/>
      </c>
      <c r="AO18" s="2010" t="str">
        <f t="shared" si="9"/>
        <v/>
      </c>
      <c r="AP18" s="2010" t="str">
        <f t="shared" si="10"/>
        <v/>
      </c>
      <c r="AQ18" s="2010" t="str">
        <f t="shared" si="11"/>
        <v/>
      </c>
      <c r="AR18" s="2010" t="str">
        <f t="shared" si="12"/>
        <v/>
      </c>
      <c r="AS18" s="2010" t="str">
        <f t="shared" si="13"/>
        <v/>
      </c>
      <c r="AT18" s="2010" t="str">
        <f t="shared" si="14"/>
        <v/>
      </c>
      <c r="AU18" s="2010" t="str">
        <f t="shared" si="15"/>
        <v/>
      </c>
      <c r="AV18" s="2010" t="str">
        <f t="shared" si="16"/>
        <v/>
      </c>
      <c r="AW18" s="2010" t="str">
        <f t="shared" si="17"/>
        <v/>
      </c>
      <c r="AX18" s="2010" t="str">
        <f t="shared" si="18"/>
        <v/>
      </c>
      <c r="AY18" s="2010" t="str">
        <f t="shared" si="19"/>
        <v/>
      </c>
      <c r="AZ18" s="2010" t="str">
        <f t="shared" si="20"/>
        <v/>
      </c>
      <c r="BA18" s="2010" t="str">
        <f t="shared" si="21"/>
        <v/>
      </c>
      <c r="BB18" s="2010" t="str">
        <f t="shared" si="22"/>
        <v/>
      </c>
      <c r="BC18" s="2010" t="str">
        <f t="shared" si="23"/>
        <v/>
      </c>
      <c r="BD18" s="674" t="str">
        <f t="shared" si="24"/>
        <v/>
      </c>
      <c r="BE18" s="674" t="str">
        <f t="shared" si="25"/>
        <v/>
      </c>
      <c r="BF18" s="674" t="str">
        <f t="shared" si="26"/>
        <v/>
      </c>
      <c r="BG18" s="675" t="str">
        <f t="shared" si="27"/>
        <v/>
      </c>
      <c r="BH18" s="675" t="str">
        <f t="shared" si="28"/>
        <v/>
      </c>
      <c r="BK18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18))),"")</f>
        <v/>
      </c>
      <c r="BL18" s="500" t="str">
        <f t="shared" si="29"/>
        <v/>
      </c>
      <c r="BM18" s="458" t="str">
        <f t="shared" si="30"/>
        <v/>
      </c>
      <c r="BN18" s="501" t="str">
        <f t="shared" si="31"/>
        <v/>
      </c>
    </row>
    <row r="19" spans="1:66" ht="45.75">
      <c r="A19" s="2257"/>
      <c r="C19" s="41">
        <f>+PP!B37</f>
        <v>14</v>
      </c>
      <c r="D19" s="162" t="str">
        <f>+PP!C37</f>
        <v>FILETE C/TT DARUMA</v>
      </c>
      <c r="E19" s="2967"/>
      <c r="F19" s="2968"/>
      <c r="G19" s="2968"/>
      <c r="H19" s="2968"/>
      <c r="I19" s="2968"/>
      <c r="J19" s="2968"/>
      <c r="K19" s="2968"/>
      <c r="L19" s="2968"/>
      <c r="M19" s="2968"/>
      <c r="N19" s="2968"/>
      <c r="O19" s="2968"/>
      <c r="P19" s="2968"/>
      <c r="Q19" s="2968"/>
      <c r="R19" s="2970"/>
      <c r="S19" s="2970"/>
      <c r="T19" s="2970"/>
      <c r="U19" s="2970"/>
      <c r="V19" s="2970"/>
      <c r="W19" s="2970"/>
      <c r="X19" s="1007"/>
      <c r="Y19" s="1007"/>
      <c r="Z19" s="1007"/>
      <c r="AA19" s="2989"/>
      <c r="AB19" s="1391">
        <f t="shared" si="32"/>
        <v>0</v>
      </c>
      <c r="AC19" s="148">
        <f t="shared" si="0"/>
        <v>0</v>
      </c>
      <c r="AD19" s="490">
        <f t="shared" si="1"/>
        <v>0</v>
      </c>
      <c r="AE19" s="574"/>
      <c r="AF19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</f>
        <v/>
      </c>
      <c r="AG19" s="1376" t="str">
        <f>IF($AF19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)</f>
        <v/>
      </c>
      <c r="AH19" s="2010" t="str">
        <f t="shared" si="2"/>
        <v/>
      </c>
      <c r="AI19" s="2010" t="str">
        <f t="shared" si="3"/>
        <v/>
      </c>
      <c r="AJ19" s="2010" t="str">
        <f t="shared" si="4"/>
        <v/>
      </c>
      <c r="AK19" s="2010" t="str">
        <f t="shared" si="5"/>
        <v/>
      </c>
      <c r="AL19" s="2010" t="str">
        <f t="shared" si="6"/>
        <v/>
      </c>
      <c r="AM19" s="2010" t="str">
        <f t="shared" si="7"/>
        <v/>
      </c>
      <c r="AN19" s="2010" t="str">
        <f t="shared" si="8"/>
        <v/>
      </c>
      <c r="AO19" s="2010" t="str">
        <f t="shared" si="9"/>
        <v/>
      </c>
      <c r="AP19" s="2010" t="str">
        <f t="shared" si="10"/>
        <v/>
      </c>
      <c r="AQ19" s="2010" t="str">
        <f t="shared" si="11"/>
        <v/>
      </c>
      <c r="AR19" s="2010" t="str">
        <f t="shared" si="12"/>
        <v/>
      </c>
      <c r="AS19" s="2010" t="str">
        <f t="shared" si="13"/>
        <v/>
      </c>
      <c r="AT19" s="2010" t="str">
        <f t="shared" si="14"/>
        <v/>
      </c>
      <c r="AU19" s="2010" t="str">
        <f t="shared" si="15"/>
        <v/>
      </c>
      <c r="AV19" s="2010" t="str">
        <f t="shared" si="16"/>
        <v/>
      </c>
      <c r="AW19" s="2010" t="str">
        <f t="shared" si="17"/>
        <v/>
      </c>
      <c r="AX19" s="2010" t="str">
        <f t="shared" si="18"/>
        <v/>
      </c>
      <c r="AY19" s="2010" t="str">
        <f t="shared" si="19"/>
        <v/>
      </c>
      <c r="AZ19" s="2010" t="str">
        <f t="shared" si="20"/>
        <v/>
      </c>
      <c r="BA19" s="2010" t="str">
        <f t="shared" si="21"/>
        <v/>
      </c>
      <c r="BB19" s="2010" t="str">
        <f t="shared" si="22"/>
        <v/>
      </c>
      <c r="BC19" s="2010" t="str">
        <f t="shared" si="23"/>
        <v/>
      </c>
      <c r="BD19" s="674" t="str">
        <f t="shared" si="24"/>
        <v/>
      </c>
      <c r="BE19" s="674" t="str">
        <f t="shared" si="25"/>
        <v/>
      </c>
      <c r="BF19" s="674" t="str">
        <f t="shared" si="26"/>
        <v/>
      </c>
      <c r="BG19" s="675" t="str">
        <f t="shared" si="27"/>
        <v/>
      </c>
      <c r="BH19" s="675" t="str">
        <f t="shared" si="28"/>
        <v/>
      </c>
      <c r="BK19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19))),"")</f>
        <v/>
      </c>
      <c r="BL19" s="500" t="str">
        <f t="shared" si="29"/>
        <v/>
      </c>
      <c r="BM19" s="458" t="str">
        <f t="shared" si="30"/>
        <v/>
      </c>
      <c r="BN19" s="501" t="str">
        <f t="shared" si="31"/>
        <v/>
      </c>
    </row>
    <row r="20" spans="1:66" ht="45.75">
      <c r="A20" s="2257"/>
      <c r="C20" s="42">
        <f>+PP!B38</f>
        <v>15</v>
      </c>
      <c r="D20" s="164" t="str">
        <f>+PP!C38</f>
        <v>FILETE C/M C/T TRES PIELES 1.0-2.0 kg/pza</v>
      </c>
      <c r="E20" s="2013"/>
      <c r="F20" s="1802"/>
      <c r="G20" s="1802"/>
      <c r="H20" s="1802"/>
      <c r="I20" s="1802"/>
      <c r="J20" s="1802"/>
      <c r="K20" s="1802"/>
      <c r="L20" s="1802"/>
      <c r="M20" s="1802"/>
      <c r="N20" s="1802"/>
      <c r="O20" s="1802"/>
      <c r="P20" s="1802"/>
      <c r="Q20" s="1802"/>
      <c r="R20" s="1847"/>
      <c r="S20" s="1847"/>
      <c r="T20" s="1847"/>
      <c r="U20" s="1847"/>
      <c r="V20" s="1847"/>
      <c r="W20" s="1847"/>
      <c r="X20" s="388"/>
      <c r="Y20" s="388"/>
      <c r="Z20" s="388"/>
      <c r="AA20" s="1873"/>
      <c r="AB20" s="1392">
        <f t="shared" si="32"/>
        <v>0</v>
      </c>
      <c r="AC20" s="149">
        <f t="shared" si="0"/>
        <v>0</v>
      </c>
      <c r="AD20" s="552">
        <f t="shared" si="1"/>
        <v>0</v>
      </c>
      <c r="AE20" s="574"/>
      <c r="AF20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</f>
        <v/>
      </c>
      <c r="AG20" s="1376" t="str">
        <f>IF($AF20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)</f>
        <v/>
      </c>
      <c r="AH20" s="2010" t="str">
        <f t="shared" si="2"/>
        <v/>
      </c>
      <c r="AI20" s="2010" t="str">
        <f t="shared" si="3"/>
        <v/>
      </c>
      <c r="AJ20" s="2010" t="str">
        <f t="shared" si="4"/>
        <v/>
      </c>
      <c r="AK20" s="2010" t="str">
        <f t="shared" si="5"/>
        <v/>
      </c>
      <c r="AL20" s="2010" t="str">
        <f t="shared" si="6"/>
        <v/>
      </c>
      <c r="AM20" s="2010" t="str">
        <f t="shared" si="7"/>
        <v/>
      </c>
      <c r="AN20" s="2010" t="str">
        <f t="shared" si="8"/>
        <v/>
      </c>
      <c r="AO20" s="2010" t="str">
        <f t="shared" si="9"/>
        <v/>
      </c>
      <c r="AP20" s="2010" t="str">
        <f t="shared" si="10"/>
        <v/>
      </c>
      <c r="AQ20" s="2010" t="str">
        <f t="shared" si="11"/>
        <v/>
      </c>
      <c r="AR20" s="2010" t="str">
        <f t="shared" si="12"/>
        <v/>
      </c>
      <c r="AS20" s="2010" t="str">
        <f t="shared" si="13"/>
        <v/>
      </c>
      <c r="AT20" s="2010" t="str">
        <f t="shared" si="14"/>
        <v/>
      </c>
      <c r="AU20" s="2010" t="str">
        <f t="shared" si="15"/>
        <v/>
      </c>
      <c r="AV20" s="2010" t="str">
        <f t="shared" si="16"/>
        <v/>
      </c>
      <c r="AW20" s="2010" t="str">
        <f t="shared" si="17"/>
        <v/>
      </c>
      <c r="AX20" s="2010" t="str">
        <f t="shared" si="18"/>
        <v/>
      </c>
      <c r="AY20" s="2010" t="str">
        <f t="shared" si="19"/>
        <v/>
      </c>
      <c r="AZ20" s="2010" t="str">
        <f t="shared" si="20"/>
        <v/>
      </c>
      <c r="BA20" s="2010" t="str">
        <f t="shared" si="21"/>
        <v/>
      </c>
      <c r="BB20" s="2010" t="str">
        <f t="shared" si="22"/>
        <v/>
      </c>
      <c r="BC20" s="2010" t="str">
        <f t="shared" si="23"/>
        <v/>
      </c>
      <c r="BD20" s="674" t="str">
        <f t="shared" si="24"/>
        <v/>
      </c>
      <c r="BE20" s="674" t="str">
        <f t="shared" si="25"/>
        <v/>
      </c>
      <c r="BF20" s="674" t="str">
        <f t="shared" si="26"/>
        <v/>
      </c>
      <c r="BG20" s="675" t="str">
        <f t="shared" si="27"/>
        <v/>
      </c>
      <c r="BH20" s="675" t="str">
        <f t="shared" si="28"/>
        <v/>
      </c>
      <c r="BK20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20))),"")</f>
        <v/>
      </c>
      <c r="BL20" s="500" t="str">
        <f t="shared" si="29"/>
        <v/>
      </c>
      <c r="BM20" s="458" t="str">
        <f t="shared" si="30"/>
        <v/>
      </c>
      <c r="BN20" s="501" t="str">
        <f t="shared" si="31"/>
        <v/>
      </c>
    </row>
    <row r="21" spans="1:66" ht="45.75">
      <c r="A21" s="2257"/>
      <c r="C21" s="42">
        <f>+PP!B39</f>
        <v>16</v>
      </c>
      <c r="D21" s="164" t="str">
        <f>+PP!C39</f>
        <v>FILETE C/M C/T TRES PIELES 2.0-4.0 kg/pza</v>
      </c>
      <c r="E21" s="2013"/>
      <c r="F21" s="1802"/>
      <c r="G21" s="1802"/>
      <c r="H21" s="1802"/>
      <c r="I21" s="1802"/>
      <c r="J21" s="1802"/>
      <c r="K21" s="1802"/>
      <c r="L21" s="1802"/>
      <c r="M21" s="1802"/>
      <c r="N21" s="1802"/>
      <c r="O21" s="1802"/>
      <c r="P21" s="1802"/>
      <c r="Q21" s="1802"/>
      <c r="R21" s="1847"/>
      <c r="S21" s="1847"/>
      <c r="T21" s="1847"/>
      <c r="U21" s="1847"/>
      <c r="V21" s="1847"/>
      <c r="W21" s="1847"/>
      <c r="X21" s="388"/>
      <c r="Y21" s="388"/>
      <c r="Z21" s="388"/>
      <c r="AA21" s="1873"/>
      <c r="AB21" s="1392">
        <f t="shared" si="32"/>
        <v>0</v>
      </c>
      <c r="AC21" s="149">
        <f t="shared" si="0"/>
        <v>0</v>
      </c>
      <c r="AD21" s="552">
        <f t="shared" si="1"/>
        <v>0</v>
      </c>
      <c r="AE21" s="574"/>
      <c r="AF21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</f>
        <v/>
      </c>
      <c r="AG21" s="1376" t="str">
        <f>IF($AF21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)</f>
        <v/>
      </c>
      <c r="AH21" s="2010" t="str">
        <f t="shared" si="2"/>
        <v/>
      </c>
      <c r="AI21" s="2010" t="str">
        <f t="shared" si="3"/>
        <v/>
      </c>
      <c r="AJ21" s="2010" t="str">
        <f t="shared" si="4"/>
        <v/>
      </c>
      <c r="AK21" s="2010" t="str">
        <f t="shared" si="5"/>
        <v/>
      </c>
      <c r="AL21" s="2010" t="str">
        <f t="shared" si="6"/>
        <v/>
      </c>
      <c r="AM21" s="2010" t="str">
        <f t="shared" si="7"/>
        <v/>
      </c>
      <c r="AN21" s="2010" t="str">
        <f t="shared" si="8"/>
        <v/>
      </c>
      <c r="AO21" s="2010" t="str">
        <f t="shared" si="9"/>
        <v/>
      </c>
      <c r="AP21" s="2010" t="str">
        <f t="shared" si="10"/>
        <v/>
      </c>
      <c r="AQ21" s="2010" t="str">
        <f t="shared" si="11"/>
        <v/>
      </c>
      <c r="AR21" s="2010" t="str">
        <f t="shared" si="12"/>
        <v/>
      </c>
      <c r="AS21" s="2010" t="str">
        <f t="shared" si="13"/>
        <v/>
      </c>
      <c r="AT21" s="2010" t="str">
        <f t="shared" si="14"/>
        <v/>
      </c>
      <c r="AU21" s="2010" t="str">
        <f t="shared" si="15"/>
        <v/>
      </c>
      <c r="AV21" s="2010" t="str">
        <f t="shared" si="16"/>
        <v/>
      </c>
      <c r="AW21" s="2010" t="str">
        <f t="shared" si="17"/>
        <v/>
      </c>
      <c r="AX21" s="2010" t="str">
        <f t="shared" si="18"/>
        <v/>
      </c>
      <c r="AY21" s="2010" t="str">
        <f t="shared" si="19"/>
        <v/>
      </c>
      <c r="AZ21" s="2010" t="str">
        <f t="shared" si="20"/>
        <v/>
      </c>
      <c r="BA21" s="2010" t="str">
        <f t="shared" si="21"/>
        <v/>
      </c>
      <c r="BB21" s="2010" t="str">
        <f t="shared" si="22"/>
        <v/>
      </c>
      <c r="BC21" s="2010" t="str">
        <f t="shared" si="23"/>
        <v/>
      </c>
      <c r="BD21" s="674" t="str">
        <f t="shared" si="24"/>
        <v/>
      </c>
      <c r="BE21" s="674" t="str">
        <f t="shared" si="25"/>
        <v/>
      </c>
      <c r="BF21" s="674" t="str">
        <f t="shared" si="26"/>
        <v/>
      </c>
      <c r="BG21" s="675" t="str">
        <f t="shared" si="27"/>
        <v/>
      </c>
      <c r="BH21" s="675" t="str">
        <f t="shared" si="28"/>
        <v/>
      </c>
      <c r="BK21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21))),"")</f>
        <v/>
      </c>
      <c r="BL21" s="500" t="str">
        <f t="shared" si="29"/>
        <v/>
      </c>
      <c r="BM21" s="458" t="str">
        <f t="shared" si="30"/>
        <v/>
      </c>
      <c r="BN21" s="501" t="str">
        <f t="shared" si="31"/>
        <v/>
      </c>
    </row>
    <row r="22" spans="1:66" ht="42" customHeight="1">
      <c r="A22" s="2257"/>
      <c r="C22" s="42">
        <f>+PP!B40</f>
        <v>17</v>
      </c>
      <c r="D22" s="164" t="str">
        <f>+PP!C40</f>
        <v>FILETE C/M C/T ENTERO BLANCO 1.0-2.0 kg/pza</v>
      </c>
      <c r="E22" s="2013"/>
      <c r="F22" s="1802"/>
      <c r="G22" s="1802"/>
      <c r="H22" s="1802"/>
      <c r="I22" s="1802"/>
      <c r="J22" s="1802"/>
      <c r="K22" s="1802"/>
      <c r="L22" s="1802"/>
      <c r="M22" s="1802"/>
      <c r="N22" s="1802"/>
      <c r="O22" s="1802"/>
      <c r="P22" s="1802"/>
      <c r="Q22" s="1802"/>
      <c r="R22" s="1847"/>
      <c r="S22" s="1847"/>
      <c r="T22" s="1847"/>
      <c r="U22" s="1847"/>
      <c r="V22" s="1847"/>
      <c r="W22" s="1847"/>
      <c r="X22" s="388"/>
      <c r="Y22" s="388"/>
      <c r="Z22" s="388"/>
      <c r="AA22" s="1873"/>
      <c r="AB22" s="1392">
        <f t="shared" si="32"/>
        <v>0</v>
      </c>
      <c r="AC22" s="149">
        <f t="shared" si="0"/>
        <v>0</v>
      </c>
      <c r="AD22" s="552">
        <f t="shared" si="1"/>
        <v>0</v>
      </c>
      <c r="AE22" s="574"/>
      <c r="AF22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</f>
        <v/>
      </c>
      <c r="AG22" s="1376" t="str">
        <f>IF($AF22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)</f>
        <v/>
      </c>
      <c r="AH22" s="1377" t="str">
        <f t="shared" si="2"/>
        <v/>
      </c>
      <c r="AI22" s="1377" t="str">
        <f t="shared" si="3"/>
        <v/>
      </c>
      <c r="AJ22" s="1377" t="str">
        <f t="shared" si="4"/>
        <v/>
      </c>
      <c r="AK22" s="1377" t="str">
        <f t="shared" si="5"/>
        <v/>
      </c>
      <c r="AL22" s="1377" t="str">
        <f t="shared" si="6"/>
        <v/>
      </c>
      <c r="AM22" s="1377" t="str">
        <f t="shared" si="7"/>
        <v/>
      </c>
      <c r="AN22" s="1377" t="str">
        <f t="shared" si="8"/>
        <v/>
      </c>
      <c r="AO22" s="1377" t="str">
        <f t="shared" si="9"/>
        <v/>
      </c>
      <c r="AP22" s="1377" t="str">
        <f t="shared" si="10"/>
        <v/>
      </c>
      <c r="AQ22" s="1377" t="str">
        <f t="shared" si="11"/>
        <v/>
      </c>
      <c r="AR22" s="1377" t="str">
        <f t="shared" si="12"/>
        <v/>
      </c>
      <c r="AS22" s="1377" t="str">
        <f t="shared" si="13"/>
        <v/>
      </c>
      <c r="AT22" s="1377" t="str">
        <f t="shared" si="14"/>
        <v/>
      </c>
      <c r="AU22" s="1377" t="str">
        <f t="shared" si="15"/>
        <v/>
      </c>
      <c r="AV22" s="1377" t="str">
        <f t="shared" si="16"/>
        <v/>
      </c>
      <c r="AW22" s="1377" t="str">
        <f t="shared" si="17"/>
        <v/>
      </c>
      <c r="AX22" s="1377" t="str">
        <f t="shared" si="18"/>
        <v/>
      </c>
      <c r="AY22" s="1377" t="str">
        <f t="shared" si="19"/>
        <v/>
      </c>
      <c r="AZ22" s="1377" t="str">
        <f t="shared" si="20"/>
        <v/>
      </c>
      <c r="BA22" s="1377" t="str">
        <f t="shared" si="21"/>
        <v/>
      </c>
      <c r="BB22" s="1377" t="str">
        <f t="shared" si="22"/>
        <v/>
      </c>
      <c r="BC22" s="1377" t="str">
        <f t="shared" si="23"/>
        <v/>
      </c>
      <c r="BD22" s="674" t="str">
        <f t="shared" si="24"/>
        <v/>
      </c>
      <c r="BE22" s="674" t="str">
        <f t="shared" si="25"/>
        <v/>
      </c>
      <c r="BF22" s="674" t="str">
        <f t="shared" si="26"/>
        <v/>
      </c>
      <c r="BG22" s="675" t="str">
        <f t="shared" si="27"/>
        <v/>
      </c>
      <c r="BH22" s="675" t="str">
        <f t="shared" si="28"/>
        <v/>
      </c>
      <c r="BK22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22))),"")</f>
        <v/>
      </c>
      <c r="BL22" s="500" t="str">
        <f t="shared" si="29"/>
        <v/>
      </c>
      <c r="BM22" s="458" t="str">
        <f t="shared" si="30"/>
        <v/>
      </c>
      <c r="BN22" s="501" t="str">
        <f t="shared" si="31"/>
        <v/>
      </c>
    </row>
    <row r="23" spans="1:66" ht="51" customHeight="1">
      <c r="A23" s="2257"/>
      <c r="C23" s="42">
        <f>+PP!B41</f>
        <v>18</v>
      </c>
      <c r="D23" s="164" t="str">
        <f>+PP!C41</f>
        <v>FILETE C/M C/T ENTERO BLANCO 2.0-4.0 kg/pza</v>
      </c>
      <c r="E23" s="2013"/>
      <c r="F23" s="1802"/>
      <c r="G23" s="1802"/>
      <c r="H23" s="1802"/>
      <c r="I23" s="1802"/>
      <c r="J23" s="1802"/>
      <c r="K23" s="1802"/>
      <c r="L23" s="1802"/>
      <c r="M23" s="1802"/>
      <c r="N23" s="1802"/>
      <c r="O23" s="1802"/>
      <c r="P23" s="1802"/>
      <c r="Q23" s="1802"/>
      <c r="R23" s="1847"/>
      <c r="S23" s="1847"/>
      <c r="T23" s="1847"/>
      <c r="U23" s="1847"/>
      <c r="V23" s="1847"/>
      <c r="W23" s="1847"/>
      <c r="X23" s="388"/>
      <c r="Y23" s="388"/>
      <c r="Z23" s="388"/>
      <c r="AA23" s="1873"/>
      <c r="AB23" s="1392">
        <f t="shared" si="32"/>
        <v>0</v>
      </c>
      <c r="AC23" s="149">
        <f t="shared" si="0"/>
        <v>0</v>
      </c>
      <c r="AD23" s="552">
        <f t="shared" si="1"/>
        <v>0</v>
      </c>
      <c r="AE23" s="574"/>
      <c r="AF23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</f>
        <v/>
      </c>
      <c r="AG23" s="1376" t="str">
        <f>IF($AF23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)</f>
        <v/>
      </c>
      <c r="AH23" s="1377" t="str">
        <f t="shared" si="2"/>
        <v/>
      </c>
      <c r="AI23" s="1377" t="str">
        <f t="shared" si="3"/>
        <v/>
      </c>
      <c r="AJ23" s="1377" t="str">
        <f t="shared" si="4"/>
        <v/>
      </c>
      <c r="AK23" s="1377" t="str">
        <f t="shared" si="5"/>
        <v/>
      </c>
      <c r="AL23" s="1377" t="str">
        <f t="shared" si="6"/>
        <v/>
      </c>
      <c r="AM23" s="1377" t="str">
        <f t="shared" si="7"/>
        <v/>
      </c>
      <c r="AN23" s="1377" t="str">
        <f t="shared" si="8"/>
        <v/>
      </c>
      <c r="AO23" s="1377" t="str">
        <f t="shared" si="9"/>
        <v/>
      </c>
      <c r="AP23" s="1377" t="str">
        <f t="shared" si="10"/>
        <v/>
      </c>
      <c r="AQ23" s="1377" t="str">
        <f t="shared" si="11"/>
        <v/>
      </c>
      <c r="AR23" s="1377" t="str">
        <f t="shared" si="12"/>
        <v/>
      </c>
      <c r="AS23" s="1377" t="str">
        <f t="shared" si="13"/>
        <v/>
      </c>
      <c r="AT23" s="1377" t="str">
        <f t="shared" si="14"/>
        <v/>
      </c>
      <c r="AU23" s="1377" t="str">
        <f t="shared" si="15"/>
        <v/>
      </c>
      <c r="AV23" s="1377" t="str">
        <f t="shared" si="16"/>
        <v/>
      </c>
      <c r="AW23" s="1377" t="str">
        <f t="shared" si="17"/>
        <v/>
      </c>
      <c r="AX23" s="1377" t="str">
        <f t="shared" si="18"/>
        <v/>
      </c>
      <c r="AY23" s="1377" t="str">
        <f t="shared" si="19"/>
        <v/>
      </c>
      <c r="AZ23" s="1377" t="str">
        <f t="shared" si="20"/>
        <v/>
      </c>
      <c r="BA23" s="1377" t="str">
        <f t="shared" si="21"/>
        <v/>
      </c>
      <c r="BB23" s="1377" t="str">
        <f t="shared" si="22"/>
        <v/>
      </c>
      <c r="BC23" s="1377" t="str">
        <f t="shared" si="23"/>
        <v/>
      </c>
      <c r="BD23" s="674" t="str">
        <f t="shared" si="24"/>
        <v/>
      </c>
      <c r="BE23" s="674" t="str">
        <f t="shared" si="25"/>
        <v/>
      </c>
      <c r="BF23" s="674" t="str">
        <f t="shared" si="26"/>
        <v/>
      </c>
      <c r="BG23" s="675" t="str">
        <f t="shared" si="27"/>
        <v/>
      </c>
      <c r="BH23" s="675" t="str">
        <f t="shared" si="28"/>
        <v/>
      </c>
      <c r="BK23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23))),"")</f>
        <v/>
      </c>
      <c r="BL23" s="500" t="str">
        <f t="shared" si="29"/>
        <v/>
      </c>
      <c r="BM23" s="458" t="str">
        <f t="shared" si="30"/>
        <v/>
      </c>
      <c r="BN23" s="501" t="str">
        <f t="shared" si="31"/>
        <v/>
      </c>
    </row>
    <row r="24" spans="1:66" ht="46.5" thickBot="1">
      <c r="A24" s="2257"/>
      <c r="C24" s="40">
        <f>+PP!B42</f>
        <v>19</v>
      </c>
      <c r="D24" s="163" t="str">
        <f>+PP!C42</f>
        <v>FILETE LP C/M C/T ENTERO 2.0-4.0 kg/pza</v>
      </c>
      <c r="E24" s="2972"/>
      <c r="F24" s="2973"/>
      <c r="G24" s="2973"/>
      <c r="H24" s="2973"/>
      <c r="I24" s="2973"/>
      <c r="J24" s="2973"/>
      <c r="K24" s="2973"/>
      <c r="L24" s="2973"/>
      <c r="M24" s="2973"/>
      <c r="N24" s="2973"/>
      <c r="O24" s="2973"/>
      <c r="P24" s="2973"/>
      <c r="Q24" s="2973"/>
      <c r="R24" s="2975"/>
      <c r="S24" s="2975"/>
      <c r="T24" s="2975"/>
      <c r="U24" s="2975"/>
      <c r="V24" s="2975"/>
      <c r="W24" s="2975"/>
      <c r="X24" s="1008"/>
      <c r="Y24" s="1008"/>
      <c r="Z24" s="1008"/>
      <c r="AA24" s="2990"/>
      <c r="AB24" s="1393">
        <f t="shared" si="32"/>
        <v>0</v>
      </c>
      <c r="AC24" s="150">
        <f t="shared" si="0"/>
        <v>0</v>
      </c>
      <c r="AD24" s="507">
        <f t="shared" si="1"/>
        <v>0</v>
      </c>
      <c r="AE24" s="574"/>
      <c r="AF24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</f>
        <v/>
      </c>
      <c r="AG24" s="1376" t="str">
        <f>IF($AF24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)</f>
        <v/>
      </c>
      <c r="AH24" s="1377" t="str">
        <f t="shared" si="2"/>
        <v/>
      </c>
      <c r="AI24" s="1377" t="str">
        <f t="shared" si="3"/>
        <v/>
      </c>
      <c r="AJ24" s="1377" t="str">
        <f t="shared" si="4"/>
        <v/>
      </c>
      <c r="AK24" s="1377" t="str">
        <f t="shared" si="5"/>
        <v/>
      </c>
      <c r="AL24" s="1377" t="str">
        <f t="shared" si="6"/>
        <v/>
      </c>
      <c r="AM24" s="1377" t="str">
        <f t="shared" si="7"/>
        <v/>
      </c>
      <c r="AN24" s="1377" t="str">
        <f t="shared" si="8"/>
        <v/>
      </c>
      <c r="AO24" s="1377" t="str">
        <f t="shared" si="9"/>
        <v/>
      </c>
      <c r="AP24" s="1377" t="str">
        <f t="shared" si="10"/>
        <v/>
      </c>
      <c r="AQ24" s="1377" t="str">
        <f t="shared" si="11"/>
        <v/>
      </c>
      <c r="AR24" s="1377" t="str">
        <f t="shared" si="12"/>
        <v/>
      </c>
      <c r="AS24" s="1377" t="str">
        <f t="shared" si="13"/>
        <v/>
      </c>
      <c r="AT24" s="1377" t="str">
        <f t="shared" si="14"/>
        <v/>
      </c>
      <c r="AU24" s="1377" t="str">
        <f t="shared" si="15"/>
        <v/>
      </c>
      <c r="AV24" s="1377" t="str">
        <f t="shared" si="16"/>
        <v/>
      </c>
      <c r="AW24" s="1377" t="str">
        <f t="shared" si="17"/>
        <v/>
      </c>
      <c r="AX24" s="1377" t="str">
        <f t="shared" si="18"/>
        <v/>
      </c>
      <c r="AY24" s="1377" t="str">
        <f t="shared" si="19"/>
        <v/>
      </c>
      <c r="AZ24" s="1377" t="str">
        <f t="shared" si="20"/>
        <v/>
      </c>
      <c r="BA24" s="1377" t="str">
        <f t="shared" si="21"/>
        <v/>
      </c>
      <c r="BB24" s="1377" t="str">
        <f t="shared" si="22"/>
        <v/>
      </c>
      <c r="BC24" s="1377" t="str">
        <f t="shared" si="23"/>
        <v/>
      </c>
      <c r="BD24" s="674" t="str">
        <f t="shared" si="24"/>
        <v/>
      </c>
      <c r="BE24" s="674" t="str">
        <f t="shared" si="25"/>
        <v/>
      </c>
      <c r="BF24" s="674" t="str">
        <f t="shared" si="26"/>
        <v/>
      </c>
      <c r="BG24" s="675" t="str">
        <f t="shared" si="27"/>
        <v/>
      </c>
      <c r="BH24" s="675" t="str">
        <f t="shared" si="28"/>
        <v/>
      </c>
      <c r="BK24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24))),"")</f>
        <v/>
      </c>
      <c r="BL24" s="500" t="str">
        <f t="shared" si="29"/>
        <v/>
      </c>
      <c r="BM24" s="458" t="str">
        <f t="shared" si="30"/>
        <v/>
      </c>
      <c r="BN24" s="501" t="str">
        <f t="shared" si="31"/>
        <v/>
      </c>
    </row>
    <row r="25" spans="1:66" ht="45.75">
      <c r="A25" s="2257"/>
      <c r="C25" s="41">
        <f>+PP!B43</f>
        <v>20</v>
      </c>
      <c r="D25" s="162" t="str">
        <f>+PP!C43</f>
        <v>MANTO BLANCO C/M C/T 500-1000 g/pza</v>
      </c>
      <c r="E25" s="2967"/>
      <c r="F25" s="2968"/>
      <c r="G25" s="2968"/>
      <c r="H25" s="2968"/>
      <c r="I25" s="2968"/>
      <c r="J25" s="2968"/>
      <c r="K25" s="2968"/>
      <c r="L25" s="2968"/>
      <c r="M25" s="2968"/>
      <c r="N25" s="2968"/>
      <c r="O25" s="2968"/>
      <c r="P25" s="2968"/>
      <c r="Q25" s="2968"/>
      <c r="R25" s="2970"/>
      <c r="S25" s="2970"/>
      <c r="T25" s="2970"/>
      <c r="U25" s="2970"/>
      <c r="V25" s="2970"/>
      <c r="W25" s="2970"/>
      <c r="X25" s="1007"/>
      <c r="Y25" s="1007"/>
      <c r="Z25" s="1007"/>
      <c r="AA25" s="2989"/>
      <c r="AB25" s="1391">
        <f t="shared" si="32"/>
        <v>0</v>
      </c>
      <c r="AC25" s="148">
        <f t="shared" si="0"/>
        <v>0</v>
      </c>
      <c r="AD25" s="145">
        <f t="shared" si="1"/>
        <v>0</v>
      </c>
      <c r="AE25" s="574"/>
      <c r="AF25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</f>
        <v/>
      </c>
      <c r="AG25" s="1376" t="str">
        <f>IF($AF25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)</f>
        <v/>
      </c>
      <c r="AH25" s="1377" t="str">
        <f t="shared" si="2"/>
        <v/>
      </c>
      <c r="AI25" s="1377" t="str">
        <f t="shared" si="3"/>
        <v/>
      </c>
      <c r="AJ25" s="1377" t="str">
        <f t="shared" si="4"/>
        <v/>
      </c>
      <c r="AK25" s="1377" t="str">
        <f t="shared" si="5"/>
        <v/>
      </c>
      <c r="AL25" s="1377" t="str">
        <f t="shared" si="6"/>
        <v/>
      </c>
      <c r="AM25" s="1377" t="str">
        <f t="shared" si="7"/>
        <v/>
      </c>
      <c r="AN25" s="1377" t="str">
        <f t="shared" si="8"/>
        <v/>
      </c>
      <c r="AO25" s="1377" t="str">
        <f t="shared" si="9"/>
        <v/>
      </c>
      <c r="AP25" s="1377" t="str">
        <f t="shared" si="10"/>
        <v/>
      </c>
      <c r="AQ25" s="1377" t="str">
        <f t="shared" si="11"/>
        <v/>
      </c>
      <c r="AR25" s="1377" t="str">
        <f t="shared" si="12"/>
        <v/>
      </c>
      <c r="AS25" s="1377" t="str">
        <f t="shared" si="13"/>
        <v/>
      </c>
      <c r="AT25" s="1377" t="str">
        <f t="shared" si="14"/>
        <v/>
      </c>
      <c r="AU25" s="1377" t="str">
        <f t="shared" si="15"/>
        <v/>
      </c>
      <c r="AV25" s="1377" t="str">
        <f t="shared" si="16"/>
        <v/>
      </c>
      <c r="AW25" s="1377" t="str">
        <f t="shared" si="17"/>
        <v/>
      </c>
      <c r="AX25" s="1377" t="str">
        <f t="shared" si="18"/>
        <v/>
      </c>
      <c r="AY25" s="1377" t="str">
        <f t="shared" si="19"/>
        <v/>
      </c>
      <c r="AZ25" s="1377" t="str">
        <f t="shared" si="20"/>
        <v/>
      </c>
      <c r="BA25" s="1377" t="str">
        <f t="shared" si="21"/>
        <v/>
      </c>
      <c r="BB25" s="1377" t="str">
        <f t="shared" si="22"/>
        <v/>
      </c>
      <c r="BC25" s="1377" t="str">
        <f t="shared" si="23"/>
        <v/>
      </c>
      <c r="BD25" s="674" t="str">
        <f t="shared" si="24"/>
        <v/>
      </c>
      <c r="BE25" s="674" t="str">
        <f t="shared" si="25"/>
        <v/>
      </c>
      <c r="BF25" s="674" t="str">
        <f t="shared" si="26"/>
        <v/>
      </c>
      <c r="BG25" s="675" t="str">
        <f t="shared" si="27"/>
        <v/>
      </c>
      <c r="BH25" s="675" t="str">
        <f t="shared" si="28"/>
        <v/>
      </c>
      <c r="BK25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25))),"")</f>
        <v/>
      </c>
      <c r="BL25" s="500" t="str">
        <f t="shared" si="29"/>
        <v/>
      </c>
      <c r="BM25" s="458" t="str">
        <f t="shared" si="30"/>
        <v/>
      </c>
      <c r="BN25" s="501" t="str">
        <f t="shared" si="31"/>
        <v/>
      </c>
    </row>
    <row r="26" spans="1:66" ht="45.75">
      <c r="A26" s="2257"/>
      <c r="C26" s="42">
        <f>+PP!B44</f>
        <v>21</v>
      </c>
      <c r="D26" s="164" t="str">
        <f>+PP!C44</f>
        <v>MANTO BLANCO C/M C/T 1.0-2.0 kg/pza</v>
      </c>
      <c r="E26" s="2013"/>
      <c r="F26" s="1802"/>
      <c r="G26" s="1802"/>
      <c r="H26" s="1802"/>
      <c r="I26" s="1802"/>
      <c r="J26" s="1802"/>
      <c r="K26" s="1802"/>
      <c r="L26" s="1802"/>
      <c r="M26" s="1802"/>
      <c r="N26" s="1802"/>
      <c r="O26" s="1802"/>
      <c r="P26" s="1802"/>
      <c r="Q26" s="1802"/>
      <c r="R26" s="1847"/>
      <c r="S26" s="1847"/>
      <c r="T26" s="1847"/>
      <c r="U26" s="1847"/>
      <c r="V26" s="1847"/>
      <c r="W26" s="1847"/>
      <c r="X26" s="388"/>
      <c r="Y26" s="388"/>
      <c r="Z26" s="388"/>
      <c r="AA26" s="1873"/>
      <c r="AB26" s="1392">
        <f t="shared" si="32"/>
        <v>0</v>
      </c>
      <c r="AC26" s="149">
        <f t="shared" si="0"/>
        <v>0</v>
      </c>
      <c r="AD26" s="146">
        <f t="shared" si="1"/>
        <v>0</v>
      </c>
      <c r="AE26" s="574"/>
      <c r="AF26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</f>
        <v/>
      </c>
      <c r="AG26" s="1376" t="str">
        <f>IF($AF26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)</f>
        <v/>
      </c>
      <c r="AH26" s="1377" t="str">
        <f t="shared" si="2"/>
        <v/>
      </c>
      <c r="AI26" s="1377" t="str">
        <f t="shared" si="3"/>
        <v/>
      </c>
      <c r="AJ26" s="1377" t="str">
        <f t="shared" si="4"/>
        <v/>
      </c>
      <c r="AK26" s="1377" t="str">
        <f t="shared" si="5"/>
        <v/>
      </c>
      <c r="AL26" s="1377" t="str">
        <f t="shared" si="6"/>
        <v/>
      </c>
      <c r="AM26" s="1377" t="str">
        <f t="shared" si="7"/>
        <v/>
      </c>
      <c r="AN26" s="1377" t="str">
        <f t="shared" si="8"/>
        <v/>
      </c>
      <c r="AO26" s="1377" t="str">
        <f t="shared" si="9"/>
        <v/>
      </c>
      <c r="AP26" s="1377" t="str">
        <f t="shared" si="10"/>
        <v/>
      </c>
      <c r="AQ26" s="1377" t="str">
        <f t="shared" si="11"/>
        <v/>
      </c>
      <c r="AR26" s="1377" t="str">
        <f t="shared" si="12"/>
        <v/>
      </c>
      <c r="AS26" s="1377" t="str">
        <f t="shared" si="13"/>
        <v/>
      </c>
      <c r="AT26" s="1377" t="str">
        <f t="shared" si="14"/>
        <v/>
      </c>
      <c r="AU26" s="1377" t="str">
        <f t="shared" si="15"/>
        <v/>
      </c>
      <c r="AV26" s="1377" t="str">
        <f t="shared" si="16"/>
        <v/>
      </c>
      <c r="AW26" s="1377" t="str">
        <f t="shared" si="17"/>
        <v/>
      </c>
      <c r="AX26" s="1377" t="str">
        <f t="shared" si="18"/>
        <v/>
      </c>
      <c r="AY26" s="1377" t="str">
        <f t="shared" si="19"/>
        <v/>
      </c>
      <c r="AZ26" s="1377" t="str">
        <f t="shared" si="20"/>
        <v/>
      </c>
      <c r="BA26" s="1377" t="str">
        <f t="shared" si="21"/>
        <v/>
      </c>
      <c r="BB26" s="1377" t="str">
        <f t="shared" si="22"/>
        <v/>
      </c>
      <c r="BC26" s="1377" t="str">
        <f t="shared" si="23"/>
        <v/>
      </c>
      <c r="BD26" s="674" t="str">
        <f t="shared" si="24"/>
        <v/>
      </c>
      <c r="BE26" s="674" t="str">
        <f t="shared" si="25"/>
        <v/>
      </c>
      <c r="BF26" s="674" t="str">
        <f t="shared" si="26"/>
        <v/>
      </c>
      <c r="BG26" s="675" t="str">
        <f t="shared" si="27"/>
        <v/>
      </c>
      <c r="BH26" s="675" t="str">
        <f t="shared" si="28"/>
        <v/>
      </c>
      <c r="BK26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26))),"")</f>
        <v/>
      </c>
      <c r="BL26" s="500" t="str">
        <f t="shared" si="29"/>
        <v/>
      </c>
      <c r="BM26" s="458" t="str">
        <f t="shared" si="30"/>
        <v/>
      </c>
      <c r="BN26" s="501" t="str">
        <f t="shared" si="31"/>
        <v/>
      </c>
    </row>
    <row r="27" spans="1:66" ht="46.5" thickBot="1">
      <c r="A27" s="2257"/>
      <c r="C27" s="42">
        <f>+PP!B45</f>
        <v>22</v>
      </c>
      <c r="D27" s="164" t="str">
        <f>+PP!C45</f>
        <v>MANTO BLANCO C/M C/T 2.0-4.0 kg/pza</v>
      </c>
      <c r="E27" s="2013"/>
      <c r="F27" s="1802"/>
      <c r="G27" s="1802"/>
      <c r="H27" s="1802"/>
      <c r="I27" s="1802"/>
      <c r="J27" s="1802"/>
      <c r="K27" s="1802"/>
      <c r="L27" s="1802"/>
      <c r="M27" s="1802"/>
      <c r="N27" s="1802"/>
      <c r="O27" s="1802"/>
      <c r="P27" s="1802"/>
      <c r="Q27" s="1802"/>
      <c r="R27" s="1847"/>
      <c r="S27" s="1847"/>
      <c r="T27" s="1847"/>
      <c r="U27" s="1847"/>
      <c r="V27" s="1847"/>
      <c r="W27" s="1847"/>
      <c r="X27" s="388"/>
      <c r="Y27" s="388"/>
      <c r="Z27" s="388"/>
      <c r="AA27" s="1873"/>
      <c r="AB27" s="1392">
        <f t="shared" si="32"/>
        <v>0</v>
      </c>
      <c r="AC27" s="149">
        <f t="shared" si="0"/>
        <v>0</v>
      </c>
      <c r="AD27" s="146">
        <f t="shared" si="1"/>
        <v>0</v>
      </c>
      <c r="AE27" s="574"/>
      <c r="AF27" s="1513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</f>
        <v/>
      </c>
      <c r="AG27" s="1514" t="str">
        <f>IF($AF27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)</f>
        <v/>
      </c>
      <c r="AH27" s="1377" t="str">
        <f t="shared" si="2"/>
        <v/>
      </c>
      <c r="AI27" s="1377" t="str">
        <f t="shared" si="3"/>
        <v/>
      </c>
      <c r="AJ27" s="1377" t="str">
        <f t="shared" si="4"/>
        <v/>
      </c>
      <c r="AK27" s="1377" t="str">
        <f t="shared" si="5"/>
        <v/>
      </c>
      <c r="AL27" s="1377" t="str">
        <f t="shared" si="6"/>
        <v/>
      </c>
      <c r="AM27" s="1377" t="str">
        <f t="shared" si="7"/>
        <v/>
      </c>
      <c r="AN27" s="1377" t="str">
        <f t="shared" si="8"/>
        <v/>
      </c>
      <c r="AO27" s="1377" t="str">
        <f t="shared" si="9"/>
        <v/>
      </c>
      <c r="AP27" s="1377" t="str">
        <f t="shared" si="10"/>
        <v/>
      </c>
      <c r="AQ27" s="1377" t="str">
        <f t="shared" si="11"/>
        <v/>
      </c>
      <c r="AR27" s="1377" t="str">
        <f t="shared" si="12"/>
        <v/>
      </c>
      <c r="AS27" s="1377" t="str">
        <f t="shared" si="13"/>
        <v/>
      </c>
      <c r="AT27" s="1377" t="str">
        <f t="shared" si="14"/>
        <v/>
      </c>
      <c r="AU27" s="1377" t="str">
        <f t="shared" si="15"/>
        <v/>
      </c>
      <c r="AV27" s="1377" t="str">
        <f t="shared" si="16"/>
        <v/>
      </c>
      <c r="AW27" s="1377" t="str">
        <f t="shared" si="17"/>
        <v/>
      </c>
      <c r="AX27" s="1377" t="str">
        <f t="shared" si="18"/>
        <v/>
      </c>
      <c r="AY27" s="1377" t="str">
        <f t="shared" si="19"/>
        <v/>
      </c>
      <c r="AZ27" s="1377" t="str">
        <f t="shared" si="20"/>
        <v/>
      </c>
      <c r="BA27" s="1377" t="str">
        <f t="shared" si="21"/>
        <v/>
      </c>
      <c r="BB27" s="1377" t="str">
        <f t="shared" si="22"/>
        <v/>
      </c>
      <c r="BC27" s="1377" t="str">
        <f t="shared" si="23"/>
        <v/>
      </c>
      <c r="BD27" s="674" t="str">
        <f t="shared" si="24"/>
        <v/>
      </c>
      <c r="BE27" s="674" t="str">
        <f t="shared" si="25"/>
        <v/>
      </c>
      <c r="BF27" s="674" t="str">
        <f t="shared" si="26"/>
        <v/>
      </c>
      <c r="BG27" s="675" t="str">
        <f t="shared" si="27"/>
        <v/>
      </c>
      <c r="BH27" s="675" t="str">
        <f t="shared" si="28"/>
        <v/>
      </c>
      <c r="BK27" s="51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27))),"")</f>
        <v/>
      </c>
      <c r="BL27" s="516" t="str">
        <f t="shared" si="29"/>
        <v/>
      </c>
      <c r="BM27" s="517" t="str">
        <f t="shared" si="30"/>
        <v/>
      </c>
      <c r="BN27" s="518" t="str">
        <f t="shared" si="31"/>
        <v/>
      </c>
    </row>
    <row r="28" spans="1:66" ht="46.5" thickBot="1">
      <c r="A28" s="2257"/>
      <c r="C28" s="42">
        <f>+PP!B46</f>
        <v>23</v>
      </c>
      <c r="D28" s="164" t="str">
        <f>+PP!C46</f>
        <v>MANTO LP C/M C/T 500-1000 g/pza</v>
      </c>
      <c r="E28" s="2013"/>
      <c r="F28" s="1802"/>
      <c r="G28" s="1802"/>
      <c r="H28" s="1802"/>
      <c r="I28" s="1802"/>
      <c r="J28" s="1802"/>
      <c r="K28" s="1802"/>
      <c r="L28" s="1802"/>
      <c r="M28" s="1802"/>
      <c r="N28" s="1802"/>
      <c r="O28" s="1802"/>
      <c r="P28" s="1802"/>
      <c r="Q28" s="1802"/>
      <c r="R28" s="1802"/>
      <c r="S28" s="1847"/>
      <c r="T28" s="1847"/>
      <c r="U28" s="1847"/>
      <c r="V28" s="1847"/>
      <c r="W28" s="1847"/>
      <c r="X28" s="388"/>
      <c r="Y28" s="388"/>
      <c r="Z28" s="388"/>
      <c r="AA28" s="1873"/>
      <c r="AB28" s="1392">
        <f t="shared" si="32"/>
        <v>0</v>
      </c>
      <c r="AC28" s="149">
        <f t="shared" si="0"/>
        <v>0</v>
      </c>
      <c r="AD28" s="146">
        <f t="shared" si="1"/>
        <v>0</v>
      </c>
      <c r="AE28" s="574"/>
      <c r="AF28" s="593"/>
      <c r="AG28" s="594" t="s">
        <v>3</v>
      </c>
      <c r="AH28" s="670" t="str">
        <f t="shared" si="2"/>
        <v/>
      </c>
      <c r="AI28" s="670" t="str">
        <f t="shared" si="3"/>
        <v/>
      </c>
      <c r="AJ28" s="670" t="str">
        <f t="shared" si="4"/>
        <v/>
      </c>
      <c r="AK28" s="670" t="str">
        <f t="shared" si="5"/>
        <v/>
      </c>
      <c r="AL28" s="670" t="str">
        <f t="shared" si="6"/>
        <v/>
      </c>
      <c r="AM28" s="670" t="str">
        <f t="shared" si="7"/>
        <v/>
      </c>
      <c r="AN28" s="670" t="str">
        <f t="shared" si="8"/>
        <v/>
      </c>
      <c r="AO28" s="670" t="str">
        <f t="shared" si="9"/>
        <v/>
      </c>
      <c r="AP28" s="670" t="str">
        <f t="shared" si="10"/>
        <v/>
      </c>
      <c r="AQ28" s="670" t="str">
        <f t="shared" si="11"/>
        <v/>
      </c>
      <c r="AR28" s="670" t="str">
        <f t="shared" si="12"/>
        <v/>
      </c>
      <c r="AS28" s="670" t="str">
        <f t="shared" si="13"/>
        <v/>
      </c>
      <c r="AT28" s="670" t="str">
        <f t="shared" si="14"/>
        <v/>
      </c>
      <c r="AU28" s="670" t="str">
        <f t="shared" si="15"/>
        <v/>
      </c>
      <c r="AV28" s="670" t="str">
        <f t="shared" si="16"/>
        <v/>
      </c>
      <c r="AW28" s="670" t="str">
        <f t="shared" si="17"/>
        <v/>
      </c>
      <c r="AX28" s="670" t="str">
        <f t="shared" si="18"/>
        <v/>
      </c>
      <c r="AY28" s="670" t="str">
        <f t="shared" si="19"/>
        <v/>
      </c>
      <c r="AZ28" s="670" t="str">
        <f t="shared" si="20"/>
        <v/>
      </c>
      <c r="BA28" s="670" t="str">
        <f t="shared" si="21"/>
        <v/>
      </c>
      <c r="BB28" s="670" t="str">
        <f t="shared" si="22"/>
        <v/>
      </c>
      <c r="BC28" s="670" t="str">
        <f t="shared" si="23"/>
        <v/>
      </c>
      <c r="BD28" s="671">
        <f t="shared" ref="BD28:BF28" si="33">SUM(BD6:BD27)</f>
        <v>0</v>
      </c>
      <c r="BE28" s="671">
        <f t="shared" si="33"/>
        <v>0</v>
      </c>
      <c r="BF28" s="671">
        <f t="shared" si="33"/>
        <v>0</v>
      </c>
      <c r="BG28" s="672" t="str">
        <f>IF(COUNTIF(BG6:BG27,"REVISIÓN*")&gt;0,"REVISAR","OK")</f>
        <v>OK</v>
      </c>
      <c r="BH28" s="673" t="str">
        <f>IF(COUNTIF(BH6:BH27,"SÍ")&gt;0,"HAY","NO")</f>
        <v>NO</v>
      </c>
      <c r="BK28" s="2517" t="s">
        <v>514</v>
      </c>
      <c r="BL28" s="2518"/>
      <c r="BM28" s="559">
        <f>COUNT($BK$6:$BK$27)</f>
        <v>0</v>
      </c>
      <c r="BN28" s="560"/>
    </row>
    <row r="29" spans="1:66" ht="45.75">
      <c r="A29" s="2257"/>
      <c r="C29" s="42">
        <f>+PP!B47</f>
        <v>24</v>
      </c>
      <c r="D29" s="164" t="str">
        <f>+PP!C47</f>
        <v>MANTO LP C/M C/T 1.0-2.0 Kg/pza</v>
      </c>
      <c r="E29" s="2013"/>
      <c r="F29" s="1802"/>
      <c r="G29" s="1802"/>
      <c r="H29" s="1802"/>
      <c r="I29" s="1802"/>
      <c r="J29" s="1802"/>
      <c r="K29" s="1802"/>
      <c r="L29" s="1802"/>
      <c r="M29" s="1802"/>
      <c r="N29" s="1802"/>
      <c r="O29" s="1802"/>
      <c r="P29" s="1802"/>
      <c r="Q29" s="1802"/>
      <c r="R29" s="1802"/>
      <c r="S29" s="1847"/>
      <c r="T29" s="1847"/>
      <c r="U29" s="1847"/>
      <c r="V29" s="1847"/>
      <c r="W29" s="1847"/>
      <c r="X29" s="388"/>
      <c r="Y29" s="388"/>
      <c r="Z29" s="388"/>
      <c r="AA29" s="1873"/>
      <c r="AB29" s="1823">
        <f t="shared" si="32"/>
        <v>0</v>
      </c>
      <c r="AC29" s="169">
        <f t="shared" si="0"/>
        <v>0</v>
      </c>
      <c r="AD29" s="168">
        <f t="shared" si="1"/>
        <v>0</v>
      </c>
      <c r="AE29" s="590"/>
      <c r="AF29"/>
      <c r="AG29"/>
      <c r="AH29" s="668" t="str">
        <f t="shared" si="2"/>
        <v/>
      </c>
      <c r="AI29" s="668" t="str">
        <f t="shared" si="3"/>
        <v/>
      </c>
      <c r="AJ29" s="668" t="str">
        <f t="shared" si="4"/>
        <v/>
      </c>
      <c r="AK29" s="668" t="str">
        <f t="shared" si="5"/>
        <v/>
      </c>
      <c r="AL29" s="668" t="str">
        <f t="shared" si="6"/>
        <v/>
      </c>
      <c r="AM29" s="668" t="str">
        <f t="shared" si="7"/>
        <v/>
      </c>
      <c r="AN29" s="668" t="str">
        <f t="shared" si="8"/>
        <v/>
      </c>
      <c r="AO29" s="668" t="str">
        <f t="shared" si="9"/>
        <v/>
      </c>
      <c r="AP29" s="668" t="str">
        <f t="shared" si="10"/>
        <v/>
      </c>
      <c r="AQ29" s="668" t="str">
        <f t="shared" si="11"/>
        <v/>
      </c>
      <c r="AR29" s="668" t="str">
        <f t="shared" si="12"/>
        <v/>
      </c>
      <c r="AS29" s="668" t="str">
        <f t="shared" si="13"/>
        <v/>
      </c>
      <c r="AT29" s="668" t="str">
        <f t="shared" si="14"/>
        <v/>
      </c>
      <c r="AU29" s="668" t="str">
        <f t="shared" si="15"/>
        <v/>
      </c>
      <c r="AV29" s="668" t="str">
        <f t="shared" si="16"/>
        <v/>
      </c>
      <c r="AW29" s="668" t="str">
        <f t="shared" si="17"/>
        <v/>
      </c>
      <c r="AX29" s="668" t="str">
        <f t="shared" si="18"/>
        <v/>
      </c>
      <c r="AY29" s="668" t="str">
        <f t="shared" si="19"/>
        <v/>
      </c>
      <c r="AZ29" s="668" t="str">
        <f t="shared" si="20"/>
        <v/>
      </c>
      <c r="BA29" s="668" t="str">
        <f t="shared" si="21"/>
        <v/>
      </c>
      <c r="BB29" s="668" t="str">
        <f t="shared" si="22"/>
        <v/>
      </c>
      <c r="BC29" s="668" t="str">
        <f t="shared" si="23"/>
        <v/>
      </c>
      <c r="BD29"/>
      <c r="BE29"/>
      <c r="BF29"/>
      <c r="BG29"/>
      <c r="BH29"/>
    </row>
    <row r="30" spans="1:66" ht="46.5" thickBot="1">
      <c r="A30" s="2257"/>
      <c r="C30" s="537">
        <f>+PP!B48</f>
        <v>25</v>
      </c>
      <c r="D30" s="167" t="str">
        <f>+PP!C48</f>
        <v>MANTO LP C/M C/T 2.0-4.0 Kg/pza</v>
      </c>
      <c r="E30" s="2014"/>
      <c r="F30" s="1829"/>
      <c r="G30" s="1829"/>
      <c r="H30" s="1829"/>
      <c r="I30" s="1829"/>
      <c r="J30" s="1829"/>
      <c r="K30" s="1829"/>
      <c r="L30" s="1829"/>
      <c r="M30" s="1829"/>
      <c r="N30" s="1829"/>
      <c r="O30" s="1829"/>
      <c r="P30" s="1829"/>
      <c r="Q30" s="1829"/>
      <c r="R30" s="1829"/>
      <c r="S30" s="1850"/>
      <c r="T30" s="1850"/>
      <c r="U30" s="1850"/>
      <c r="V30" s="1850"/>
      <c r="W30" s="1850"/>
      <c r="X30" s="1154"/>
      <c r="Y30" s="1154"/>
      <c r="Z30" s="1154"/>
      <c r="AA30" s="2992"/>
      <c r="AB30" s="1821">
        <f t="shared" si="32"/>
        <v>0</v>
      </c>
      <c r="AC30" s="155">
        <f t="shared" si="0"/>
        <v>0</v>
      </c>
      <c r="AD30" s="156">
        <f t="shared" si="1"/>
        <v>0</v>
      </c>
      <c r="AE30" s="574"/>
      <c r="AF30"/>
      <c r="AG30"/>
      <c r="AH30" s="668" t="str">
        <f t="shared" si="2"/>
        <v/>
      </c>
      <c r="AI30" s="668" t="str">
        <f t="shared" si="3"/>
        <v/>
      </c>
      <c r="AJ30" s="668" t="str">
        <f t="shared" si="4"/>
        <v/>
      </c>
      <c r="AK30" s="668" t="str">
        <f t="shared" si="5"/>
        <v/>
      </c>
      <c r="AL30" s="668" t="str">
        <f t="shared" si="6"/>
        <v/>
      </c>
      <c r="AM30" s="668" t="str">
        <f t="shared" si="7"/>
        <v/>
      </c>
      <c r="AN30" s="668" t="str">
        <f t="shared" si="8"/>
        <v/>
      </c>
      <c r="AO30" s="668" t="str">
        <f t="shared" si="9"/>
        <v/>
      </c>
      <c r="AP30" s="668" t="str">
        <f t="shared" si="10"/>
        <v/>
      </c>
      <c r="AQ30" s="668" t="str">
        <f t="shared" si="11"/>
        <v/>
      </c>
      <c r="AR30" s="668" t="str">
        <f t="shared" si="12"/>
        <v/>
      </c>
      <c r="AS30" s="668" t="str">
        <f t="shared" si="13"/>
        <v/>
      </c>
      <c r="AT30" s="668" t="str">
        <f t="shared" si="14"/>
        <v/>
      </c>
      <c r="AU30" s="668" t="str">
        <f t="shared" si="15"/>
        <v/>
      </c>
      <c r="AV30" s="668" t="str">
        <f t="shared" si="16"/>
        <v/>
      </c>
      <c r="AW30" s="668" t="str">
        <f t="shared" si="17"/>
        <v/>
      </c>
      <c r="AX30" s="668" t="str">
        <f t="shared" si="18"/>
        <v/>
      </c>
      <c r="AY30" s="668" t="str">
        <f t="shared" si="19"/>
        <v/>
      </c>
      <c r="AZ30" s="668" t="str">
        <f t="shared" si="20"/>
        <v/>
      </c>
      <c r="BA30" s="668" t="str">
        <f t="shared" si="21"/>
        <v/>
      </c>
      <c r="BB30" s="668" t="str">
        <f t="shared" si="22"/>
        <v/>
      </c>
      <c r="BC30" s="668" t="str">
        <f t="shared" si="23"/>
        <v/>
      </c>
      <c r="BD30"/>
      <c r="BE30"/>
      <c r="BF30"/>
      <c r="BG30"/>
      <c r="BH30"/>
    </row>
    <row r="31" spans="1:66" ht="45.75">
      <c r="A31" s="2257"/>
      <c r="C31" s="41">
        <f>+PP!B49</f>
        <v>26</v>
      </c>
      <c r="D31" s="162" t="str">
        <f>+PP!C49</f>
        <v>NUCA C/C CERRADO 0-100 g/pza</v>
      </c>
      <c r="E31" s="2967"/>
      <c r="F31" s="2968"/>
      <c r="G31" s="2968"/>
      <c r="H31" s="2968"/>
      <c r="I31" s="2968"/>
      <c r="J31" s="2968"/>
      <c r="K31" s="2968"/>
      <c r="L31" s="2968"/>
      <c r="M31" s="2968"/>
      <c r="N31" s="2968"/>
      <c r="O31" s="2968"/>
      <c r="P31" s="2968"/>
      <c r="Q31" s="2968"/>
      <c r="R31" s="2968"/>
      <c r="S31" s="2970"/>
      <c r="T31" s="2970"/>
      <c r="U31" s="2970"/>
      <c r="V31" s="2970"/>
      <c r="W31" s="2970"/>
      <c r="X31" s="1007"/>
      <c r="Y31" s="1007"/>
      <c r="Z31" s="1007"/>
      <c r="AA31" s="2993"/>
      <c r="AB31" s="148">
        <f t="shared" si="32"/>
        <v>0</v>
      </c>
      <c r="AC31" s="148">
        <f t="shared" si="0"/>
        <v>0</v>
      </c>
      <c r="AD31" s="145">
        <f t="shared" si="1"/>
        <v>0</v>
      </c>
      <c r="AE31" s="574"/>
      <c r="AF31"/>
      <c r="AG31"/>
      <c r="AH31" s="668" t="str">
        <f t="shared" si="2"/>
        <v/>
      </c>
      <c r="AI31" s="668" t="str">
        <f t="shared" si="3"/>
        <v/>
      </c>
      <c r="AJ31" s="668" t="str">
        <f t="shared" si="4"/>
        <v/>
      </c>
      <c r="AK31" s="668" t="str">
        <f t="shared" si="5"/>
        <v/>
      </c>
      <c r="AL31" s="668" t="str">
        <f t="shared" si="6"/>
        <v/>
      </c>
      <c r="AM31" s="668" t="str">
        <f t="shared" si="7"/>
        <v/>
      </c>
      <c r="AN31" s="668" t="str">
        <f t="shared" si="8"/>
        <v/>
      </c>
      <c r="AO31" s="668" t="str">
        <f t="shared" si="9"/>
        <v/>
      </c>
      <c r="AP31" s="668" t="str">
        <f t="shared" si="10"/>
        <v/>
      </c>
      <c r="AQ31" s="668" t="str">
        <f t="shared" si="11"/>
        <v/>
      </c>
      <c r="AR31" s="668" t="str">
        <f t="shared" si="12"/>
        <v/>
      </c>
      <c r="AS31" s="668" t="str">
        <f t="shared" si="13"/>
        <v/>
      </c>
      <c r="AT31" s="668" t="str">
        <f t="shared" si="14"/>
        <v/>
      </c>
      <c r="AU31" s="668" t="str">
        <f t="shared" si="15"/>
        <v/>
      </c>
      <c r="AV31" s="668" t="str">
        <f t="shared" si="16"/>
        <v/>
      </c>
      <c r="AW31" s="668" t="str">
        <f t="shared" si="17"/>
        <v/>
      </c>
      <c r="AX31" s="668" t="str">
        <f t="shared" si="18"/>
        <v/>
      </c>
      <c r="AY31" s="668" t="str">
        <f t="shared" si="19"/>
        <v/>
      </c>
      <c r="AZ31" s="668" t="str">
        <f t="shared" si="20"/>
        <v/>
      </c>
      <c r="BA31" s="668" t="str">
        <f t="shared" si="21"/>
        <v/>
      </c>
      <c r="BB31" s="668" t="str">
        <f t="shared" si="22"/>
        <v/>
      </c>
      <c r="BC31" s="668" t="str">
        <f t="shared" si="23"/>
        <v/>
      </c>
      <c r="BD31"/>
      <c r="BE31"/>
      <c r="BF31"/>
      <c r="BG31"/>
      <c r="BH31"/>
    </row>
    <row r="32" spans="1:66" ht="45.75">
      <c r="A32" s="2257"/>
      <c r="C32" s="42">
        <f>+PP!B50</f>
        <v>27</v>
      </c>
      <c r="D32" s="164" t="str">
        <f>+PP!C50</f>
        <v>NUCA C/C ABIERTO 100-300 g/pza</v>
      </c>
      <c r="E32" s="2013"/>
      <c r="F32" s="1802"/>
      <c r="G32" s="1802"/>
      <c r="H32" s="1802"/>
      <c r="I32" s="1802"/>
      <c r="J32" s="1802"/>
      <c r="K32" s="1802"/>
      <c r="L32" s="1802"/>
      <c r="M32" s="1802"/>
      <c r="N32" s="1802"/>
      <c r="O32" s="1802"/>
      <c r="P32" s="1802"/>
      <c r="Q32" s="1802"/>
      <c r="R32" s="1802"/>
      <c r="S32" s="1847"/>
      <c r="T32" s="1847"/>
      <c r="U32" s="1847"/>
      <c r="V32" s="1847"/>
      <c r="W32" s="1847"/>
      <c r="X32" s="388"/>
      <c r="Y32" s="388"/>
      <c r="Z32" s="388"/>
      <c r="AA32" s="1504"/>
      <c r="AB32" s="149">
        <f t="shared" si="32"/>
        <v>0</v>
      </c>
      <c r="AC32" s="149">
        <f t="shared" si="0"/>
        <v>0</v>
      </c>
      <c r="AD32" s="146">
        <f t="shared" si="1"/>
        <v>0</v>
      </c>
      <c r="AE32" s="574"/>
      <c r="AF32"/>
      <c r="AG32"/>
      <c r="AH32" s="668" t="str">
        <f t="shared" si="2"/>
        <v/>
      </c>
      <c r="AI32" s="668" t="str">
        <f t="shared" si="3"/>
        <v/>
      </c>
      <c r="AJ32" s="668" t="str">
        <f t="shared" si="4"/>
        <v/>
      </c>
      <c r="AK32" s="668" t="str">
        <f t="shared" si="5"/>
        <v/>
      </c>
      <c r="AL32" s="668" t="str">
        <f t="shared" si="6"/>
        <v/>
      </c>
      <c r="AM32" s="668" t="str">
        <f t="shared" si="7"/>
        <v/>
      </c>
      <c r="AN32" s="668" t="str">
        <f t="shared" si="8"/>
        <v/>
      </c>
      <c r="AO32" s="668" t="str">
        <f t="shared" si="9"/>
        <v/>
      </c>
      <c r="AP32" s="668" t="str">
        <f t="shared" si="10"/>
        <v/>
      </c>
      <c r="AQ32" s="668" t="str">
        <f t="shared" si="11"/>
        <v/>
      </c>
      <c r="AR32" s="668" t="str">
        <f t="shared" si="12"/>
        <v/>
      </c>
      <c r="AS32" s="668" t="str">
        <f t="shared" si="13"/>
        <v/>
      </c>
      <c r="AT32" s="668" t="str">
        <f t="shared" si="14"/>
        <v/>
      </c>
      <c r="AU32" s="668" t="str">
        <f t="shared" si="15"/>
        <v/>
      </c>
      <c r="AV32" s="668" t="str">
        <f t="shared" si="16"/>
        <v/>
      </c>
      <c r="AW32" s="668" t="str">
        <f t="shared" si="17"/>
        <v/>
      </c>
      <c r="AX32" s="668" t="str">
        <f t="shared" si="18"/>
        <v/>
      </c>
      <c r="AY32" s="668" t="str">
        <f t="shared" si="19"/>
        <v/>
      </c>
      <c r="AZ32" s="668" t="str">
        <f t="shared" si="20"/>
        <v/>
      </c>
      <c r="BA32" s="668" t="str">
        <f t="shared" si="21"/>
        <v/>
      </c>
      <c r="BB32" s="668" t="str">
        <f t="shared" si="22"/>
        <v/>
      </c>
      <c r="BC32" s="668" t="str">
        <f t="shared" si="23"/>
        <v/>
      </c>
      <c r="BD32"/>
      <c r="BE32"/>
      <c r="BF32"/>
      <c r="BG32"/>
      <c r="BH32"/>
    </row>
    <row r="33" spans="1:60" ht="45.75">
      <c r="A33" s="2257"/>
      <c r="C33" s="42">
        <f>+PP!B51</f>
        <v>28</v>
      </c>
      <c r="D33" s="164" t="str">
        <f>+PP!C51</f>
        <v>NUCA C/C ABIERTO 300-500 g/pza</v>
      </c>
      <c r="E33" s="2013"/>
      <c r="F33" s="1802"/>
      <c r="G33" s="1802"/>
      <c r="H33" s="1802"/>
      <c r="I33" s="1802"/>
      <c r="J33" s="1802"/>
      <c r="K33" s="1802"/>
      <c r="L33" s="1802"/>
      <c r="M33" s="1802"/>
      <c r="N33" s="1802"/>
      <c r="O33" s="1802"/>
      <c r="P33" s="1802"/>
      <c r="Q33" s="1802"/>
      <c r="R33" s="1802"/>
      <c r="S33" s="1847"/>
      <c r="T33" s="1847"/>
      <c r="U33" s="1847"/>
      <c r="V33" s="1847"/>
      <c r="W33" s="1847"/>
      <c r="X33" s="388"/>
      <c r="Y33" s="388"/>
      <c r="Z33" s="388"/>
      <c r="AA33" s="1504"/>
      <c r="AB33" s="149">
        <f t="shared" si="32"/>
        <v>0</v>
      </c>
      <c r="AC33" s="149">
        <f t="shared" si="0"/>
        <v>0</v>
      </c>
      <c r="AD33" s="146">
        <f t="shared" si="1"/>
        <v>0</v>
      </c>
      <c r="AE33" s="574"/>
      <c r="AF33"/>
      <c r="AG33"/>
      <c r="AH33" s="668" t="str">
        <f t="shared" si="2"/>
        <v/>
      </c>
      <c r="AI33" s="668" t="str">
        <f t="shared" si="3"/>
        <v/>
      </c>
      <c r="AJ33" s="668" t="str">
        <f t="shared" si="4"/>
        <v/>
      </c>
      <c r="AK33" s="668" t="str">
        <f t="shared" si="5"/>
        <v/>
      </c>
      <c r="AL33" s="668" t="str">
        <f t="shared" si="6"/>
        <v/>
      </c>
      <c r="AM33" s="668" t="str">
        <f t="shared" si="7"/>
        <v/>
      </c>
      <c r="AN33" s="668" t="str">
        <f t="shared" si="8"/>
        <v/>
      </c>
      <c r="AO33" s="668" t="str">
        <f t="shared" si="9"/>
        <v/>
      </c>
      <c r="AP33" s="668" t="str">
        <f t="shared" si="10"/>
        <v/>
      </c>
      <c r="AQ33" s="668" t="str">
        <f t="shared" si="11"/>
        <v/>
      </c>
      <c r="AR33" s="668" t="str">
        <f t="shared" si="12"/>
        <v/>
      </c>
      <c r="AS33" s="668" t="str">
        <f t="shared" si="13"/>
        <v/>
      </c>
      <c r="AT33" s="668" t="str">
        <f t="shared" si="14"/>
        <v/>
      </c>
      <c r="AU33" s="668" t="str">
        <f t="shared" si="15"/>
        <v/>
      </c>
      <c r="AV33" s="668" t="str">
        <f t="shared" si="16"/>
        <v/>
      </c>
      <c r="AW33" s="668" t="str">
        <f t="shared" si="17"/>
        <v/>
      </c>
      <c r="AX33" s="668" t="str">
        <f t="shared" si="18"/>
        <v/>
      </c>
      <c r="AY33" s="668" t="str">
        <f t="shared" si="19"/>
        <v/>
      </c>
      <c r="AZ33" s="668" t="str">
        <f t="shared" si="20"/>
        <v/>
      </c>
      <c r="BA33" s="668" t="str">
        <f t="shared" si="21"/>
        <v/>
      </c>
      <c r="BB33" s="668" t="str">
        <f t="shared" si="22"/>
        <v/>
      </c>
      <c r="BC33" s="668" t="str">
        <f t="shared" si="23"/>
        <v/>
      </c>
      <c r="BD33"/>
      <c r="BE33"/>
      <c r="BF33"/>
      <c r="BG33"/>
      <c r="BH33"/>
    </row>
    <row r="34" spans="1:60" ht="45.75">
      <c r="A34" s="2257"/>
      <c r="C34" s="42">
        <f>+PP!B52</f>
        <v>29</v>
      </c>
      <c r="D34" s="164" t="str">
        <f>+PP!C52</f>
        <v>NUCA C/C ABIERTO 500-1000 g/pza</v>
      </c>
      <c r="E34" s="2013"/>
      <c r="F34" s="1802"/>
      <c r="G34" s="1802"/>
      <c r="H34" s="1802"/>
      <c r="I34" s="1802"/>
      <c r="J34" s="1802"/>
      <c r="K34" s="1802"/>
      <c r="L34" s="1802"/>
      <c r="M34" s="1802"/>
      <c r="N34" s="1802"/>
      <c r="O34" s="1802"/>
      <c r="P34" s="1802"/>
      <c r="Q34" s="1802"/>
      <c r="R34" s="1802"/>
      <c r="S34" s="1847"/>
      <c r="T34" s="1847"/>
      <c r="U34" s="1847"/>
      <c r="V34" s="1849"/>
      <c r="W34" s="1847"/>
      <c r="X34" s="388"/>
      <c r="Y34" s="388"/>
      <c r="Z34" s="388"/>
      <c r="AA34" s="1504"/>
      <c r="AB34" s="149">
        <f t="shared" si="32"/>
        <v>0</v>
      </c>
      <c r="AC34" s="149">
        <f t="shared" si="0"/>
        <v>0</v>
      </c>
      <c r="AD34" s="146">
        <f t="shared" si="1"/>
        <v>0</v>
      </c>
      <c r="AE34" s="574"/>
      <c r="AF34"/>
      <c r="AG34"/>
      <c r="AH34" s="668" t="str">
        <f t="shared" si="2"/>
        <v/>
      </c>
      <c r="AI34" s="668" t="str">
        <f t="shared" si="3"/>
        <v/>
      </c>
      <c r="AJ34" s="668" t="str">
        <f t="shared" si="4"/>
        <v/>
      </c>
      <c r="AK34" s="668" t="str">
        <f t="shared" si="5"/>
        <v/>
      </c>
      <c r="AL34" s="668" t="str">
        <f t="shared" si="6"/>
        <v/>
      </c>
      <c r="AM34" s="668" t="str">
        <f t="shared" si="7"/>
        <v/>
      </c>
      <c r="AN34" s="668" t="str">
        <f t="shared" si="8"/>
        <v/>
      </c>
      <c r="AO34" s="668" t="str">
        <f t="shared" si="9"/>
        <v/>
      </c>
      <c r="AP34" s="668" t="str">
        <f t="shared" si="10"/>
        <v/>
      </c>
      <c r="AQ34" s="668" t="str">
        <f t="shared" si="11"/>
        <v/>
      </c>
      <c r="AR34" s="668" t="str">
        <f t="shared" si="12"/>
        <v/>
      </c>
      <c r="AS34" s="668" t="str">
        <f t="shared" si="13"/>
        <v/>
      </c>
      <c r="AT34" s="668" t="str">
        <f t="shared" si="14"/>
        <v/>
      </c>
      <c r="AU34" s="668" t="str">
        <f t="shared" si="15"/>
        <v/>
      </c>
      <c r="AV34" s="668" t="str">
        <f t="shared" si="16"/>
        <v/>
      </c>
      <c r="AW34" s="668" t="str">
        <f t="shared" si="17"/>
        <v/>
      </c>
      <c r="AX34" s="668" t="str">
        <f t="shared" si="18"/>
        <v/>
      </c>
      <c r="AY34" s="668" t="str">
        <f t="shared" si="19"/>
        <v/>
      </c>
      <c r="AZ34" s="668" t="str">
        <f t="shared" si="20"/>
        <v/>
      </c>
      <c r="BA34" s="668" t="str">
        <f t="shared" si="21"/>
        <v/>
      </c>
      <c r="BB34" s="668" t="str">
        <f t="shared" si="22"/>
        <v/>
      </c>
      <c r="BC34" s="668" t="str">
        <f t="shared" si="23"/>
        <v/>
      </c>
      <c r="BD34"/>
      <c r="BE34"/>
      <c r="BF34"/>
      <c r="BG34"/>
      <c r="BH34"/>
    </row>
    <row r="35" spans="1:60" ht="46.5" thickBot="1">
      <c r="A35" s="2257"/>
      <c r="C35" s="537">
        <f>+PP!B53</f>
        <v>30</v>
      </c>
      <c r="D35" s="167" t="str">
        <f>+PP!C53</f>
        <v>NUCA C/C ABIERTO 1.0 - UP kg/pza</v>
      </c>
      <c r="E35" s="2014"/>
      <c r="F35" s="1829"/>
      <c r="G35" s="1829"/>
      <c r="H35" s="1829"/>
      <c r="I35" s="1829"/>
      <c r="J35" s="1829"/>
      <c r="K35" s="1829"/>
      <c r="L35" s="1829"/>
      <c r="M35" s="1829"/>
      <c r="N35" s="1829"/>
      <c r="O35" s="1829"/>
      <c r="P35" s="1829"/>
      <c r="Q35" s="1829"/>
      <c r="R35" s="1829"/>
      <c r="S35" s="1850"/>
      <c r="T35" s="1850"/>
      <c r="U35" s="1850"/>
      <c r="V35" s="1850"/>
      <c r="W35" s="1850"/>
      <c r="X35" s="1154"/>
      <c r="Y35" s="1154"/>
      <c r="Z35" s="1154"/>
      <c r="AA35" s="1505"/>
      <c r="AB35" s="155">
        <f t="shared" si="32"/>
        <v>0</v>
      </c>
      <c r="AC35" s="150">
        <f t="shared" si="0"/>
        <v>0</v>
      </c>
      <c r="AD35" s="156">
        <f t="shared" si="1"/>
        <v>0</v>
      </c>
      <c r="AE35" s="574"/>
      <c r="AF35"/>
      <c r="AG35"/>
      <c r="AH35" s="668" t="str">
        <f t="shared" si="2"/>
        <v/>
      </c>
      <c r="AI35" s="668" t="str">
        <f t="shared" si="3"/>
        <v/>
      </c>
      <c r="AJ35" s="668" t="str">
        <f t="shared" si="4"/>
        <v/>
      </c>
      <c r="AK35" s="668" t="str">
        <f t="shared" si="5"/>
        <v/>
      </c>
      <c r="AL35" s="668" t="str">
        <f t="shared" si="6"/>
        <v/>
      </c>
      <c r="AM35" s="668" t="str">
        <f t="shared" si="7"/>
        <v/>
      </c>
      <c r="AN35" s="668" t="str">
        <f t="shared" si="8"/>
        <v/>
      </c>
      <c r="AO35" s="668" t="str">
        <f t="shared" si="9"/>
        <v/>
      </c>
      <c r="AP35" s="668" t="str">
        <f t="shared" si="10"/>
        <v/>
      </c>
      <c r="AQ35" s="668" t="str">
        <f t="shared" si="11"/>
        <v/>
      </c>
      <c r="AR35" s="668" t="str">
        <f t="shared" si="12"/>
        <v/>
      </c>
      <c r="AS35" s="668" t="str">
        <f t="shared" si="13"/>
        <v/>
      </c>
      <c r="AT35" s="668" t="str">
        <f t="shared" si="14"/>
        <v/>
      </c>
      <c r="AU35" s="668" t="str">
        <f t="shared" si="15"/>
        <v/>
      </c>
      <c r="AV35" s="668" t="str">
        <f t="shared" si="16"/>
        <v/>
      </c>
      <c r="AW35" s="668" t="str">
        <f t="shared" si="17"/>
        <v/>
      </c>
      <c r="AX35" s="668" t="str">
        <f t="shared" si="18"/>
        <v/>
      </c>
      <c r="AY35" s="668" t="str">
        <f t="shared" si="19"/>
        <v/>
      </c>
      <c r="AZ35" s="668" t="str">
        <f t="shared" si="20"/>
        <v/>
      </c>
      <c r="BA35" s="668" t="str">
        <f t="shared" si="21"/>
        <v/>
      </c>
      <c r="BB35" s="668" t="str">
        <f t="shared" si="22"/>
        <v/>
      </c>
      <c r="BC35" s="668" t="str">
        <f t="shared" si="23"/>
        <v/>
      </c>
      <c r="BD35"/>
      <c r="BE35"/>
      <c r="BF35"/>
      <c r="BG35"/>
      <c r="BH35"/>
    </row>
    <row r="36" spans="1:60" ht="45.75">
      <c r="A36" s="2257"/>
      <c r="C36" s="41">
        <f>+PP!B54</f>
        <v>31</v>
      </c>
      <c r="D36" s="162" t="str">
        <f>+PP!C54</f>
        <v>RECORTE BLANCO SM ST</v>
      </c>
      <c r="E36" s="2967"/>
      <c r="F36" s="2968"/>
      <c r="G36" s="2968"/>
      <c r="H36" s="2968"/>
      <c r="I36" s="2968"/>
      <c r="J36" s="2968"/>
      <c r="K36" s="2968"/>
      <c r="L36" s="2968"/>
      <c r="M36" s="2968"/>
      <c r="N36" s="2968"/>
      <c r="O36" s="2968"/>
      <c r="P36" s="2968"/>
      <c r="Q36" s="2968"/>
      <c r="R36" s="2970"/>
      <c r="S36" s="2970"/>
      <c r="T36" s="2970"/>
      <c r="U36" s="2970"/>
      <c r="V36" s="2970"/>
      <c r="W36" s="2970"/>
      <c r="X36" s="1007"/>
      <c r="Y36" s="1007"/>
      <c r="Z36" s="1007"/>
      <c r="AA36" s="1503"/>
      <c r="AB36" s="148">
        <f t="shared" si="32"/>
        <v>0</v>
      </c>
      <c r="AC36" s="148">
        <f t="shared" si="0"/>
        <v>0</v>
      </c>
      <c r="AD36" s="145">
        <f t="shared" si="1"/>
        <v>0</v>
      </c>
      <c r="AE36" s="574"/>
      <c r="AF36"/>
      <c r="AG36"/>
      <c r="AH36" s="668" t="str">
        <f t="shared" si="2"/>
        <v/>
      </c>
      <c r="AI36" s="668" t="str">
        <f t="shared" si="3"/>
        <v/>
      </c>
      <c r="AJ36" s="668" t="str">
        <f t="shared" si="4"/>
        <v/>
      </c>
      <c r="AK36" s="668" t="str">
        <f t="shared" si="5"/>
        <v/>
      </c>
      <c r="AL36" s="668" t="str">
        <f t="shared" si="6"/>
        <v/>
      </c>
      <c r="AM36" s="668" t="str">
        <f t="shared" si="7"/>
        <v/>
      </c>
      <c r="AN36" s="668" t="str">
        <f t="shared" si="8"/>
        <v/>
      </c>
      <c r="AO36" s="668" t="str">
        <f t="shared" si="9"/>
        <v/>
      </c>
      <c r="AP36" s="668" t="str">
        <f t="shared" si="10"/>
        <v/>
      </c>
      <c r="AQ36" s="668" t="str">
        <f t="shared" si="11"/>
        <v/>
      </c>
      <c r="AR36" s="668" t="str">
        <f t="shared" si="12"/>
        <v/>
      </c>
      <c r="AS36" s="668" t="str">
        <f t="shared" si="13"/>
        <v/>
      </c>
      <c r="AT36" s="668" t="str">
        <f t="shared" si="14"/>
        <v/>
      </c>
      <c r="AU36" s="668" t="str">
        <f t="shared" si="15"/>
        <v/>
      </c>
      <c r="AV36" s="668" t="str">
        <f t="shared" si="16"/>
        <v/>
      </c>
      <c r="AW36" s="668" t="str">
        <f t="shared" si="17"/>
        <v/>
      </c>
      <c r="AX36" s="668" t="str">
        <f t="shared" si="18"/>
        <v/>
      </c>
      <c r="AY36" s="668" t="str">
        <f t="shared" si="19"/>
        <v/>
      </c>
      <c r="AZ36" s="668" t="str">
        <f t="shared" si="20"/>
        <v/>
      </c>
      <c r="BA36" s="668" t="str">
        <f t="shared" si="21"/>
        <v/>
      </c>
      <c r="BB36" s="668" t="str">
        <f t="shared" si="22"/>
        <v/>
      </c>
      <c r="BC36" s="668" t="str">
        <f t="shared" si="23"/>
        <v/>
      </c>
      <c r="BD36"/>
      <c r="BE36"/>
      <c r="BF36"/>
      <c r="BG36"/>
      <c r="BH36"/>
    </row>
    <row r="37" spans="1:60" ht="45.75">
      <c r="A37" s="2257"/>
      <c r="C37" s="42">
        <f>+PP!B55</f>
        <v>32</v>
      </c>
      <c r="D37" s="164" t="str">
        <f>+PP!C55</f>
        <v>RECORTE AMARILLO SM ST</v>
      </c>
      <c r="E37" s="2013"/>
      <c r="F37" s="1802"/>
      <c r="G37" s="1802"/>
      <c r="H37" s="1802"/>
      <c r="I37" s="1802"/>
      <c r="J37" s="1802"/>
      <c r="K37" s="1802"/>
      <c r="L37" s="1802"/>
      <c r="M37" s="1802"/>
      <c r="N37" s="1802"/>
      <c r="O37" s="1802"/>
      <c r="P37" s="1802"/>
      <c r="Q37" s="1802"/>
      <c r="R37" s="1847"/>
      <c r="S37" s="1847"/>
      <c r="T37" s="1847"/>
      <c r="U37" s="1847"/>
      <c r="V37" s="1847"/>
      <c r="W37" s="1847"/>
      <c r="X37" s="388"/>
      <c r="Y37" s="388"/>
      <c r="Z37" s="388"/>
      <c r="AA37" s="1504"/>
      <c r="AB37" s="149">
        <f t="shared" si="32"/>
        <v>0</v>
      </c>
      <c r="AC37" s="149">
        <f t="shared" si="0"/>
        <v>0</v>
      </c>
      <c r="AD37" s="146">
        <f t="shared" si="1"/>
        <v>0</v>
      </c>
      <c r="AE37" s="574"/>
      <c r="AF37"/>
      <c r="AG37"/>
      <c r="AH37" s="668" t="str">
        <f t="shared" si="2"/>
        <v/>
      </c>
      <c r="AI37" s="668" t="str">
        <f t="shared" si="3"/>
        <v/>
      </c>
      <c r="AJ37" s="668" t="str">
        <f t="shared" si="4"/>
        <v/>
      </c>
      <c r="AK37" s="668" t="str">
        <f t="shared" si="5"/>
        <v/>
      </c>
      <c r="AL37" s="668" t="str">
        <f t="shared" si="6"/>
        <v/>
      </c>
      <c r="AM37" s="668" t="str">
        <f t="shared" si="7"/>
        <v/>
      </c>
      <c r="AN37" s="668" t="str">
        <f t="shared" si="8"/>
        <v/>
      </c>
      <c r="AO37" s="668" t="str">
        <f t="shared" si="9"/>
        <v/>
      </c>
      <c r="AP37" s="668" t="str">
        <f t="shared" si="10"/>
        <v/>
      </c>
      <c r="AQ37" s="668" t="str">
        <f t="shared" si="11"/>
        <v/>
      </c>
      <c r="AR37" s="668" t="str">
        <f t="shared" si="12"/>
        <v/>
      </c>
      <c r="AS37" s="668" t="str">
        <f t="shared" si="13"/>
        <v/>
      </c>
      <c r="AT37" s="668" t="str">
        <f t="shared" si="14"/>
        <v/>
      </c>
      <c r="AU37" s="668" t="str">
        <f t="shared" si="15"/>
        <v/>
      </c>
      <c r="AV37" s="668" t="str">
        <f t="shared" si="16"/>
        <v/>
      </c>
      <c r="AW37" s="668" t="str">
        <f t="shared" si="17"/>
        <v/>
      </c>
      <c r="AX37" s="668" t="str">
        <f t="shared" si="18"/>
        <v/>
      </c>
      <c r="AY37" s="668" t="str">
        <f t="shared" si="19"/>
        <v/>
      </c>
      <c r="AZ37" s="668" t="str">
        <f t="shared" si="20"/>
        <v/>
      </c>
      <c r="BA37" s="668" t="str">
        <f t="shared" si="21"/>
        <v/>
      </c>
      <c r="BB37" s="668" t="str">
        <f t="shared" si="22"/>
        <v/>
      </c>
      <c r="BC37" s="668" t="str">
        <f t="shared" si="23"/>
        <v/>
      </c>
      <c r="BD37"/>
      <c r="BE37"/>
      <c r="BF37"/>
      <c r="BG37"/>
      <c r="BH37"/>
    </row>
    <row r="38" spans="1:60" ht="46.5" thickBot="1">
      <c r="A38" s="2257"/>
      <c r="C38" s="40">
        <f>+PP!B56</f>
        <v>33</v>
      </c>
      <c r="D38" s="163" t="str">
        <f>+PP!C56</f>
        <v>RECORTE PRECOCIDO</v>
      </c>
      <c r="E38" s="2972"/>
      <c r="F38" s="2973"/>
      <c r="G38" s="2973"/>
      <c r="H38" s="2973"/>
      <c r="I38" s="2973"/>
      <c r="J38" s="2973"/>
      <c r="K38" s="2973"/>
      <c r="L38" s="2973"/>
      <c r="M38" s="2973"/>
      <c r="N38" s="2973"/>
      <c r="O38" s="2973"/>
      <c r="P38" s="2973"/>
      <c r="Q38" s="2973"/>
      <c r="R38" s="2975"/>
      <c r="S38" s="2975"/>
      <c r="T38" s="2975"/>
      <c r="U38" s="2975"/>
      <c r="V38" s="2975"/>
      <c r="W38" s="2975"/>
      <c r="X38" s="1008"/>
      <c r="Y38" s="1008"/>
      <c r="Z38" s="1008"/>
      <c r="AA38" s="1506"/>
      <c r="AB38" s="150">
        <f t="shared" si="32"/>
        <v>0</v>
      </c>
      <c r="AC38" s="150">
        <f t="shared" si="0"/>
        <v>0</v>
      </c>
      <c r="AD38" s="147">
        <f t="shared" si="1"/>
        <v>0</v>
      </c>
      <c r="AE38" s="574"/>
      <c r="AF38"/>
      <c r="AG38"/>
      <c r="AH38" s="668" t="str">
        <f t="shared" si="2"/>
        <v/>
      </c>
      <c r="AI38" s="668" t="str">
        <f t="shared" si="3"/>
        <v/>
      </c>
      <c r="AJ38" s="668" t="str">
        <f t="shared" si="4"/>
        <v/>
      </c>
      <c r="AK38" s="668" t="str">
        <f t="shared" si="5"/>
        <v/>
      </c>
      <c r="AL38" s="668" t="str">
        <f t="shared" si="6"/>
        <v/>
      </c>
      <c r="AM38" s="668" t="str">
        <f t="shared" si="7"/>
        <v/>
      </c>
      <c r="AN38" s="668" t="str">
        <f t="shared" si="8"/>
        <v/>
      </c>
      <c r="AO38" s="668" t="str">
        <f t="shared" si="9"/>
        <v/>
      </c>
      <c r="AP38" s="668" t="str">
        <f t="shared" si="10"/>
        <v/>
      </c>
      <c r="AQ38" s="668" t="str">
        <f t="shared" si="11"/>
        <v/>
      </c>
      <c r="AR38" s="668" t="str">
        <f t="shared" si="12"/>
        <v/>
      </c>
      <c r="AS38" s="668" t="str">
        <f t="shared" si="13"/>
        <v/>
      </c>
      <c r="AT38" s="668" t="str">
        <f t="shared" si="14"/>
        <v/>
      </c>
      <c r="AU38" s="668" t="str">
        <f t="shared" si="15"/>
        <v/>
      </c>
      <c r="AV38" s="668" t="str">
        <f t="shared" si="16"/>
        <v/>
      </c>
      <c r="AW38" s="668" t="str">
        <f t="shared" si="17"/>
        <v/>
      </c>
      <c r="AX38" s="668" t="str">
        <f t="shared" si="18"/>
        <v/>
      </c>
      <c r="AY38" s="668" t="str">
        <f t="shared" si="19"/>
        <v/>
      </c>
      <c r="AZ38" s="668" t="str">
        <f t="shared" si="20"/>
        <v/>
      </c>
      <c r="BA38" s="668" t="str">
        <f t="shared" si="21"/>
        <v/>
      </c>
      <c r="BB38" s="668" t="str">
        <f t="shared" si="22"/>
        <v/>
      </c>
      <c r="BC38" s="668" t="str">
        <f t="shared" si="23"/>
        <v/>
      </c>
      <c r="BD38"/>
      <c r="BE38"/>
      <c r="BF38"/>
      <c r="BG38"/>
      <c r="BH38"/>
    </row>
    <row r="39" spans="1:60" ht="45.75">
      <c r="A39" s="2257"/>
      <c r="C39" s="160">
        <f>+PP!B57</f>
        <v>34</v>
      </c>
      <c r="D39" s="162" t="str">
        <f>+PP!C57</f>
        <v>REPRODUCTORES SV, PEQUEÑO</v>
      </c>
      <c r="E39" s="2012"/>
      <c r="F39" s="1830"/>
      <c r="G39" s="1830"/>
      <c r="H39" s="1830"/>
      <c r="I39" s="1830"/>
      <c r="J39" s="1830"/>
      <c r="K39" s="1830"/>
      <c r="L39" s="1830"/>
      <c r="M39" s="1830"/>
      <c r="N39" s="1830"/>
      <c r="O39" s="1830"/>
      <c r="P39" s="1830"/>
      <c r="Q39" s="1830"/>
      <c r="R39" s="1830"/>
      <c r="S39" s="1853"/>
      <c r="T39" s="1853"/>
      <c r="U39" s="1853"/>
      <c r="V39" s="1853"/>
      <c r="W39" s="1853"/>
      <c r="X39" s="1155"/>
      <c r="Y39" s="1155"/>
      <c r="Z39" s="1155"/>
      <c r="AA39" s="2995"/>
      <c r="AB39" s="148">
        <f t="shared" si="32"/>
        <v>0</v>
      </c>
      <c r="AC39" s="148">
        <f t="shared" si="0"/>
        <v>0</v>
      </c>
      <c r="AD39" s="152">
        <f t="shared" si="1"/>
        <v>0</v>
      </c>
      <c r="AE39" s="574"/>
      <c r="AF39"/>
      <c r="AG39"/>
      <c r="AH39" s="668" t="str">
        <f t="shared" si="2"/>
        <v/>
      </c>
      <c r="AI39" s="668" t="str">
        <f t="shared" si="3"/>
        <v/>
      </c>
      <c r="AJ39" s="668" t="str">
        <f t="shared" si="4"/>
        <v/>
      </c>
      <c r="AK39" s="668" t="str">
        <f t="shared" si="5"/>
        <v/>
      </c>
      <c r="AL39" s="668" t="str">
        <f t="shared" si="6"/>
        <v/>
      </c>
      <c r="AM39" s="668" t="str">
        <f t="shared" si="7"/>
        <v/>
      </c>
      <c r="AN39" s="668" t="str">
        <f t="shared" si="8"/>
        <v/>
      </c>
      <c r="AO39" s="668" t="str">
        <f t="shared" si="9"/>
        <v/>
      </c>
      <c r="AP39" s="668" t="str">
        <f t="shared" si="10"/>
        <v/>
      </c>
      <c r="AQ39" s="668" t="str">
        <f t="shared" si="11"/>
        <v/>
      </c>
      <c r="AR39" s="668" t="str">
        <f t="shared" si="12"/>
        <v/>
      </c>
      <c r="AS39" s="668" t="str">
        <f t="shared" si="13"/>
        <v/>
      </c>
      <c r="AT39" s="668" t="str">
        <f t="shared" si="14"/>
        <v/>
      </c>
      <c r="AU39" s="668" t="str">
        <f t="shared" si="15"/>
        <v/>
      </c>
      <c r="AV39" s="668" t="str">
        <f t="shared" si="16"/>
        <v/>
      </c>
      <c r="AW39" s="668" t="str">
        <f t="shared" si="17"/>
        <v/>
      </c>
      <c r="AX39" s="668" t="str">
        <f t="shared" si="18"/>
        <v/>
      </c>
      <c r="AY39" s="668" t="str">
        <f t="shared" si="19"/>
        <v/>
      </c>
      <c r="AZ39" s="668" t="str">
        <f t="shared" si="20"/>
        <v/>
      </c>
      <c r="BA39" s="668" t="str">
        <f t="shared" si="21"/>
        <v/>
      </c>
      <c r="BB39" s="668" t="str">
        <f t="shared" si="22"/>
        <v/>
      </c>
      <c r="BC39" s="668" t="str">
        <f t="shared" si="23"/>
        <v/>
      </c>
      <c r="BD39"/>
      <c r="BE39"/>
      <c r="BF39"/>
      <c r="BG39"/>
    </row>
    <row r="40" spans="1:60" ht="46.5" thickBot="1">
      <c r="A40" s="2257"/>
      <c r="C40" s="158">
        <f>+PP!B58</f>
        <v>35</v>
      </c>
      <c r="D40" s="163" t="str">
        <f>+PP!C58</f>
        <v>REPRODUCTOR SV GRANDE</v>
      </c>
      <c r="E40" s="2972"/>
      <c r="F40" s="2973"/>
      <c r="G40" s="2973"/>
      <c r="H40" s="2973"/>
      <c r="I40" s="2973"/>
      <c r="J40" s="2973"/>
      <c r="K40" s="2973"/>
      <c r="L40" s="2973"/>
      <c r="M40" s="2973"/>
      <c r="N40" s="2973"/>
      <c r="O40" s="2973"/>
      <c r="P40" s="2973"/>
      <c r="Q40" s="2973"/>
      <c r="R40" s="2973"/>
      <c r="S40" s="2975"/>
      <c r="T40" s="2975"/>
      <c r="U40" s="2975"/>
      <c r="V40" s="2975"/>
      <c r="W40" s="2975"/>
      <c r="X40" s="1008"/>
      <c r="Y40" s="1008"/>
      <c r="Z40" s="1008"/>
      <c r="AA40" s="216"/>
      <c r="AB40" s="150">
        <f t="shared" si="32"/>
        <v>0</v>
      </c>
      <c r="AC40" s="150">
        <f t="shared" si="0"/>
        <v>0</v>
      </c>
      <c r="AD40" s="147">
        <f t="shared" si="1"/>
        <v>0</v>
      </c>
      <c r="AE40" s="574"/>
      <c r="AF40"/>
      <c r="AG40"/>
      <c r="AH40" s="668" t="str">
        <f t="shared" si="2"/>
        <v/>
      </c>
      <c r="AI40" s="668" t="str">
        <f t="shared" si="3"/>
        <v/>
      </c>
      <c r="AJ40" s="668" t="str">
        <f t="shared" si="4"/>
        <v/>
      </c>
      <c r="AK40" s="668" t="str">
        <f t="shared" si="5"/>
        <v/>
      </c>
      <c r="AL40" s="668" t="str">
        <f t="shared" si="6"/>
        <v/>
      </c>
      <c r="AM40" s="668" t="str">
        <f t="shared" si="7"/>
        <v/>
      </c>
      <c r="AN40" s="668" t="str">
        <f t="shared" si="8"/>
        <v/>
      </c>
      <c r="AO40" s="668" t="str">
        <f t="shared" si="9"/>
        <v/>
      </c>
      <c r="AP40" s="668" t="str">
        <f t="shared" si="10"/>
        <v/>
      </c>
      <c r="AQ40" s="668" t="str">
        <f t="shared" si="11"/>
        <v/>
      </c>
      <c r="AR40" s="668" t="str">
        <f t="shared" si="12"/>
        <v/>
      </c>
      <c r="AS40" s="668" t="str">
        <f t="shared" si="13"/>
        <v/>
      </c>
      <c r="AT40" s="668" t="str">
        <f t="shared" si="14"/>
        <v/>
      </c>
      <c r="AU40" s="668" t="str">
        <f t="shared" si="15"/>
        <v/>
      </c>
      <c r="AV40" s="668" t="str">
        <f t="shared" si="16"/>
        <v/>
      </c>
      <c r="AW40" s="668" t="str">
        <f t="shared" si="17"/>
        <v/>
      </c>
      <c r="AX40" s="668" t="str">
        <f t="shared" si="18"/>
        <v/>
      </c>
      <c r="AY40" s="668" t="str">
        <f t="shared" si="19"/>
        <v/>
      </c>
      <c r="AZ40" s="668" t="str">
        <f t="shared" si="20"/>
        <v/>
      </c>
      <c r="BA40" s="668" t="str">
        <f t="shared" si="21"/>
        <v/>
      </c>
      <c r="BB40" s="668" t="str">
        <f t="shared" si="22"/>
        <v/>
      </c>
      <c r="BC40" s="668" t="str">
        <f t="shared" si="23"/>
        <v/>
      </c>
      <c r="BD40"/>
      <c r="BE40"/>
      <c r="BF40"/>
      <c r="BG40"/>
    </row>
    <row r="41" spans="1:60" ht="45.75">
      <c r="A41" s="2257"/>
      <c r="C41" s="955">
        <f>+PP!B59</f>
        <v>36</v>
      </c>
      <c r="D41" s="166" t="str">
        <f>+PP!C59</f>
        <v>TUBO ALETA 1.0-2.0 Kg/pza</v>
      </c>
      <c r="E41" s="2012"/>
      <c r="F41" s="1830"/>
      <c r="G41" s="1830"/>
      <c r="H41" s="1830"/>
      <c r="I41" s="1830"/>
      <c r="J41" s="1830"/>
      <c r="K41" s="1830"/>
      <c r="L41" s="1830"/>
      <c r="M41" s="1830"/>
      <c r="N41" s="1830"/>
      <c r="O41" s="1830"/>
      <c r="P41" s="1830"/>
      <c r="Q41" s="1830"/>
      <c r="R41" s="1830"/>
      <c r="S41" s="1853"/>
      <c r="T41" s="1853"/>
      <c r="U41" s="1853"/>
      <c r="V41" s="1853"/>
      <c r="W41" s="1853"/>
      <c r="X41" s="1155"/>
      <c r="Y41" s="1155"/>
      <c r="Z41" s="1155"/>
      <c r="AA41" s="2994"/>
      <c r="AB41" s="1822">
        <f t="shared" si="32"/>
        <v>0</v>
      </c>
      <c r="AC41" s="151">
        <f t="shared" si="0"/>
        <v>0</v>
      </c>
      <c r="AD41" s="152">
        <f t="shared" si="1"/>
        <v>0</v>
      </c>
      <c r="AE41" s="574"/>
      <c r="AF41"/>
      <c r="AG41"/>
      <c r="AH41" s="668" t="str">
        <f t="shared" si="2"/>
        <v/>
      </c>
      <c r="AI41" s="668" t="str">
        <f t="shared" si="3"/>
        <v/>
      </c>
      <c r="AJ41" s="668" t="str">
        <f t="shared" si="4"/>
        <v/>
      </c>
      <c r="AK41" s="668" t="str">
        <f t="shared" si="5"/>
        <v/>
      </c>
      <c r="AL41" s="668" t="str">
        <f t="shared" si="6"/>
        <v/>
      </c>
      <c r="AM41" s="668" t="str">
        <f t="shared" si="7"/>
        <v/>
      </c>
      <c r="AN41" s="668" t="str">
        <f t="shared" si="8"/>
        <v/>
      </c>
      <c r="AO41" s="668" t="str">
        <f t="shared" si="9"/>
        <v/>
      </c>
      <c r="AP41" s="668" t="str">
        <f t="shared" si="10"/>
        <v/>
      </c>
      <c r="AQ41" s="668" t="str">
        <f t="shared" si="11"/>
        <v/>
      </c>
      <c r="AR41" s="668" t="str">
        <f t="shared" si="12"/>
        <v/>
      </c>
      <c r="AS41" s="668" t="str">
        <f t="shared" si="13"/>
        <v/>
      </c>
      <c r="AT41" s="668" t="str">
        <f t="shared" si="14"/>
        <v/>
      </c>
      <c r="AU41" s="668" t="str">
        <f t="shared" si="15"/>
        <v/>
      </c>
      <c r="AV41" s="668" t="str">
        <f t="shared" si="16"/>
        <v/>
      </c>
      <c r="AW41" s="668" t="str">
        <f t="shared" si="17"/>
        <v/>
      </c>
      <c r="AX41" s="668" t="str">
        <f t="shared" si="18"/>
        <v/>
      </c>
      <c r="AY41" s="668" t="str">
        <f t="shared" si="19"/>
        <v/>
      </c>
      <c r="AZ41" s="668" t="str">
        <f t="shared" si="20"/>
        <v/>
      </c>
      <c r="BA41" s="668" t="str">
        <f t="shared" si="21"/>
        <v/>
      </c>
      <c r="BB41" s="668" t="str">
        <f t="shared" si="22"/>
        <v/>
      </c>
      <c r="BC41" s="668" t="str">
        <f t="shared" si="23"/>
        <v/>
      </c>
      <c r="BD41"/>
      <c r="BE41"/>
      <c r="BF41"/>
      <c r="BG41"/>
    </row>
    <row r="42" spans="1:60" ht="45.75" customHeight="1">
      <c r="A42" s="2257"/>
      <c r="C42" s="42">
        <f>+PP!B60</f>
        <v>37</v>
      </c>
      <c r="D42" s="164" t="str">
        <f>+PP!C60</f>
        <v>TENTACULO C/B C/V SR 100-300 g/pza (SUCIO)</v>
      </c>
      <c r="E42" s="2013"/>
      <c r="F42" s="1802"/>
      <c r="G42" s="1802"/>
      <c r="H42" s="1802"/>
      <c r="I42" s="1802"/>
      <c r="J42" s="1802"/>
      <c r="K42" s="1802"/>
      <c r="L42" s="1802"/>
      <c r="M42" s="1802"/>
      <c r="N42" s="1802"/>
      <c r="O42" s="1802"/>
      <c r="P42" s="1802"/>
      <c r="Q42" s="1802"/>
      <c r="R42" s="1802"/>
      <c r="S42" s="1847"/>
      <c r="T42" s="1847"/>
      <c r="U42" s="1847"/>
      <c r="V42" s="1847"/>
      <c r="W42" s="1847"/>
      <c r="X42" s="388"/>
      <c r="Y42" s="388"/>
      <c r="Z42" s="388"/>
      <c r="AA42" s="276"/>
      <c r="AB42" s="1392">
        <f t="shared" si="32"/>
        <v>0</v>
      </c>
      <c r="AC42" s="149">
        <f t="shared" si="0"/>
        <v>0</v>
      </c>
      <c r="AD42" s="146">
        <f t="shared" si="1"/>
        <v>0</v>
      </c>
      <c r="AE42" s="574"/>
      <c r="AF42"/>
      <c r="AG42"/>
      <c r="AH42" s="668" t="str">
        <f t="shared" si="2"/>
        <v/>
      </c>
      <c r="AI42" s="668" t="str">
        <f t="shared" si="3"/>
        <v/>
      </c>
      <c r="AJ42" s="668" t="str">
        <f t="shared" si="4"/>
        <v/>
      </c>
      <c r="AK42" s="668" t="str">
        <f t="shared" si="5"/>
        <v/>
      </c>
      <c r="AL42" s="668" t="str">
        <f t="shared" si="6"/>
        <v/>
      </c>
      <c r="AM42" s="668" t="str">
        <f t="shared" si="7"/>
        <v/>
      </c>
      <c r="AN42" s="668" t="str">
        <f t="shared" si="8"/>
        <v/>
      </c>
      <c r="AO42" s="668" t="str">
        <f t="shared" si="9"/>
        <v/>
      </c>
      <c r="AP42" s="668" t="str">
        <f t="shared" si="10"/>
        <v/>
      </c>
      <c r="AQ42" s="668" t="str">
        <f t="shared" si="11"/>
        <v/>
      </c>
      <c r="AR42" s="668" t="str">
        <f t="shared" si="12"/>
        <v/>
      </c>
      <c r="AS42" s="668" t="str">
        <f t="shared" si="13"/>
        <v/>
      </c>
      <c r="AT42" s="668" t="str">
        <f t="shared" si="14"/>
        <v/>
      </c>
      <c r="AU42" s="668" t="str">
        <f t="shared" si="15"/>
        <v/>
      </c>
      <c r="AV42" s="668" t="str">
        <f t="shared" si="16"/>
        <v/>
      </c>
      <c r="AW42" s="668" t="str">
        <f t="shared" si="17"/>
        <v/>
      </c>
      <c r="AX42" s="668" t="str">
        <f t="shared" si="18"/>
        <v/>
      </c>
      <c r="AY42" s="668" t="str">
        <f t="shared" si="19"/>
        <v/>
      </c>
      <c r="AZ42" s="668" t="str">
        <f t="shared" si="20"/>
        <v/>
      </c>
      <c r="BA42" s="668" t="str">
        <f t="shared" si="21"/>
        <v/>
      </c>
      <c r="BB42" s="668" t="str">
        <f t="shared" si="22"/>
        <v/>
      </c>
      <c r="BC42" s="668" t="str">
        <f t="shared" si="23"/>
        <v/>
      </c>
      <c r="BD42"/>
      <c r="BE42"/>
      <c r="BF42"/>
      <c r="BG42"/>
    </row>
    <row r="43" spans="1:60" ht="45.75" customHeight="1">
      <c r="A43" s="2257"/>
      <c r="C43" s="42">
        <f>+PP!B61</f>
        <v>38</v>
      </c>
      <c r="D43" s="164" t="str">
        <f>+PP!C61</f>
        <v>TENTACULO C/B C/V SR 300-500 g/pza (SUCIO)</v>
      </c>
      <c r="E43" s="2013"/>
      <c r="F43" s="1802"/>
      <c r="G43" s="1802"/>
      <c r="H43" s="1802"/>
      <c r="I43" s="1802"/>
      <c r="J43" s="1802"/>
      <c r="K43" s="1802"/>
      <c r="L43" s="1802"/>
      <c r="M43" s="1802"/>
      <c r="N43" s="1802"/>
      <c r="O43" s="1802"/>
      <c r="P43" s="1802"/>
      <c r="Q43" s="1802"/>
      <c r="R43" s="1802"/>
      <c r="S43" s="1847"/>
      <c r="T43" s="1847"/>
      <c r="U43" s="1847"/>
      <c r="V43" s="1847"/>
      <c r="W43" s="1847"/>
      <c r="X43" s="388"/>
      <c r="Y43" s="388"/>
      <c r="Z43" s="388"/>
      <c r="AA43" s="276"/>
      <c r="AB43" s="1392">
        <f t="shared" si="32"/>
        <v>0</v>
      </c>
      <c r="AC43" s="149">
        <f t="shared" si="0"/>
        <v>0</v>
      </c>
      <c r="AD43" s="146">
        <f t="shared" si="1"/>
        <v>0</v>
      </c>
      <c r="AE43" s="574"/>
      <c r="AF43"/>
      <c r="AG43"/>
      <c r="AH43" s="668" t="str">
        <f t="shared" si="2"/>
        <v/>
      </c>
      <c r="AI43" s="668" t="str">
        <f t="shared" si="3"/>
        <v/>
      </c>
      <c r="AJ43" s="668" t="str">
        <f t="shared" si="4"/>
        <v/>
      </c>
      <c r="AK43" s="668" t="str">
        <f t="shared" si="5"/>
        <v/>
      </c>
      <c r="AL43" s="668" t="str">
        <f t="shared" si="6"/>
        <v/>
      </c>
      <c r="AM43" s="668" t="str">
        <f t="shared" si="7"/>
        <v/>
      </c>
      <c r="AN43" s="668" t="str">
        <f t="shared" si="8"/>
        <v/>
      </c>
      <c r="AO43" s="668" t="str">
        <f t="shared" si="9"/>
        <v/>
      </c>
      <c r="AP43" s="668" t="str">
        <f t="shared" si="10"/>
        <v/>
      </c>
      <c r="AQ43" s="668" t="str">
        <f t="shared" si="11"/>
        <v/>
      </c>
      <c r="AR43" s="668" t="str">
        <f t="shared" si="12"/>
        <v/>
      </c>
      <c r="AS43" s="668" t="str">
        <f t="shared" si="13"/>
        <v/>
      </c>
      <c r="AT43" s="668" t="str">
        <f t="shared" si="14"/>
        <v/>
      </c>
      <c r="AU43" s="668" t="str">
        <f t="shared" si="15"/>
        <v/>
      </c>
      <c r="AV43" s="668" t="str">
        <f t="shared" si="16"/>
        <v/>
      </c>
      <c r="AW43" s="668" t="str">
        <f t="shared" si="17"/>
        <v/>
      </c>
      <c r="AX43" s="668" t="str">
        <f t="shared" si="18"/>
        <v/>
      </c>
      <c r="AY43" s="668" t="str">
        <f t="shared" si="19"/>
        <v/>
      </c>
      <c r="AZ43" s="668" t="str">
        <f t="shared" si="20"/>
        <v/>
      </c>
      <c r="BA43" s="668" t="str">
        <f t="shared" si="21"/>
        <v/>
      </c>
      <c r="BB43" s="668" t="str">
        <f t="shared" si="22"/>
        <v/>
      </c>
      <c r="BC43" s="668" t="str">
        <f t="shared" si="23"/>
        <v/>
      </c>
      <c r="BD43"/>
      <c r="BE43"/>
      <c r="BF43"/>
      <c r="BG43"/>
    </row>
    <row r="44" spans="1:60" ht="45.75">
      <c r="A44" s="2257"/>
      <c r="C44" s="42">
        <f>+PP!B62</f>
        <v>39</v>
      </c>
      <c r="D44" s="164" t="str">
        <f>+PP!C62</f>
        <v>TENTACULO C/B S/V SR 100-300 g/pza</v>
      </c>
      <c r="E44" s="2013"/>
      <c r="F44" s="1802"/>
      <c r="G44" s="1802"/>
      <c r="H44" s="1802"/>
      <c r="I44" s="1802"/>
      <c r="J44" s="1802"/>
      <c r="K44" s="1802"/>
      <c r="L44" s="1802"/>
      <c r="M44" s="1802"/>
      <c r="N44" s="1802"/>
      <c r="O44" s="1802"/>
      <c r="P44" s="1802"/>
      <c r="Q44" s="1802"/>
      <c r="R44" s="1802"/>
      <c r="S44" s="1847"/>
      <c r="T44" s="1847"/>
      <c r="U44" s="1847"/>
      <c r="V44" s="1847"/>
      <c r="W44" s="1847"/>
      <c r="X44" s="388"/>
      <c r="Y44" s="388"/>
      <c r="Z44" s="388"/>
      <c r="AA44" s="276"/>
      <c r="AB44" s="1392">
        <f t="shared" si="32"/>
        <v>0</v>
      </c>
      <c r="AC44" s="149">
        <f t="shared" si="0"/>
        <v>0</v>
      </c>
      <c r="AD44" s="146">
        <f t="shared" si="1"/>
        <v>0</v>
      </c>
      <c r="AE44" s="574"/>
      <c r="AF44"/>
      <c r="AG44"/>
      <c r="AH44" s="668" t="str">
        <f t="shared" si="2"/>
        <v/>
      </c>
      <c r="AI44" s="668" t="str">
        <f t="shared" si="3"/>
        <v/>
      </c>
      <c r="AJ44" s="668" t="str">
        <f t="shared" si="4"/>
        <v/>
      </c>
      <c r="AK44" s="668" t="str">
        <f t="shared" si="5"/>
        <v/>
      </c>
      <c r="AL44" s="668" t="str">
        <f t="shared" si="6"/>
        <v/>
      </c>
      <c r="AM44" s="668" t="str">
        <f t="shared" si="7"/>
        <v/>
      </c>
      <c r="AN44" s="668" t="str">
        <f t="shared" si="8"/>
        <v/>
      </c>
      <c r="AO44" s="668" t="str">
        <f t="shared" si="9"/>
        <v/>
      </c>
      <c r="AP44" s="668" t="str">
        <f t="shared" si="10"/>
        <v/>
      </c>
      <c r="AQ44" s="668" t="str">
        <f t="shared" si="11"/>
        <v/>
      </c>
      <c r="AR44" s="668" t="str">
        <f t="shared" si="12"/>
        <v/>
      </c>
      <c r="AS44" s="668" t="str">
        <f t="shared" si="13"/>
        <v/>
      </c>
      <c r="AT44" s="668" t="str">
        <f t="shared" si="14"/>
        <v/>
      </c>
      <c r="AU44" s="668" t="str">
        <f t="shared" si="15"/>
        <v/>
      </c>
      <c r="AV44" s="668" t="str">
        <f t="shared" si="16"/>
        <v/>
      </c>
      <c r="AW44" s="668" t="str">
        <f t="shared" si="17"/>
        <v/>
      </c>
      <c r="AX44" s="668" t="str">
        <f t="shared" si="18"/>
        <v/>
      </c>
      <c r="AY44" s="668" t="str">
        <f t="shared" si="19"/>
        <v/>
      </c>
      <c r="AZ44" s="668" t="str">
        <f t="shared" si="20"/>
        <v/>
      </c>
      <c r="BA44" s="668" t="str">
        <f t="shared" si="21"/>
        <v/>
      </c>
      <c r="BB44" s="668" t="str">
        <f t="shared" si="22"/>
        <v/>
      </c>
      <c r="BC44" s="668" t="str">
        <f t="shared" si="23"/>
        <v/>
      </c>
      <c r="BD44"/>
      <c r="BE44"/>
      <c r="BF44"/>
      <c r="BG44"/>
    </row>
    <row r="45" spans="1:60" ht="45.75" customHeight="1">
      <c r="A45" s="2257"/>
      <c r="C45" s="42">
        <f>+PP!B63</f>
        <v>40</v>
      </c>
      <c r="D45" s="164" t="str">
        <f>+PP!C63</f>
        <v>TENTACULO C/B C/V SR 100-500 g/pza (SUCIO)</v>
      </c>
      <c r="E45" s="2013"/>
      <c r="F45" s="1802"/>
      <c r="G45" s="1802"/>
      <c r="H45" s="1802"/>
      <c r="I45" s="1802"/>
      <c r="J45" s="1802"/>
      <c r="K45" s="1802"/>
      <c r="L45" s="1802"/>
      <c r="M45" s="1802"/>
      <c r="N45" s="1802"/>
      <c r="O45" s="1802"/>
      <c r="P45" s="1802"/>
      <c r="Q45" s="1802"/>
      <c r="R45" s="1802"/>
      <c r="S45" s="1847"/>
      <c r="T45" s="1847"/>
      <c r="U45" s="1847"/>
      <c r="V45" s="1847"/>
      <c r="W45" s="1847"/>
      <c r="X45" s="388"/>
      <c r="Y45" s="388"/>
      <c r="Z45" s="388"/>
      <c r="AA45" s="276"/>
      <c r="AB45" s="1392">
        <f t="shared" si="32"/>
        <v>0</v>
      </c>
      <c r="AC45" s="149">
        <f t="shared" si="0"/>
        <v>0</v>
      </c>
      <c r="AD45" s="146">
        <f t="shared" si="1"/>
        <v>0</v>
      </c>
      <c r="AE45" s="574"/>
      <c r="AF45"/>
      <c r="AG45"/>
      <c r="AH45" s="668" t="str">
        <f t="shared" si="2"/>
        <v/>
      </c>
      <c r="AI45" s="668" t="str">
        <f t="shared" si="3"/>
        <v/>
      </c>
      <c r="AJ45" s="668" t="str">
        <f t="shared" si="4"/>
        <v/>
      </c>
      <c r="AK45" s="668" t="str">
        <f t="shared" si="5"/>
        <v/>
      </c>
      <c r="AL45" s="668" t="str">
        <f t="shared" si="6"/>
        <v/>
      </c>
      <c r="AM45" s="668" t="str">
        <f t="shared" si="7"/>
        <v/>
      </c>
      <c r="AN45" s="668" t="str">
        <f t="shared" si="8"/>
        <v/>
      </c>
      <c r="AO45" s="668" t="str">
        <f t="shared" si="9"/>
        <v/>
      </c>
      <c r="AP45" s="668" t="str">
        <f t="shared" si="10"/>
        <v/>
      </c>
      <c r="AQ45" s="668" t="str">
        <f t="shared" si="11"/>
        <v/>
      </c>
      <c r="AR45" s="668" t="str">
        <f t="shared" si="12"/>
        <v/>
      </c>
      <c r="AS45" s="668" t="str">
        <f t="shared" si="13"/>
        <v/>
      </c>
      <c r="AT45" s="668" t="str">
        <f t="shared" si="14"/>
        <v/>
      </c>
      <c r="AU45" s="668" t="str">
        <f t="shared" si="15"/>
        <v/>
      </c>
      <c r="AV45" s="668" t="str">
        <f t="shared" si="16"/>
        <v/>
      </c>
      <c r="AW45" s="668" t="str">
        <f t="shared" si="17"/>
        <v/>
      </c>
      <c r="AX45" s="668" t="str">
        <f t="shared" si="18"/>
        <v/>
      </c>
      <c r="AY45" s="668" t="str">
        <f t="shared" si="19"/>
        <v/>
      </c>
      <c r="AZ45" s="668" t="str">
        <f t="shared" si="20"/>
        <v/>
      </c>
      <c r="BA45" s="668" t="str">
        <f t="shared" si="21"/>
        <v/>
      </c>
      <c r="BB45" s="668" t="str">
        <f t="shared" si="22"/>
        <v/>
      </c>
      <c r="BC45" s="668" t="str">
        <f t="shared" si="23"/>
        <v/>
      </c>
      <c r="BD45"/>
      <c r="BE45"/>
      <c r="BF45"/>
      <c r="BG45"/>
    </row>
    <row r="46" spans="1:60" ht="45.75">
      <c r="A46" s="2257"/>
      <c r="C46" s="42">
        <f>+PP!B64</f>
        <v>41</v>
      </c>
      <c r="D46" s="164" t="str">
        <f>+PP!C64</f>
        <v>TENTACULO C/B S/V SR 100-500 g/pza</v>
      </c>
      <c r="E46" s="2013"/>
      <c r="F46" s="1802"/>
      <c r="G46" s="1802"/>
      <c r="H46" s="1802"/>
      <c r="I46" s="1802"/>
      <c r="J46" s="1802"/>
      <c r="K46" s="1802"/>
      <c r="L46" s="1802"/>
      <c r="M46" s="1802"/>
      <c r="N46" s="1802"/>
      <c r="O46" s="1802"/>
      <c r="P46" s="1802"/>
      <c r="Q46" s="1802"/>
      <c r="R46" s="1802"/>
      <c r="S46" s="1847"/>
      <c r="T46" s="1847"/>
      <c r="U46" s="1847"/>
      <c r="V46" s="1847"/>
      <c r="W46" s="1847"/>
      <c r="X46" s="388"/>
      <c r="Y46" s="388"/>
      <c r="Z46" s="388"/>
      <c r="AA46" s="276"/>
      <c r="AB46" s="1392">
        <f t="shared" si="32"/>
        <v>0</v>
      </c>
      <c r="AC46" s="149">
        <f t="shared" si="0"/>
        <v>0</v>
      </c>
      <c r="AD46" s="146">
        <f t="shared" si="1"/>
        <v>0</v>
      </c>
      <c r="AE46" s="574"/>
      <c r="AF46"/>
      <c r="AG46"/>
      <c r="AH46" s="668" t="str">
        <f t="shared" si="2"/>
        <v/>
      </c>
      <c r="AI46" s="668" t="str">
        <f t="shared" si="3"/>
        <v/>
      </c>
      <c r="AJ46" s="668" t="str">
        <f t="shared" si="4"/>
        <v/>
      </c>
      <c r="AK46" s="668" t="str">
        <f t="shared" si="5"/>
        <v/>
      </c>
      <c r="AL46" s="668" t="str">
        <f t="shared" si="6"/>
        <v/>
      </c>
      <c r="AM46" s="668" t="str">
        <f t="shared" si="7"/>
        <v/>
      </c>
      <c r="AN46" s="668" t="str">
        <f t="shared" si="8"/>
        <v/>
      </c>
      <c r="AO46" s="668" t="str">
        <f t="shared" si="9"/>
        <v/>
      </c>
      <c r="AP46" s="668" t="str">
        <f t="shared" si="10"/>
        <v/>
      </c>
      <c r="AQ46" s="668" t="str">
        <f t="shared" si="11"/>
        <v/>
      </c>
      <c r="AR46" s="668" t="str">
        <f t="shared" si="12"/>
        <v/>
      </c>
      <c r="AS46" s="668" t="str">
        <f t="shared" si="13"/>
        <v/>
      </c>
      <c r="AT46" s="668" t="str">
        <f t="shared" si="14"/>
        <v/>
      </c>
      <c r="AU46" s="668" t="str">
        <f t="shared" si="15"/>
        <v/>
      </c>
      <c r="AV46" s="668" t="str">
        <f t="shared" si="16"/>
        <v/>
      </c>
      <c r="AW46" s="668" t="str">
        <f t="shared" si="17"/>
        <v/>
      </c>
      <c r="AX46" s="668" t="str">
        <f t="shared" si="18"/>
        <v/>
      </c>
      <c r="AY46" s="668" t="str">
        <f t="shared" si="19"/>
        <v/>
      </c>
      <c r="AZ46" s="668" t="str">
        <f t="shared" si="20"/>
        <v/>
      </c>
      <c r="BA46" s="668" t="str">
        <f t="shared" si="21"/>
        <v/>
      </c>
      <c r="BB46" s="668" t="str">
        <f t="shared" si="22"/>
        <v/>
      </c>
      <c r="BC46" s="668" t="str">
        <f t="shared" si="23"/>
        <v/>
      </c>
      <c r="BD46"/>
      <c r="BE46"/>
      <c r="BF46"/>
      <c r="BG46"/>
    </row>
    <row r="47" spans="1:60" ht="45.75">
      <c r="A47" s="2257"/>
      <c r="C47" s="42">
        <f>+PP!B65</f>
        <v>42</v>
      </c>
      <c r="D47" s="164" t="str">
        <f>+PP!C65</f>
        <v>TENTACULO C/B S/V SR 300-500 g/pza</v>
      </c>
      <c r="E47" s="2013"/>
      <c r="F47" s="1802"/>
      <c r="G47" s="1802"/>
      <c r="H47" s="1802"/>
      <c r="I47" s="1802"/>
      <c r="J47" s="1802"/>
      <c r="K47" s="1802"/>
      <c r="L47" s="1802"/>
      <c r="M47" s="1802"/>
      <c r="N47" s="1802"/>
      <c r="O47" s="1802"/>
      <c r="P47" s="1802"/>
      <c r="Q47" s="1802"/>
      <c r="R47" s="1802"/>
      <c r="S47" s="1847"/>
      <c r="T47" s="1847"/>
      <c r="U47" s="1847"/>
      <c r="V47" s="1847"/>
      <c r="W47" s="1847"/>
      <c r="X47" s="388"/>
      <c r="Y47" s="388"/>
      <c r="Z47" s="388"/>
      <c r="AA47" s="276"/>
      <c r="AB47" s="1392">
        <f t="shared" si="32"/>
        <v>0</v>
      </c>
      <c r="AC47" s="149">
        <f t="shared" si="0"/>
        <v>0</v>
      </c>
      <c r="AD47" s="146">
        <f t="shared" si="1"/>
        <v>0</v>
      </c>
      <c r="AE47" s="574"/>
      <c r="AF47"/>
      <c r="AG47"/>
      <c r="AH47" s="668" t="str">
        <f t="shared" si="2"/>
        <v/>
      </c>
      <c r="AI47" s="668" t="str">
        <f t="shared" si="3"/>
        <v/>
      </c>
      <c r="AJ47" s="668" t="str">
        <f t="shared" si="4"/>
        <v/>
      </c>
      <c r="AK47" s="668" t="str">
        <f t="shared" si="5"/>
        <v/>
      </c>
      <c r="AL47" s="668" t="str">
        <f t="shared" si="6"/>
        <v/>
      </c>
      <c r="AM47" s="668" t="str">
        <f t="shared" si="7"/>
        <v/>
      </c>
      <c r="AN47" s="668" t="str">
        <f t="shared" si="8"/>
        <v/>
      </c>
      <c r="AO47" s="668" t="str">
        <f t="shared" si="9"/>
        <v/>
      </c>
      <c r="AP47" s="668" t="str">
        <f t="shared" si="10"/>
        <v/>
      </c>
      <c r="AQ47" s="668" t="str">
        <f t="shared" si="11"/>
        <v/>
      </c>
      <c r="AR47" s="668" t="str">
        <f t="shared" si="12"/>
        <v/>
      </c>
      <c r="AS47" s="668" t="str">
        <f t="shared" si="13"/>
        <v/>
      </c>
      <c r="AT47" s="668" t="str">
        <f t="shared" si="14"/>
        <v/>
      </c>
      <c r="AU47" s="668" t="str">
        <f t="shared" si="15"/>
        <v/>
      </c>
      <c r="AV47" s="668" t="str">
        <f t="shared" si="16"/>
        <v/>
      </c>
      <c r="AW47" s="668" t="str">
        <f t="shared" si="17"/>
        <v/>
      </c>
      <c r="AX47" s="668" t="str">
        <f t="shared" si="18"/>
        <v/>
      </c>
      <c r="AY47" s="668" t="str">
        <f t="shared" si="19"/>
        <v/>
      </c>
      <c r="AZ47" s="668" t="str">
        <f t="shared" si="20"/>
        <v/>
      </c>
      <c r="BA47" s="668" t="str">
        <f t="shared" si="21"/>
        <v/>
      </c>
      <c r="BB47" s="668" t="str">
        <f t="shared" si="22"/>
        <v/>
      </c>
      <c r="BC47" s="668" t="str">
        <f t="shared" si="23"/>
        <v/>
      </c>
      <c r="BD47"/>
      <c r="BE47"/>
      <c r="BF47"/>
      <c r="BG47"/>
    </row>
    <row r="48" spans="1:60" ht="67.5">
      <c r="A48" s="2257"/>
      <c r="C48" s="42">
        <f>+PP!B66</f>
        <v>43</v>
      </c>
      <c r="D48" s="164" t="str">
        <f>+PP!C66</f>
        <v>TENTACULO C/B C/V SR 500-1000 g/pza (SUCIO)</v>
      </c>
      <c r="E48" s="2013"/>
      <c r="F48" s="1802"/>
      <c r="G48" s="1802"/>
      <c r="H48" s="1802"/>
      <c r="I48" s="1802"/>
      <c r="J48" s="1802"/>
      <c r="K48" s="1802"/>
      <c r="L48" s="1802"/>
      <c r="M48" s="1802"/>
      <c r="N48" s="1802"/>
      <c r="O48" s="1802"/>
      <c r="P48" s="1802"/>
      <c r="Q48" s="1802"/>
      <c r="R48" s="1802"/>
      <c r="S48" s="1847"/>
      <c r="T48" s="1847"/>
      <c r="U48" s="1847"/>
      <c r="V48" s="1847"/>
      <c r="W48" s="1847"/>
      <c r="X48" s="388"/>
      <c r="Y48" s="388"/>
      <c r="Z48" s="388"/>
      <c r="AA48" s="276"/>
      <c r="AB48" s="1392">
        <f t="shared" si="32"/>
        <v>0</v>
      </c>
      <c r="AC48" s="149">
        <f t="shared" si="0"/>
        <v>0</v>
      </c>
      <c r="AD48" s="146">
        <f t="shared" si="1"/>
        <v>0</v>
      </c>
      <c r="AE48" s="574"/>
      <c r="AF48"/>
      <c r="AG48"/>
      <c r="AH48" s="668" t="str">
        <f t="shared" si="2"/>
        <v/>
      </c>
      <c r="AI48" s="668" t="str">
        <f t="shared" si="3"/>
        <v/>
      </c>
      <c r="AJ48" s="668" t="str">
        <f t="shared" si="4"/>
        <v/>
      </c>
      <c r="AK48" s="668" t="str">
        <f t="shared" si="5"/>
        <v/>
      </c>
      <c r="AL48" s="668" t="str">
        <f t="shared" si="6"/>
        <v/>
      </c>
      <c r="AM48" s="668" t="str">
        <f t="shared" si="7"/>
        <v/>
      </c>
      <c r="AN48" s="668" t="str">
        <f t="shared" si="8"/>
        <v/>
      </c>
      <c r="AO48" s="668" t="str">
        <f t="shared" si="9"/>
        <v/>
      </c>
      <c r="AP48" s="668" t="str">
        <f t="shared" si="10"/>
        <v/>
      </c>
      <c r="AQ48" s="668" t="str">
        <f t="shared" si="11"/>
        <v/>
      </c>
      <c r="AR48" s="668" t="str">
        <f t="shared" si="12"/>
        <v/>
      </c>
      <c r="AS48" s="668" t="str">
        <f t="shared" si="13"/>
        <v/>
      </c>
      <c r="AT48" s="668" t="str">
        <f t="shared" si="14"/>
        <v/>
      </c>
      <c r="AU48" s="668" t="str">
        <f t="shared" si="15"/>
        <v/>
      </c>
      <c r="AV48" s="668" t="str">
        <f t="shared" si="16"/>
        <v/>
      </c>
      <c r="AW48" s="668" t="str">
        <f t="shared" si="17"/>
        <v/>
      </c>
      <c r="AX48" s="668" t="str">
        <f t="shared" si="18"/>
        <v/>
      </c>
      <c r="AY48" s="668" t="str">
        <f t="shared" si="19"/>
        <v/>
      </c>
      <c r="AZ48" s="668" t="str">
        <f t="shared" si="20"/>
        <v/>
      </c>
      <c r="BA48" s="668" t="str">
        <f t="shared" si="21"/>
        <v/>
      </c>
      <c r="BB48" s="668" t="str">
        <f t="shared" si="22"/>
        <v/>
      </c>
      <c r="BC48" s="668" t="str">
        <f t="shared" si="23"/>
        <v/>
      </c>
      <c r="BD48"/>
      <c r="BE48"/>
      <c r="BF48"/>
      <c r="BG48"/>
    </row>
    <row r="49" spans="1:93" ht="45.75">
      <c r="A49" s="2257"/>
      <c r="C49" s="42">
        <f>+PP!B67</f>
        <v>44</v>
      </c>
      <c r="D49" s="164" t="str">
        <f>+PP!C67</f>
        <v>TENTACULO C/B S/V SR 500-1000 g/pza</v>
      </c>
      <c r="E49" s="2013"/>
      <c r="F49" s="1802"/>
      <c r="G49" s="1802"/>
      <c r="H49" s="1802"/>
      <c r="I49" s="1802"/>
      <c r="J49" s="1802"/>
      <c r="K49" s="1802"/>
      <c r="L49" s="1802"/>
      <c r="M49" s="1802"/>
      <c r="N49" s="1802"/>
      <c r="O49" s="1802"/>
      <c r="P49" s="1802"/>
      <c r="Q49" s="1802"/>
      <c r="R49" s="1802"/>
      <c r="S49" s="1847"/>
      <c r="T49" s="1847"/>
      <c r="U49" s="1847"/>
      <c r="V49" s="1847"/>
      <c r="W49" s="1847"/>
      <c r="X49" s="388"/>
      <c r="Y49" s="388"/>
      <c r="Z49" s="388"/>
      <c r="AA49" s="276"/>
      <c r="AB49" s="1392">
        <f t="shared" si="32"/>
        <v>0</v>
      </c>
      <c r="AC49" s="149">
        <f t="shared" si="0"/>
        <v>0</v>
      </c>
      <c r="AD49" s="146">
        <f t="shared" si="1"/>
        <v>0</v>
      </c>
      <c r="AE49" s="574"/>
      <c r="AF49"/>
      <c r="AG49"/>
      <c r="AH49" s="668" t="str">
        <f t="shared" si="2"/>
        <v/>
      </c>
      <c r="AI49" s="668" t="str">
        <f t="shared" si="3"/>
        <v/>
      </c>
      <c r="AJ49" s="668" t="str">
        <f t="shared" si="4"/>
        <v/>
      </c>
      <c r="AK49" s="668" t="str">
        <f t="shared" si="5"/>
        <v/>
      </c>
      <c r="AL49" s="668" t="str">
        <f t="shared" si="6"/>
        <v/>
      </c>
      <c r="AM49" s="668" t="str">
        <f t="shared" si="7"/>
        <v/>
      </c>
      <c r="AN49" s="668" t="str">
        <f t="shared" si="8"/>
        <v/>
      </c>
      <c r="AO49" s="668" t="str">
        <f t="shared" si="9"/>
        <v/>
      </c>
      <c r="AP49" s="668" t="str">
        <f t="shared" si="10"/>
        <v/>
      </c>
      <c r="AQ49" s="668" t="str">
        <f t="shared" si="11"/>
        <v/>
      </c>
      <c r="AR49" s="668" t="str">
        <f t="shared" si="12"/>
        <v/>
      </c>
      <c r="AS49" s="668" t="str">
        <f t="shared" si="13"/>
        <v/>
      </c>
      <c r="AT49" s="668" t="str">
        <f t="shared" si="14"/>
        <v/>
      </c>
      <c r="AU49" s="668" t="str">
        <f t="shared" si="15"/>
        <v/>
      </c>
      <c r="AV49" s="668" t="str">
        <f t="shared" si="16"/>
        <v/>
      </c>
      <c r="AW49" s="668" t="str">
        <f t="shared" si="17"/>
        <v/>
      </c>
      <c r="AX49" s="668" t="str">
        <f t="shared" si="18"/>
        <v/>
      </c>
      <c r="AY49" s="668" t="str">
        <f t="shared" si="19"/>
        <v/>
      </c>
      <c r="AZ49" s="668" t="str">
        <f t="shared" si="20"/>
        <v/>
      </c>
      <c r="BA49" s="668" t="str">
        <f t="shared" si="21"/>
        <v/>
      </c>
      <c r="BB49" s="668" t="str">
        <f t="shared" si="22"/>
        <v/>
      </c>
      <c r="BC49" s="668" t="str">
        <f t="shared" si="23"/>
        <v/>
      </c>
      <c r="BD49"/>
      <c r="BE49"/>
      <c r="BF49"/>
      <c r="BG49"/>
    </row>
    <row r="50" spans="1:93" ht="67.5">
      <c r="A50" s="2257"/>
      <c r="C50" s="42">
        <f>+PP!B68</f>
        <v>45</v>
      </c>
      <c r="D50" s="164" t="str">
        <f>+PP!C68</f>
        <v>TENTACULO C/B C/V SR 1.0-2.0 Kg/pza (SUCIO)</v>
      </c>
      <c r="E50" s="2013"/>
      <c r="F50" s="1802"/>
      <c r="G50" s="1802"/>
      <c r="H50" s="1802"/>
      <c r="I50" s="1802"/>
      <c r="J50" s="1802"/>
      <c r="K50" s="1802"/>
      <c r="L50" s="1802"/>
      <c r="M50" s="1802"/>
      <c r="N50" s="1802"/>
      <c r="O50" s="1802"/>
      <c r="P50" s="1802"/>
      <c r="Q50" s="1802"/>
      <c r="R50" s="1802"/>
      <c r="S50" s="1847"/>
      <c r="T50" s="1847"/>
      <c r="U50" s="1847"/>
      <c r="V50" s="1847"/>
      <c r="W50" s="1847"/>
      <c r="X50" s="388"/>
      <c r="Y50" s="388"/>
      <c r="Z50" s="388"/>
      <c r="AA50" s="1873"/>
      <c r="AB50" s="1392">
        <f t="shared" si="32"/>
        <v>0</v>
      </c>
      <c r="AC50" s="149">
        <f t="shared" si="0"/>
        <v>0</v>
      </c>
      <c r="AD50" s="146">
        <f t="shared" si="1"/>
        <v>0</v>
      </c>
      <c r="AE50" s="574"/>
      <c r="AF50"/>
      <c r="AG50"/>
      <c r="AH50" s="668" t="str">
        <f t="shared" si="2"/>
        <v/>
      </c>
      <c r="AI50" s="668" t="str">
        <f t="shared" si="3"/>
        <v/>
      </c>
      <c r="AJ50" s="668" t="str">
        <f t="shared" si="4"/>
        <v/>
      </c>
      <c r="AK50" s="668" t="str">
        <f t="shared" si="5"/>
        <v/>
      </c>
      <c r="AL50" s="668" t="str">
        <f t="shared" si="6"/>
        <v/>
      </c>
      <c r="AM50" s="668" t="str">
        <f t="shared" si="7"/>
        <v/>
      </c>
      <c r="AN50" s="668" t="str">
        <f t="shared" si="8"/>
        <v/>
      </c>
      <c r="AO50" s="668" t="str">
        <f t="shared" si="9"/>
        <v/>
      </c>
      <c r="AP50" s="668" t="str">
        <f t="shared" si="10"/>
        <v/>
      </c>
      <c r="AQ50" s="668" t="str">
        <f t="shared" si="11"/>
        <v/>
      </c>
      <c r="AR50" s="668" t="str">
        <f t="shared" si="12"/>
        <v/>
      </c>
      <c r="AS50" s="668" t="str">
        <f t="shared" si="13"/>
        <v/>
      </c>
      <c r="AT50" s="668" t="str">
        <f t="shared" si="14"/>
        <v/>
      </c>
      <c r="AU50" s="668" t="str">
        <f t="shared" si="15"/>
        <v/>
      </c>
      <c r="AV50" s="668" t="str">
        <f t="shared" si="16"/>
        <v/>
      </c>
      <c r="AW50" s="668" t="str">
        <f t="shared" si="17"/>
        <v/>
      </c>
      <c r="AX50" s="668" t="str">
        <f t="shared" si="18"/>
        <v/>
      </c>
      <c r="AY50" s="668" t="str">
        <f t="shared" si="19"/>
        <v/>
      </c>
      <c r="AZ50" s="668" t="str">
        <f t="shared" si="20"/>
        <v/>
      </c>
      <c r="BA50" s="668" t="str">
        <f t="shared" si="21"/>
        <v/>
      </c>
      <c r="BB50" s="668" t="str">
        <f t="shared" si="22"/>
        <v/>
      </c>
      <c r="BC50" s="668" t="str">
        <f t="shared" si="23"/>
        <v/>
      </c>
      <c r="BD50"/>
      <c r="BE50"/>
      <c r="BF50"/>
      <c r="BG50"/>
    </row>
    <row r="51" spans="1:93" ht="45.75">
      <c r="A51" s="2257"/>
      <c r="C51" s="42">
        <f>+PP!B69</f>
        <v>46</v>
      </c>
      <c r="D51" s="164" t="str">
        <f>+PP!C69</f>
        <v>TENTACULO C/B S/V SR 1.0-2.0 Kg/pza</v>
      </c>
      <c r="E51" s="2013"/>
      <c r="F51" s="1802"/>
      <c r="G51" s="1802"/>
      <c r="H51" s="1802"/>
      <c r="I51" s="1802"/>
      <c r="J51" s="1802"/>
      <c r="K51" s="1802"/>
      <c r="L51" s="1802"/>
      <c r="M51" s="1802"/>
      <c r="N51" s="1802"/>
      <c r="O51" s="1802"/>
      <c r="P51" s="1802"/>
      <c r="Q51" s="1802"/>
      <c r="R51" s="1802"/>
      <c r="S51" s="1847"/>
      <c r="T51" s="1847"/>
      <c r="U51" s="1847"/>
      <c r="V51" s="1847"/>
      <c r="W51" s="1847"/>
      <c r="X51" s="388"/>
      <c r="Y51" s="388"/>
      <c r="Z51" s="388"/>
      <c r="AA51" s="1873"/>
      <c r="AB51" s="1392">
        <f t="shared" si="32"/>
        <v>0</v>
      </c>
      <c r="AC51" s="149">
        <f t="shared" si="0"/>
        <v>0</v>
      </c>
      <c r="AD51" s="146">
        <f t="shared" si="1"/>
        <v>0</v>
      </c>
      <c r="AE51" s="574"/>
      <c r="AF51"/>
      <c r="AG51"/>
      <c r="AH51" s="668" t="str">
        <f t="shared" si="2"/>
        <v/>
      </c>
      <c r="AI51" s="668" t="str">
        <f t="shared" si="3"/>
        <v/>
      </c>
      <c r="AJ51" s="668" t="str">
        <f t="shared" si="4"/>
        <v/>
      </c>
      <c r="AK51" s="668" t="str">
        <f t="shared" si="5"/>
        <v/>
      </c>
      <c r="AL51" s="668" t="str">
        <f t="shared" si="6"/>
        <v/>
      </c>
      <c r="AM51" s="668" t="str">
        <f t="shared" si="7"/>
        <v/>
      </c>
      <c r="AN51" s="668" t="str">
        <f t="shared" si="8"/>
        <v/>
      </c>
      <c r="AO51" s="668" t="str">
        <f t="shared" si="9"/>
        <v/>
      </c>
      <c r="AP51" s="668" t="str">
        <f t="shared" si="10"/>
        <v/>
      </c>
      <c r="AQ51" s="668" t="str">
        <f t="shared" si="11"/>
        <v/>
      </c>
      <c r="AR51" s="668" t="str">
        <f t="shared" si="12"/>
        <v/>
      </c>
      <c r="AS51" s="668" t="str">
        <f t="shared" si="13"/>
        <v/>
      </c>
      <c r="AT51" s="668" t="str">
        <f t="shared" si="14"/>
        <v/>
      </c>
      <c r="AU51" s="668" t="str">
        <f t="shared" si="15"/>
        <v/>
      </c>
      <c r="AV51" s="668" t="str">
        <f t="shared" si="16"/>
        <v/>
      </c>
      <c r="AW51" s="668" t="str">
        <f t="shared" si="17"/>
        <v/>
      </c>
      <c r="AX51" s="668" t="str">
        <f t="shared" si="18"/>
        <v/>
      </c>
      <c r="AY51" s="668" t="str">
        <f t="shared" si="19"/>
        <v/>
      </c>
      <c r="AZ51" s="668" t="str">
        <f t="shared" si="20"/>
        <v/>
      </c>
      <c r="BA51" s="668" t="str">
        <f t="shared" si="21"/>
        <v/>
      </c>
      <c r="BB51" s="668" t="str">
        <f t="shared" si="22"/>
        <v/>
      </c>
      <c r="BC51" s="668" t="str">
        <f t="shared" si="23"/>
        <v/>
      </c>
      <c r="BD51"/>
      <c r="BE51"/>
      <c r="BF51"/>
      <c r="BG51"/>
    </row>
    <row r="52" spans="1:93" ht="46.5" thickBot="1">
      <c r="A52" s="2257"/>
      <c r="C52" s="42">
        <f>+PP!B70</f>
        <v>47</v>
      </c>
      <c r="D52" s="167" t="str">
        <f>+PP!C70</f>
        <v>TENTACULO C/B S/V SR 2 UP Kg/pza</v>
      </c>
      <c r="E52" s="2014"/>
      <c r="F52" s="1829"/>
      <c r="G52" s="1829"/>
      <c r="H52" s="1829"/>
      <c r="I52" s="1829"/>
      <c r="J52" s="1829"/>
      <c r="K52" s="1829"/>
      <c r="L52" s="1829"/>
      <c r="M52" s="1829"/>
      <c r="N52" s="1829"/>
      <c r="O52" s="1829"/>
      <c r="P52" s="1829"/>
      <c r="Q52" s="1829"/>
      <c r="R52" s="1829"/>
      <c r="S52" s="1850"/>
      <c r="T52" s="1850"/>
      <c r="U52" s="1850"/>
      <c r="V52" s="1850"/>
      <c r="W52" s="1850"/>
      <c r="X52" s="1154"/>
      <c r="Y52" s="1154"/>
      <c r="Z52" s="1154"/>
      <c r="AA52" s="2992"/>
      <c r="AB52" s="1821">
        <f t="shared" si="32"/>
        <v>0</v>
      </c>
      <c r="AC52" s="155">
        <f t="shared" si="0"/>
        <v>0</v>
      </c>
      <c r="AD52" s="156">
        <f t="shared" si="1"/>
        <v>0</v>
      </c>
      <c r="AE52" s="574"/>
      <c r="AF52"/>
      <c r="AG52"/>
      <c r="AH52" s="668" t="str">
        <f t="shared" si="2"/>
        <v/>
      </c>
      <c r="AI52" s="668" t="str">
        <f t="shared" si="3"/>
        <v/>
      </c>
      <c r="AJ52" s="668" t="str">
        <f t="shared" si="4"/>
        <v/>
      </c>
      <c r="AK52" s="668" t="str">
        <f t="shared" si="5"/>
        <v/>
      </c>
      <c r="AL52" s="668" t="str">
        <f t="shared" si="6"/>
        <v/>
      </c>
      <c r="AM52" s="668" t="str">
        <f t="shared" si="7"/>
        <v/>
      </c>
      <c r="AN52" s="668" t="str">
        <f t="shared" si="8"/>
        <v/>
      </c>
      <c r="AO52" s="668" t="str">
        <f t="shared" si="9"/>
        <v/>
      </c>
      <c r="AP52" s="668" t="str">
        <f t="shared" si="10"/>
        <v/>
      </c>
      <c r="AQ52" s="668" t="str">
        <f t="shared" si="11"/>
        <v/>
      </c>
      <c r="AR52" s="668" t="str">
        <f t="shared" si="12"/>
        <v/>
      </c>
      <c r="AS52" s="668" t="str">
        <f t="shared" si="13"/>
        <v/>
      </c>
      <c r="AT52" s="668" t="str">
        <f t="shared" si="14"/>
        <v/>
      </c>
      <c r="AU52" s="668" t="str">
        <f t="shared" si="15"/>
        <v/>
      </c>
      <c r="AV52" s="668" t="str">
        <f t="shared" si="16"/>
        <v/>
      </c>
      <c r="AW52" s="668" t="str">
        <f t="shared" si="17"/>
        <v/>
      </c>
      <c r="AX52" s="668" t="str">
        <f t="shared" si="18"/>
        <v/>
      </c>
      <c r="AY52" s="668" t="str">
        <f t="shared" si="19"/>
        <v/>
      </c>
      <c r="AZ52" s="668" t="str">
        <f t="shared" si="20"/>
        <v/>
      </c>
      <c r="BA52" s="668" t="str">
        <f t="shared" si="21"/>
        <v/>
      </c>
      <c r="BB52" s="668" t="str">
        <f t="shared" si="22"/>
        <v/>
      </c>
      <c r="BC52" s="668" t="str">
        <f t="shared" si="23"/>
        <v/>
      </c>
      <c r="BD52"/>
      <c r="BE52"/>
      <c r="BF52"/>
      <c r="BG52"/>
    </row>
    <row r="53" spans="1:93" ht="46.5" thickBot="1">
      <c r="A53" s="2257"/>
      <c r="C53" s="40">
        <f>+PP!B71</f>
        <v>48</v>
      </c>
      <c r="D53" s="165" t="str">
        <f>+PP!C71</f>
        <v>TUBO ALETA 500-1000 g/pza</v>
      </c>
      <c r="E53" s="2979"/>
      <c r="F53" s="2980"/>
      <c r="G53" s="2980"/>
      <c r="H53" s="2980"/>
      <c r="I53" s="2980"/>
      <c r="J53" s="2980"/>
      <c r="K53" s="2980"/>
      <c r="L53" s="2980"/>
      <c r="M53" s="2980"/>
      <c r="N53" s="2980"/>
      <c r="O53" s="2980"/>
      <c r="P53" s="2980"/>
      <c r="Q53" s="2980"/>
      <c r="R53" s="2981"/>
      <c r="S53" s="2981"/>
      <c r="T53" s="2981"/>
      <c r="U53" s="2981"/>
      <c r="V53" s="2981"/>
      <c r="W53" s="2981"/>
      <c r="X53" s="1156"/>
      <c r="Y53" s="1156"/>
      <c r="Z53" s="1156"/>
      <c r="AA53" s="2996"/>
      <c r="AB53" s="1697">
        <f t="shared" si="32"/>
        <v>0</v>
      </c>
      <c r="AC53" s="153">
        <f t="shared" si="0"/>
        <v>0</v>
      </c>
      <c r="AD53" s="154">
        <f t="shared" si="1"/>
        <v>0</v>
      </c>
      <c r="AE53" s="574"/>
      <c r="AF53"/>
      <c r="AG53"/>
      <c r="AH53" s="668" t="str">
        <f t="shared" si="2"/>
        <v/>
      </c>
      <c r="AI53" s="668" t="str">
        <f t="shared" si="3"/>
        <v/>
      </c>
      <c r="AJ53" s="668" t="str">
        <f t="shared" si="4"/>
        <v/>
      </c>
      <c r="AK53" s="668" t="str">
        <f t="shared" si="5"/>
        <v/>
      </c>
      <c r="AL53" s="668" t="str">
        <f t="shared" si="6"/>
        <v/>
      </c>
      <c r="AM53" s="668" t="str">
        <f t="shared" si="7"/>
        <v/>
      </c>
      <c r="AN53" s="668" t="str">
        <f t="shared" si="8"/>
        <v/>
      </c>
      <c r="AO53" s="668" t="str">
        <f t="shared" si="9"/>
        <v/>
      </c>
      <c r="AP53" s="668" t="str">
        <f t="shared" si="10"/>
        <v/>
      </c>
      <c r="AQ53" s="668" t="str">
        <f t="shared" si="11"/>
        <v/>
      </c>
      <c r="AR53" s="668" t="str">
        <f t="shared" si="12"/>
        <v/>
      </c>
      <c r="AS53" s="668" t="str">
        <f t="shared" si="13"/>
        <v/>
      </c>
      <c r="AT53" s="668" t="str">
        <f t="shared" si="14"/>
        <v/>
      </c>
      <c r="AU53" s="668" t="str">
        <f t="shared" si="15"/>
        <v/>
      </c>
      <c r="AV53" s="668" t="str">
        <f t="shared" si="16"/>
        <v/>
      </c>
      <c r="AW53" s="668" t="str">
        <f t="shared" si="17"/>
        <v/>
      </c>
      <c r="AX53" s="668" t="str">
        <f t="shared" si="18"/>
        <v/>
      </c>
      <c r="AY53" s="668" t="str">
        <f t="shared" si="19"/>
        <v/>
      </c>
      <c r="AZ53" s="668" t="str">
        <f t="shared" si="20"/>
        <v/>
      </c>
      <c r="BA53" s="668" t="str">
        <f t="shared" si="21"/>
        <v/>
      </c>
      <c r="BB53" s="668" t="str">
        <f t="shared" si="22"/>
        <v/>
      </c>
      <c r="BC53" s="668" t="str">
        <f t="shared" si="23"/>
        <v/>
      </c>
      <c r="BD53"/>
      <c r="BE53"/>
      <c r="BF53"/>
      <c r="BG53"/>
    </row>
    <row r="54" spans="1:93" ht="70.150000000000006" customHeight="1" thickBot="1">
      <c r="A54" s="2257"/>
      <c r="D54" s="1791" t="s">
        <v>38</v>
      </c>
      <c r="E54" s="1832">
        <f t="shared" ref="E54:AD54" si="34">SUM(E6:E53)</f>
        <v>0</v>
      </c>
      <c r="F54" s="1832">
        <f t="shared" si="34"/>
        <v>0</v>
      </c>
      <c r="G54" s="1832">
        <f t="shared" si="34"/>
        <v>0</v>
      </c>
      <c r="H54" s="1832">
        <f t="shared" si="34"/>
        <v>0</v>
      </c>
      <c r="I54" s="1832">
        <f t="shared" si="34"/>
        <v>0</v>
      </c>
      <c r="J54" s="1832">
        <f t="shared" si="34"/>
        <v>0</v>
      </c>
      <c r="K54" s="1832">
        <f t="shared" si="34"/>
        <v>0</v>
      </c>
      <c r="L54" s="1832">
        <f t="shared" si="34"/>
        <v>0</v>
      </c>
      <c r="M54" s="1832">
        <f t="shared" si="34"/>
        <v>0</v>
      </c>
      <c r="N54" s="1832">
        <f t="shared" si="34"/>
        <v>0</v>
      </c>
      <c r="O54" s="1832">
        <f t="shared" si="34"/>
        <v>0</v>
      </c>
      <c r="P54" s="1832">
        <f t="shared" si="34"/>
        <v>0</v>
      </c>
      <c r="Q54" s="1832">
        <f t="shared" si="34"/>
        <v>0</v>
      </c>
      <c r="R54" s="1832">
        <f t="shared" si="34"/>
        <v>0</v>
      </c>
      <c r="S54" s="1832">
        <f t="shared" si="34"/>
        <v>0</v>
      </c>
      <c r="T54" s="1832">
        <f t="shared" si="34"/>
        <v>0</v>
      </c>
      <c r="U54" s="1832">
        <f t="shared" si="34"/>
        <v>0</v>
      </c>
      <c r="V54" s="1832">
        <f t="shared" si="34"/>
        <v>0</v>
      </c>
      <c r="W54" s="1832">
        <f t="shared" si="34"/>
        <v>0</v>
      </c>
      <c r="X54" s="1832">
        <f t="shared" si="34"/>
        <v>0</v>
      </c>
      <c r="Y54" s="1832">
        <f t="shared" si="34"/>
        <v>0</v>
      </c>
      <c r="Z54" s="1832">
        <f t="shared" si="34"/>
        <v>0</v>
      </c>
      <c r="AA54" s="2997">
        <f t="shared" si="34"/>
        <v>0</v>
      </c>
      <c r="AB54" s="540">
        <f t="shared" si="34"/>
        <v>0</v>
      </c>
      <c r="AC54" s="2998">
        <f t="shared" si="34"/>
        <v>0</v>
      </c>
      <c r="AD54" s="59">
        <f t="shared" si="34"/>
        <v>0</v>
      </c>
      <c r="AE54" s="592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93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1718"/>
      <c r="V55" s="1718"/>
      <c r="W55" s="1718"/>
      <c r="X55" s="1718"/>
      <c r="Y55" s="30"/>
      <c r="Z55" s="30"/>
    </row>
    <row r="56" spans="1:93" ht="46.5" customHeight="1" thickBot="1">
      <c r="D56" s="46" t="s">
        <v>120</v>
      </c>
      <c r="E56" s="2258" t="s">
        <v>121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60"/>
      <c r="S56" s="2260"/>
      <c r="T56" s="2260"/>
      <c r="U56" s="2260"/>
      <c r="V56" s="2260"/>
      <c r="W56" s="2260"/>
      <c r="X56" s="2260"/>
      <c r="Y56" s="2259"/>
      <c r="Z56" s="2259"/>
      <c r="AA56" s="2535"/>
      <c r="CN56" s="33" t="s">
        <v>77</v>
      </c>
      <c r="CO56" s="31" t="str">
        <f>IF(PP!K20=0,"",AD54/PP!K20*100)</f>
        <v/>
      </c>
    </row>
    <row r="57" spans="1:93" ht="88.5">
      <c r="J57" s="30"/>
      <c r="K57" s="30"/>
      <c r="L57" s="30"/>
      <c r="M57" s="30"/>
      <c r="N57" s="30"/>
      <c r="O57" s="30"/>
      <c r="P57" s="30"/>
      <c r="Q57" s="30"/>
      <c r="R57" s="452"/>
      <c r="S57" s="452"/>
      <c r="T57" s="452"/>
      <c r="U57" s="452"/>
      <c r="V57" s="1584"/>
      <c r="W57" s="452"/>
      <c r="X57" s="452"/>
    </row>
    <row r="58" spans="1:93" ht="88.5">
      <c r="E58" s="1194"/>
      <c r="F58" s="1194"/>
      <c r="G58" s="1194"/>
      <c r="H58" s="1194"/>
      <c r="I58" s="1194"/>
      <c r="J58" s="1194"/>
      <c r="K58" s="1194"/>
      <c r="L58" s="1194"/>
      <c r="M58" s="1194"/>
      <c r="N58" s="1194"/>
      <c r="O58" s="1194"/>
      <c r="P58" s="1194"/>
      <c r="Q58" s="1194"/>
      <c r="R58" s="1584"/>
      <c r="S58" s="1584"/>
      <c r="T58" s="1584"/>
      <c r="U58" s="1584"/>
      <c r="V58" s="452"/>
      <c r="W58" s="1584"/>
      <c r="X58" s="1584"/>
      <c r="Y58" s="1194"/>
      <c r="Z58" s="1194"/>
      <c r="AA58" s="1194"/>
      <c r="AB58" s="1194"/>
      <c r="AC58" s="1194"/>
      <c r="AD58" s="1194"/>
    </row>
    <row r="59" spans="1:93" ht="89.25" thickBot="1">
      <c r="E59" s="1194"/>
      <c r="F59" s="1194"/>
      <c r="G59" s="1194"/>
      <c r="H59" s="1194"/>
      <c r="I59" s="1194"/>
      <c r="J59" s="1194"/>
      <c r="K59" s="1194"/>
      <c r="L59" s="1194"/>
      <c r="M59" s="1194"/>
      <c r="N59" s="1194"/>
      <c r="O59" s="1194"/>
      <c r="P59" s="1194"/>
      <c r="Q59" s="1194"/>
      <c r="R59" s="1584"/>
      <c r="S59" s="1584"/>
      <c r="T59" s="1584"/>
      <c r="U59" s="1584"/>
      <c r="V59" s="1584"/>
      <c r="W59" s="1584"/>
      <c r="X59" s="1584"/>
      <c r="Y59" s="1194"/>
      <c r="Z59" s="1194"/>
      <c r="AA59" s="1194"/>
      <c r="AB59" s="1194"/>
      <c r="AC59" s="1194"/>
      <c r="AD59" s="1194"/>
    </row>
    <row r="60" spans="1:93" ht="33.950000000000003" customHeight="1" thickTop="1" thickBot="1">
      <c r="D60" s="2526" t="s">
        <v>657</v>
      </c>
      <c r="E60" s="2527"/>
      <c r="F60" s="2527"/>
      <c r="G60" s="2527"/>
      <c r="H60" s="2527"/>
      <c r="I60" s="2527"/>
      <c r="J60" s="2528"/>
      <c r="K60" s="28"/>
      <c r="O60" s="1194"/>
      <c r="P60" s="1194"/>
      <c r="Q60" s="2595" t="s">
        <v>604</v>
      </c>
      <c r="R60" s="2596"/>
      <c r="S60" s="2597"/>
      <c r="T60" s="1584"/>
      <c r="U60" s="1584"/>
      <c r="V60" s="1584"/>
      <c r="W60" s="1584"/>
      <c r="X60" s="1584"/>
      <c r="Y60" s="1194"/>
      <c r="Z60" s="1194"/>
      <c r="AA60" s="1194"/>
      <c r="AB60" s="1194"/>
      <c r="AC60" s="1194"/>
      <c r="AD60" s="1194"/>
    </row>
    <row r="61" spans="1:93" ht="30.95" customHeight="1">
      <c r="D61" s="2532" t="s">
        <v>15</v>
      </c>
      <c r="E61" s="2533"/>
      <c r="F61" s="2533"/>
      <c r="G61" s="2533"/>
      <c r="H61" s="1466" t="s">
        <v>186</v>
      </c>
      <c r="I61" s="1466" t="s">
        <v>674</v>
      </c>
      <c r="J61" s="1466" t="s">
        <v>667</v>
      </c>
      <c r="K61" s="1466" t="s">
        <v>671</v>
      </c>
      <c r="L61" s="1466" t="s">
        <v>672</v>
      </c>
      <c r="M61" s="1469" t="s">
        <v>3</v>
      </c>
      <c r="N61" s="1463"/>
      <c r="P61" s="1194"/>
      <c r="Q61" s="2591" t="s">
        <v>658</v>
      </c>
      <c r="R61" s="2598"/>
      <c r="S61" s="1912">
        <f>+AD54</f>
        <v>0</v>
      </c>
      <c r="T61" s="1584"/>
      <c r="U61" s="1584"/>
      <c r="V61" s="1584"/>
      <c r="W61" s="1584"/>
      <c r="X61" s="1584"/>
      <c r="Y61" s="1194"/>
      <c r="Z61" s="1194"/>
      <c r="AA61" s="1194"/>
      <c r="AB61" s="1194"/>
      <c r="AC61" s="1194"/>
      <c r="AD61" s="1194"/>
    </row>
    <row r="62" spans="1:93" ht="30.95" customHeight="1">
      <c r="D62" s="2521">
        <v>1</v>
      </c>
      <c r="E62" s="2522"/>
      <c r="F62" s="2522"/>
      <c r="G62" s="2522"/>
      <c r="H62" s="1449" t="str">
        <f>+'T1'!E62</f>
        <v xml:space="preserve">ANDRES </v>
      </c>
      <c r="I62" s="1443"/>
      <c r="J62" s="1443"/>
      <c r="K62" s="1443"/>
      <c r="L62" s="1443"/>
      <c r="M62" s="1468">
        <f>SUM(I62+J62+K62+L62)</f>
        <v>0</v>
      </c>
      <c r="N62" s="1464"/>
      <c r="P62" s="1194"/>
      <c r="Q62" s="2591" t="s">
        <v>8</v>
      </c>
      <c r="R62" s="2598"/>
      <c r="S62" s="1912">
        <f>M73</f>
        <v>0</v>
      </c>
      <c r="T62" s="1584"/>
      <c r="U62" s="1584"/>
      <c r="V62" s="1584"/>
      <c r="W62" s="1584"/>
      <c r="X62" s="1584"/>
      <c r="Y62" s="1194"/>
      <c r="Z62" s="1194"/>
      <c r="AA62" s="1194"/>
      <c r="AB62" s="1194"/>
      <c r="AC62" s="1194"/>
      <c r="AD62" s="1194"/>
    </row>
    <row r="63" spans="1:93" ht="30.95" customHeight="1">
      <c r="D63" s="2521">
        <v>2</v>
      </c>
      <c r="E63" s="2522"/>
      <c r="F63" s="2522"/>
      <c r="G63" s="2522"/>
      <c r="H63" s="1449" t="str">
        <f>+'T1'!E63</f>
        <v xml:space="preserve">FLOR </v>
      </c>
      <c r="I63" s="1444"/>
      <c r="J63" s="1444"/>
      <c r="K63" s="1444"/>
      <c r="L63" s="1444"/>
      <c r="M63" s="1468">
        <f t="shared" ref="M63:M72" si="35">SUM(I63+J63+K63+L63)</f>
        <v>0</v>
      </c>
      <c r="N63" s="1464"/>
      <c r="P63" s="1194"/>
      <c r="Q63" s="2591" t="s">
        <v>659</v>
      </c>
      <c r="R63" s="2592"/>
      <c r="S63" s="1913">
        <f>S61-S62</f>
        <v>0</v>
      </c>
      <c r="T63" s="1194"/>
      <c r="U63" s="1194"/>
      <c r="V63" s="1194"/>
      <c r="W63" s="1194"/>
      <c r="X63" s="1194"/>
      <c r="Y63" s="1194"/>
      <c r="Z63" s="1194"/>
      <c r="AA63" s="1194"/>
      <c r="AB63" s="1194"/>
      <c r="AC63" s="1194"/>
      <c r="AD63" s="1194"/>
    </row>
    <row r="64" spans="1:93" ht="30.95" customHeight="1" thickBot="1">
      <c r="D64" s="2521">
        <v>3</v>
      </c>
      <c r="E64" s="2522"/>
      <c r="F64" s="2522"/>
      <c r="G64" s="2522"/>
      <c r="H64" s="1449" t="str">
        <f>+'T1'!E64</f>
        <v>HANNOY</v>
      </c>
      <c r="I64" s="1443"/>
      <c r="J64" s="1443"/>
      <c r="K64" s="1443"/>
      <c r="L64" s="1443"/>
      <c r="M64" s="1468">
        <f t="shared" si="35"/>
        <v>0</v>
      </c>
      <c r="N64" s="1464"/>
      <c r="P64" s="1194"/>
      <c r="Q64" s="2593" t="s">
        <v>449</v>
      </c>
      <c r="R64" s="2594"/>
      <c r="S64" s="1914" t="str">
        <f>IF(S63&lt;0,"SOBRA",IF(S63&gt;0,"FALTA","OK"))</f>
        <v>OK</v>
      </c>
      <c r="T64" s="1194"/>
      <c r="U64" s="1194"/>
      <c r="V64" s="1194"/>
      <c r="W64" s="1194"/>
      <c r="X64" s="1194"/>
      <c r="Y64" s="1194"/>
      <c r="Z64" s="1194"/>
      <c r="AA64" s="1194"/>
      <c r="AB64" s="1194"/>
      <c r="AC64" s="1194"/>
      <c r="AD64" s="1194"/>
    </row>
    <row r="65" spans="4:30" ht="30.95" customHeight="1">
      <c r="D65" s="2521">
        <v>4</v>
      </c>
      <c r="E65" s="2522"/>
      <c r="F65" s="2522"/>
      <c r="G65" s="2522"/>
      <c r="H65" s="1449" t="str">
        <f>+'T1'!E65</f>
        <v>CHERLITA</v>
      </c>
      <c r="I65" s="1443"/>
      <c r="J65" s="1443"/>
      <c r="K65" s="1443"/>
      <c r="L65" s="1443"/>
      <c r="M65" s="1468">
        <f t="shared" si="35"/>
        <v>0</v>
      </c>
      <c r="N65" s="1464"/>
      <c r="P65" s="1194"/>
      <c r="Q65" s="28"/>
      <c r="R65" s="28"/>
      <c r="S65" s="28"/>
      <c r="T65" s="1194"/>
      <c r="U65" s="1194"/>
      <c r="V65" s="1194"/>
      <c r="W65" s="1194"/>
      <c r="X65" s="1194"/>
      <c r="Y65" s="1194"/>
      <c r="Z65" s="1194"/>
      <c r="AA65" s="1194"/>
      <c r="AB65" s="1194"/>
      <c r="AC65" s="1194"/>
      <c r="AD65" s="1194"/>
    </row>
    <row r="66" spans="4:30" ht="33.950000000000003" customHeight="1">
      <c r="D66" s="2521">
        <v>5</v>
      </c>
      <c r="E66" s="2522"/>
      <c r="F66" s="2522"/>
      <c r="G66" s="2522"/>
      <c r="H66" s="1449" t="str">
        <f>+'T1'!E66</f>
        <v>CHARLY</v>
      </c>
      <c r="I66" s="1443"/>
      <c r="J66" s="1443"/>
      <c r="K66" s="1443"/>
      <c r="L66" s="1443"/>
      <c r="M66" s="1468">
        <f t="shared" si="35"/>
        <v>0</v>
      </c>
      <c r="N66" s="1464"/>
      <c r="P66" s="1194"/>
      <c r="Q66" s="2249" t="s">
        <v>660</v>
      </c>
      <c r="R66" s="2250"/>
      <c r="S66" s="2250"/>
      <c r="T66" s="1194"/>
      <c r="U66" s="1194"/>
      <c r="V66" s="1194"/>
      <c r="W66" s="1194"/>
      <c r="X66" s="1194"/>
      <c r="Y66" s="1194"/>
      <c r="Z66" s="1194"/>
      <c r="AA66" s="1194"/>
      <c r="AB66" s="1194"/>
      <c r="AC66" s="1194"/>
      <c r="AD66" s="1194"/>
    </row>
    <row r="67" spans="4:30" ht="33.950000000000003" customHeight="1">
      <c r="D67" s="2521">
        <v>6</v>
      </c>
      <c r="E67" s="2522"/>
      <c r="F67" s="2522"/>
      <c r="G67" s="2522"/>
      <c r="H67" s="1449" t="str">
        <f>+'T1'!E67</f>
        <v>POLANCO</v>
      </c>
      <c r="I67" s="1443"/>
      <c r="J67" s="1443"/>
      <c r="K67" s="1443"/>
      <c r="L67" s="1443"/>
      <c r="M67" s="1468">
        <f t="shared" si="35"/>
        <v>0</v>
      </c>
      <c r="N67" s="1464"/>
      <c r="P67" s="1194"/>
      <c r="Q67" s="2250" t="s">
        <v>662</v>
      </c>
      <c r="R67" s="2250"/>
      <c r="S67" s="2250"/>
      <c r="T67" s="1194"/>
      <c r="U67" s="1194"/>
      <c r="V67" s="1194"/>
      <c r="W67" s="1194"/>
      <c r="X67" s="1194"/>
      <c r="Y67" s="1194"/>
      <c r="Z67" s="1194"/>
      <c r="AA67" s="1194"/>
      <c r="AB67" s="1194"/>
      <c r="AC67" s="1194"/>
      <c r="AD67" s="1194"/>
    </row>
    <row r="68" spans="4:30" ht="33.950000000000003" customHeight="1">
      <c r="D68" s="2521">
        <v>7</v>
      </c>
      <c r="E68" s="2522"/>
      <c r="F68" s="2522"/>
      <c r="G68" s="2522"/>
      <c r="H68" s="1449" t="str">
        <f>+'T1'!E68</f>
        <v>ELIANA</v>
      </c>
      <c r="I68" s="1443"/>
      <c r="J68" s="1443"/>
      <c r="K68" s="1443"/>
      <c r="L68" s="1443"/>
      <c r="M68" s="1468">
        <f t="shared" si="35"/>
        <v>0</v>
      </c>
      <c r="N68" s="1464"/>
      <c r="P68" s="1194"/>
      <c r="Q68" s="1194"/>
      <c r="R68" s="1194"/>
      <c r="S68" s="1194"/>
      <c r="T68" s="1194"/>
      <c r="U68" s="1194"/>
      <c r="V68" s="1194"/>
      <c r="W68" s="1194"/>
      <c r="X68" s="1194"/>
      <c r="Y68" s="1194"/>
      <c r="Z68" s="1194"/>
      <c r="AA68" s="1194"/>
      <c r="AB68" s="1194"/>
      <c r="AC68" s="1194"/>
      <c r="AD68" s="1194"/>
    </row>
    <row r="69" spans="4:30" ht="33.950000000000003" customHeight="1">
      <c r="D69" s="2521">
        <v>8</v>
      </c>
      <c r="E69" s="2522"/>
      <c r="F69" s="2522"/>
      <c r="G69" s="2522"/>
      <c r="H69" s="1449" t="str">
        <f>+'T1'!E69</f>
        <v>ALENET</v>
      </c>
      <c r="I69" s="1443"/>
      <c r="J69" s="1443"/>
      <c r="K69" s="1443"/>
      <c r="L69" s="1443"/>
      <c r="M69" s="1468">
        <f t="shared" si="35"/>
        <v>0</v>
      </c>
      <c r="N69" s="1464"/>
      <c r="P69" s="1194"/>
      <c r="Q69" s="1194"/>
      <c r="R69" s="1194"/>
      <c r="S69" s="1194"/>
      <c r="T69" s="1194"/>
      <c r="U69" s="1194"/>
      <c r="V69" s="1194"/>
      <c r="W69" s="1194"/>
      <c r="X69" s="1194"/>
      <c r="Y69" s="1194"/>
      <c r="Z69" s="1194"/>
      <c r="AA69" s="1194"/>
      <c r="AB69" s="1194"/>
      <c r="AC69" s="1194"/>
      <c r="AD69" s="1194"/>
    </row>
    <row r="70" spans="4:30" ht="33.950000000000003" customHeight="1">
      <c r="D70" s="2521">
        <v>9</v>
      </c>
      <c r="E70" s="2522"/>
      <c r="F70" s="2522"/>
      <c r="G70" s="2522"/>
      <c r="H70" s="1449" t="str">
        <f>+'T1'!E70</f>
        <v>ERIKA</v>
      </c>
      <c r="I70" s="1443"/>
      <c r="J70" s="1443"/>
      <c r="K70" s="1443"/>
      <c r="L70" s="1443"/>
      <c r="M70" s="1468">
        <f t="shared" si="35"/>
        <v>0</v>
      </c>
      <c r="N70" s="1464"/>
      <c r="P70" s="1194"/>
      <c r="Q70" s="1194"/>
      <c r="R70" s="1194"/>
      <c r="S70" s="1194"/>
      <c r="T70" s="1194"/>
      <c r="U70" s="1194"/>
      <c r="V70" s="1194"/>
      <c r="W70" s="1194"/>
      <c r="X70" s="1194"/>
      <c r="Y70" s="1194"/>
      <c r="Z70" s="1194"/>
      <c r="AA70" s="1194"/>
      <c r="AB70" s="1194"/>
      <c r="AC70" s="1194"/>
      <c r="AD70" s="1194"/>
    </row>
    <row r="71" spans="4:30" ht="30.95" customHeight="1">
      <c r="D71" s="2521">
        <v>10</v>
      </c>
      <c r="E71" s="2522"/>
      <c r="F71" s="2522"/>
      <c r="G71" s="2522"/>
      <c r="H71" s="1449" t="str">
        <f>+'T1'!E71</f>
        <v>MARILU</v>
      </c>
      <c r="I71" s="1443"/>
      <c r="J71" s="1443"/>
      <c r="K71" s="1443"/>
      <c r="L71" s="1443"/>
      <c r="M71" s="1468">
        <f t="shared" si="35"/>
        <v>0</v>
      </c>
      <c r="N71" s="1464"/>
      <c r="P71" s="1194"/>
      <c r="Q71" s="1194"/>
      <c r="R71" s="1194"/>
      <c r="S71" s="1194"/>
      <c r="T71" s="1194"/>
      <c r="U71" s="1194"/>
      <c r="V71" s="1194"/>
      <c r="W71" s="1194"/>
      <c r="X71" s="1194"/>
      <c r="Y71" s="1194"/>
      <c r="Z71" s="1194"/>
      <c r="AA71" s="1194"/>
      <c r="AB71" s="1194"/>
      <c r="AC71" s="1194"/>
      <c r="AD71" s="1194"/>
    </row>
    <row r="72" spans="4:30" ht="30.95" customHeight="1">
      <c r="D72" s="2521">
        <v>11</v>
      </c>
      <c r="E72" s="2522"/>
      <c r="F72" s="2522"/>
      <c r="G72" s="2522"/>
      <c r="H72" s="1449" t="str">
        <f>+'T1'!E72</f>
        <v>WALLDO</v>
      </c>
      <c r="I72" s="1443"/>
      <c r="J72" s="1443"/>
      <c r="K72" s="1443"/>
      <c r="L72" s="1443"/>
      <c r="M72" s="1468">
        <f t="shared" si="35"/>
        <v>0</v>
      </c>
      <c r="N72" s="1464"/>
      <c r="P72" s="1194"/>
      <c r="Q72" s="1194"/>
      <c r="R72" s="1194"/>
      <c r="S72" s="1194"/>
      <c r="T72" s="1194"/>
      <c r="U72" s="1194"/>
      <c r="V72" s="1194"/>
      <c r="W72" s="1194"/>
      <c r="X72" s="1194"/>
      <c r="Y72" s="1194"/>
      <c r="Z72" s="1194"/>
      <c r="AA72" s="1194"/>
      <c r="AB72" s="1194"/>
      <c r="AC72" s="1194"/>
      <c r="AD72" s="1194"/>
    </row>
    <row r="73" spans="4:30" ht="30.95" customHeight="1" thickBot="1">
      <c r="D73" s="2523" t="s">
        <v>3</v>
      </c>
      <c r="E73" s="2524"/>
      <c r="F73" s="2524"/>
      <c r="G73" s="2524"/>
      <c r="H73" s="252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  <c r="P73" s="1194"/>
      <c r="Q73" s="1194"/>
      <c r="R73" s="1194"/>
      <c r="S73" s="1194"/>
      <c r="T73" s="1194"/>
      <c r="U73" s="1194"/>
      <c r="V73" s="1194"/>
      <c r="W73" s="1194"/>
      <c r="X73" s="1194"/>
      <c r="Y73" s="1194"/>
      <c r="Z73" s="1194"/>
      <c r="AA73" s="1194"/>
      <c r="AB73" s="1194"/>
      <c r="AC73" s="1194"/>
      <c r="AD73" s="1194"/>
    </row>
    <row r="74" spans="4:30" ht="88.5">
      <c r="D74"/>
      <c r="E74"/>
      <c r="F74"/>
      <c r="G74"/>
      <c r="H74"/>
      <c r="I74"/>
      <c r="J74"/>
      <c r="K74"/>
      <c r="L74"/>
      <c r="M74"/>
      <c r="N74"/>
      <c r="O74" s="1194"/>
      <c r="P74" s="1194"/>
      <c r="Q74" s="1194"/>
      <c r="R74" s="1194"/>
      <c r="S74" s="1194"/>
      <c r="T74" s="1194"/>
      <c r="U74" s="1194"/>
      <c r="V74" s="1194"/>
      <c r="W74" s="1194"/>
      <c r="X74" s="1194"/>
      <c r="Y74" s="1194"/>
      <c r="Z74" s="1194"/>
      <c r="AA74" s="1194"/>
      <c r="AB74" s="1194"/>
      <c r="AC74" s="1194"/>
      <c r="AD74" s="1194"/>
    </row>
    <row r="75" spans="4:30">
      <c r="D75"/>
      <c r="E75"/>
      <c r="F75"/>
      <c r="G75"/>
      <c r="H75"/>
      <c r="I75"/>
      <c r="J75"/>
      <c r="K75"/>
      <c r="L75"/>
      <c r="M75"/>
      <c r="N75"/>
    </row>
    <row r="76" spans="4:30">
      <c r="D76"/>
      <c r="E76"/>
      <c r="F76"/>
      <c r="G76"/>
      <c r="H76"/>
      <c r="I76"/>
      <c r="J76"/>
      <c r="K76"/>
      <c r="L76"/>
      <c r="M76"/>
      <c r="N76"/>
    </row>
    <row r="77" spans="4:30">
      <c r="D77"/>
      <c r="E77"/>
      <c r="F77"/>
      <c r="G77"/>
      <c r="H77"/>
      <c r="I77"/>
      <c r="J77"/>
      <c r="K77"/>
      <c r="L77"/>
      <c r="M77"/>
      <c r="N77"/>
    </row>
  </sheetData>
  <sheetProtection autoFilter="0"/>
  <mergeCells count="29">
    <mergeCell ref="C2:D2"/>
    <mergeCell ref="E2:R2"/>
    <mergeCell ref="A5:A54"/>
    <mergeCell ref="E56:AA56"/>
    <mergeCell ref="BK4:BN4"/>
    <mergeCell ref="BK28:BL28"/>
    <mergeCell ref="AF4:BH4"/>
    <mergeCell ref="E4:AA4"/>
    <mergeCell ref="D60:J60"/>
    <mergeCell ref="Q60:S60"/>
    <mergeCell ref="D61:G61"/>
    <mergeCell ref="Q61:R61"/>
    <mergeCell ref="D62:G62"/>
    <mergeCell ref="Q62:R62"/>
    <mergeCell ref="D63:G63"/>
    <mergeCell ref="Q63:R63"/>
    <mergeCell ref="D64:G64"/>
    <mergeCell ref="Q64:R64"/>
    <mergeCell ref="D65:G65"/>
    <mergeCell ref="D66:G66"/>
    <mergeCell ref="Q66:S66"/>
    <mergeCell ref="D67:G67"/>
    <mergeCell ref="Q67:S67"/>
    <mergeCell ref="D71:G71"/>
    <mergeCell ref="D72:G72"/>
    <mergeCell ref="D73:H73"/>
    <mergeCell ref="D68:G68"/>
    <mergeCell ref="D69:G69"/>
    <mergeCell ref="D70:G70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5E87C-EC32-4357-A328-A610AC05BF12}">
  <sheetPr codeName="Hoja28">
    <tabColor rgb="FFFF0000"/>
    <pageSetUpPr fitToPage="1"/>
  </sheetPr>
  <dimension ref="A1:CO77"/>
  <sheetViews>
    <sheetView tabSelected="1" topLeftCell="B1" zoomScale="55" zoomScaleNormal="55" workbookViewId="0">
      <pane ySplit="5" topLeftCell="A6" activePane="bottomLeft" state="frozen"/>
      <selection activeCell="C32" sqref="C32"/>
      <selection pane="bottomLeft" activeCell="M14" sqref="M14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98.140625" style="26" customWidth="1"/>
    <col min="5" max="27" width="15.140625" style="26" customWidth="1"/>
    <col min="28" max="31" width="30.85546875" style="26" customWidth="1"/>
    <col min="32" max="32" width="6.42578125" style="26" bestFit="1" customWidth="1"/>
    <col min="33" max="33" width="92" style="26" customWidth="1"/>
    <col min="34" max="55" width="11.42578125" style="26" customWidth="1"/>
    <col min="56" max="58" width="21.7109375" style="26" customWidth="1"/>
    <col min="59" max="59" width="25" style="26" customWidth="1"/>
    <col min="60" max="60" width="21.7109375" style="26" customWidth="1"/>
    <col min="61" max="62" width="13.85546875" style="26" customWidth="1"/>
    <col min="63" max="63" width="6.42578125" style="26" customWidth="1"/>
    <col min="64" max="64" width="93.5703125" style="26" customWidth="1"/>
    <col min="65" max="65" width="16.85546875" style="26" customWidth="1"/>
    <col min="66" max="66" width="18.28515625" style="26" customWidth="1"/>
    <col min="67" max="89" width="13.85546875" style="26" customWidth="1"/>
    <col min="90" max="90" width="12.140625" style="26" bestFit="1" customWidth="1"/>
    <col min="91" max="93" width="28.28515625" style="26" customWidth="1"/>
    <col min="94" max="16384" width="11.42578125" style="26"/>
  </cols>
  <sheetData>
    <row r="1" spans="1:66" ht="45.75" hidden="1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43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</row>
    <row r="2" spans="1:66" ht="46.5" hidden="1" thickBot="1">
      <c r="B2" s="38"/>
      <c r="C2" s="2266" t="s">
        <v>41</v>
      </c>
      <c r="D2" s="2267"/>
      <c r="E2" s="2268" t="s">
        <v>684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69"/>
      <c r="Q2" s="2269"/>
      <c r="R2" s="2599"/>
      <c r="S2" s="1721"/>
      <c r="T2" s="1721"/>
      <c r="U2" s="1721"/>
      <c r="V2" s="1721"/>
      <c r="W2" s="1721"/>
      <c r="X2" s="1716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</row>
    <row r="3" spans="1:66" ht="17.25" thickBot="1">
      <c r="C3" s="28"/>
      <c r="R3" s="452"/>
      <c r="S3" s="452"/>
      <c r="T3" s="452"/>
      <c r="U3" s="452"/>
      <c r="V3" s="452"/>
      <c r="W3" s="452"/>
      <c r="X3" s="452"/>
      <c r="BI3" s="28"/>
      <c r="BJ3" s="28"/>
      <c r="BK3" s="28"/>
    </row>
    <row r="4" spans="1:66" ht="38.25" customHeight="1" thickBot="1">
      <c r="C4" s="28"/>
      <c r="E4" s="2510" t="s">
        <v>112</v>
      </c>
      <c r="F4" s="2511"/>
      <c r="G4" s="2511"/>
      <c r="H4" s="2511"/>
      <c r="I4" s="2511"/>
      <c r="J4" s="2511"/>
      <c r="K4" s="2511"/>
      <c r="L4" s="2511"/>
      <c r="M4" s="2511"/>
      <c r="N4" s="2511"/>
      <c r="O4" s="2511"/>
      <c r="P4" s="2511"/>
      <c r="Q4" s="2511"/>
      <c r="R4" s="2511"/>
      <c r="S4" s="2511"/>
      <c r="T4" s="2511"/>
      <c r="U4" s="2511"/>
      <c r="V4" s="2511"/>
      <c r="W4" s="2511"/>
      <c r="X4" s="2511"/>
      <c r="Y4" s="2511"/>
      <c r="Z4" s="2511"/>
      <c r="AA4" s="2512"/>
      <c r="AF4" s="2600" t="s">
        <v>507</v>
      </c>
      <c r="AG4" s="2601"/>
      <c r="AH4" s="2601"/>
      <c r="AI4" s="2601"/>
      <c r="AJ4" s="2601"/>
      <c r="AK4" s="2601"/>
      <c r="AL4" s="2601"/>
      <c r="AM4" s="2601"/>
      <c r="AN4" s="2601"/>
      <c r="AO4" s="2601"/>
      <c r="AP4" s="2601"/>
      <c r="AQ4" s="2601"/>
      <c r="AR4" s="2601"/>
      <c r="AS4" s="2601"/>
      <c r="AT4" s="2601"/>
      <c r="AU4" s="2601"/>
      <c r="AV4" s="2601"/>
      <c r="AW4" s="2601"/>
      <c r="AX4" s="2601"/>
      <c r="AY4" s="2601"/>
      <c r="AZ4" s="2601"/>
      <c r="BA4" s="2601"/>
      <c r="BB4" s="2601"/>
      <c r="BC4" s="2601"/>
      <c r="BD4" s="2601"/>
      <c r="BE4" s="2601"/>
      <c r="BF4" s="2601"/>
      <c r="BG4" s="2601"/>
      <c r="BH4" s="2602"/>
      <c r="BI4" s="28"/>
      <c r="BJ4" s="28"/>
      <c r="BK4" s="2513" t="s">
        <v>511</v>
      </c>
      <c r="BL4" s="2514"/>
      <c r="BM4" s="2514"/>
      <c r="BN4" s="2515"/>
    </row>
    <row r="5" spans="1:66" ht="90.75" thickBot="1">
      <c r="A5" s="2257"/>
      <c r="C5" s="543" t="s">
        <v>15</v>
      </c>
      <c r="D5" s="544" t="s">
        <v>6</v>
      </c>
      <c r="E5" s="35" t="s">
        <v>316</v>
      </c>
      <c r="F5" s="36" t="s">
        <v>317</v>
      </c>
      <c r="G5" s="36" t="s">
        <v>318</v>
      </c>
      <c r="H5" s="36" t="s">
        <v>319</v>
      </c>
      <c r="I5" s="36" t="s">
        <v>320</v>
      </c>
      <c r="J5" s="36" t="s">
        <v>321</v>
      </c>
      <c r="K5" s="36" t="s">
        <v>322</v>
      </c>
      <c r="L5" s="36" t="s">
        <v>323</v>
      </c>
      <c r="M5" s="36" t="s">
        <v>324</v>
      </c>
      <c r="N5" s="36" t="s">
        <v>325</v>
      </c>
      <c r="O5" s="36" t="s">
        <v>326</v>
      </c>
      <c r="P5" s="2104" t="s">
        <v>327</v>
      </c>
      <c r="Q5" s="2105" t="s">
        <v>328</v>
      </c>
      <c r="R5" s="2105" t="s">
        <v>329</v>
      </c>
      <c r="S5" s="2105" t="s">
        <v>330</v>
      </c>
      <c r="T5" s="2105" t="s">
        <v>331</v>
      </c>
      <c r="U5" s="2105" t="s">
        <v>332</v>
      </c>
      <c r="V5" s="2105" t="s">
        <v>333</v>
      </c>
      <c r="W5" s="2105" t="s">
        <v>334</v>
      </c>
      <c r="X5" s="2105" t="s">
        <v>343</v>
      </c>
      <c r="Y5" s="2106" t="s">
        <v>344</v>
      </c>
      <c r="Z5" s="2104" t="s">
        <v>345</v>
      </c>
      <c r="AA5" s="2107"/>
      <c r="AB5" s="60" t="s">
        <v>108</v>
      </c>
      <c r="AC5" s="49" t="s">
        <v>107</v>
      </c>
      <c r="AD5" s="47" t="s">
        <v>3</v>
      </c>
      <c r="AE5" s="567"/>
      <c r="AF5" s="441" t="s">
        <v>15</v>
      </c>
      <c r="AG5" s="441" t="s">
        <v>6</v>
      </c>
      <c r="AH5" s="441" t="s">
        <v>316</v>
      </c>
      <c r="AI5" s="441" t="s">
        <v>317</v>
      </c>
      <c r="AJ5" s="441" t="s">
        <v>318</v>
      </c>
      <c r="AK5" s="441" t="s">
        <v>319</v>
      </c>
      <c r="AL5" s="441" t="s">
        <v>320</v>
      </c>
      <c r="AM5" s="441" t="s">
        <v>321</v>
      </c>
      <c r="AN5" s="441" t="s">
        <v>322</v>
      </c>
      <c r="AO5" s="441" t="s">
        <v>323</v>
      </c>
      <c r="AP5" s="441" t="s">
        <v>324</v>
      </c>
      <c r="AQ5" s="441" t="s">
        <v>325</v>
      </c>
      <c r="AR5" s="441" t="s">
        <v>326</v>
      </c>
      <c r="AS5" s="441" t="s">
        <v>327</v>
      </c>
      <c r="AT5" s="441" t="s">
        <v>328</v>
      </c>
      <c r="AU5" s="441" t="s">
        <v>329</v>
      </c>
      <c r="AV5" s="441" t="s">
        <v>330</v>
      </c>
      <c r="AW5" s="441" t="s">
        <v>331</v>
      </c>
      <c r="AX5" s="441" t="s">
        <v>332</v>
      </c>
      <c r="AY5" s="441" t="s">
        <v>333</v>
      </c>
      <c r="AZ5" s="441" t="s">
        <v>334</v>
      </c>
      <c r="BA5" s="441" t="s">
        <v>343</v>
      </c>
      <c r="BB5" s="441" t="s">
        <v>344</v>
      </c>
      <c r="BC5" s="441" t="s">
        <v>345</v>
      </c>
      <c r="BD5" s="669" t="s">
        <v>108</v>
      </c>
      <c r="BE5" s="669" t="s">
        <v>107</v>
      </c>
      <c r="BF5" s="669" t="s">
        <v>509</v>
      </c>
      <c r="BG5" s="669" t="s">
        <v>505</v>
      </c>
      <c r="BH5" s="669" t="s">
        <v>512</v>
      </c>
      <c r="BK5" s="441" t="s">
        <v>15</v>
      </c>
      <c r="BL5" s="441" t="s">
        <v>6</v>
      </c>
      <c r="BM5" s="441" t="s">
        <v>8</v>
      </c>
      <c r="BN5" s="441" t="s">
        <v>513</v>
      </c>
    </row>
    <row r="6" spans="1:66" ht="45.75">
      <c r="A6" s="2257"/>
      <c r="C6" s="41">
        <f>+PP!B24</f>
        <v>1</v>
      </c>
      <c r="D6" s="162" t="str">
        <f>+PP!C24</f>
        <v>ANILLAS BLANCAS SM ST</v>
      </c>
      <c r="E6" s="2967"/>
      <c r="F6" s="2968"/>
      <c r="G6" s="2968"/>
      <c r="H6" s="2968"/>
      <c r="I6" s="2968"/>
      <c r="J6" s="2968"/>
      <c r="K6" s="2968"/>
      <c r="L6" s="2968"/>
      <c r="M6" s="2968"/>
      <c r="N6" s="2968"/>
      <c r="O6" s="2968"/>
      <c r="P6" s="2968"/>
      <c r="Q6" s="2968"/>
      <c r="R6" s="2969"/>
      <c r="S6" s="2969"/>
      <c r="T6" s="2970"/>
      <c r="U6" s="2969"/>
      <c r="V6" s="2969"/>
      <c r="W6" s="2969"/>
      <c r="X6" s="1007"/>
      <c r="Y6" s="1007"/>
      <c r="Z6" s="1007"/>
      <c r="AA6" s="2989"/>
      <c r="AB6" s="1391">
        <f>SUM(E6:AA6)</f>
        <v>0</v>
      </c>
      <c r="AC6" s="148">
        <f t="shared" ref="AC6:AC53" si="0">AB6/2</f>
        <v>0</v>
      </c>
      <c r="AD6" s="490">
        <f t="shared" ref="AD6:AD53" si="1">+AB6*10</f>
        <v>0</v>
      </c>
      <c r="AE6" s="574"/>
      <c r="AF6" s="1373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</f>
        <v/>
      </c>
      <c r="AG6" s="1374" t="str">
        <f>IF($AF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)</f>
        <v/>
      </c>
      <c r="AH6" s="2009" t="str">
        <f t="shared" ref="AH6:AH53" si="2">IF($AF6="","",IFERROR(IF(INDEX($E$6:$E$53,MATCH($AF6,$C$6:$C$53,0))&gt;0,INDEX($E$6:$E$53,MATCH($AF6,$C$6:$C$53,0)),""),""))</f>
        <v/>
      </c>
      <c r="AI6" s="2009" t="str">
        <f t="shared" ref="AI6:AI53" si="3">IF($AF6="","",IFERROR(IF(INDEX($F$6:$F$53,MATCH($AF6,$C$6:$C$53,0))&gt;0,INDEX($F$6:$F$53,MATCH($AF6,$C$6:$C$53,0)),""),""))</f>
        <v/>
      </c>
      <c r="AJ6" s="2009" t="str">
        <f t="shared" ref="AJ6:AJ53" si="4">IF($AF6="","",IFERROR(IF(INDEX($G$6:$G$53,MATCH($AF6,$C$6:$C$53,0))&gt;0,INDEX($G$6:$G$53,MATCH($AF6,$C$6:$C$53,0)),""),""))</f>
        <v/>
      </c>
      <c r="AK6" s="2009" t="str">
        <f t="shared" ref="AK6:AK53" si="5">IF($AF6="","",IFERROR(IF(INDEX($H$6:$H$53,MATCH($AF6,$C$6:$C$53,0))&gt;0,INDEX($H$6:$H$53,MATCH($AF6,$C$6:$C$53,0)),""),""))</f>
        <v/>
      </c>
      <c r="AL6" s="2009" t="str">
        <f t="shared" ref="AL6:AL53" si="6">IF($AF6="","",IFERROR(IF(INDEX($I$6:$I$53,MATCH($AF6,$C$6:$C$53,0))&gt;0,INDEX($I$6:$I$53,MATCH($AF6,$C$6:$C$53,0)),""),""))</f>
        <v/>
      </c>
      <c r="AM6" s="2009" t="str">
        <f t="shared" ref="AM6:AM53" si="7">IF($AF6="","",IFERROR(IF(INDEX($J$6:$J$53,MATCH($AF6,$C$6:$C$53,0))&gt;0,INDEX($J$6:$J$53,MATCH($AF6,$C$6:$C$53,0)),""),""))</f>
        <v/>
      </c>
      <c r="AN6" s="2009" t="str">
        <f t="shared" ref="AN6:AN53" si="8">IF($AF6="","",IFERROR(IF(INDEX($K$6:$K$53,MATCH($AF6,$C$6:$C$53,0))&gt;0,INDEX($K$6:$K$53,MATCH($AF6,$C$6:$C$53,0)),""),""))</f>
        <v/>
      </c>
      <c r="AO6" s="2009" t="str">
        <f t="shared" ref="AO6:AO53" si="9">IF($AF6="","",IFERROR(IF(INDEX($L$6:$L$53,MATCH($AF6,$C$6:$C$53,0))&gt;0,INDEX($L$6:$L$53,MATCH($AF6,$C$6:$C$53,0)),""),""))</f>
        <v/>
      </c>
      <c r="AP6" s="2009" t="str">
        <f t="shared" ref="AP6:AP53" si="10">IF($AF6="","",IFERROR(IF(INDEX($M$6:$M$53,MATCH($AF6,$C$6:$C$53,0))&gt;0,INDEX($M$6:$M$53,MATCH($AF6,$C$6:$C$53,0)),""),""))</f>
        <v/>
      </c>
      <c r="AQ6" s="2009" t="str">
        <f t="shared" ref="AQ6:AQ53" si="11">IF($AF6="","",IFERROR(IF(INDEX($N$6:$N$53,MATCH($AF6,$C$6:$C$53,0))&gt;0,INDEX($N$6:$N$53,MATCH($AF6,$C$6:$C$53,0)),""),""))</f>
        <v/>
      </c>
      <c r="AR6" s="2009" t="str">
        <f t="shared" ref="AR6:AR53" si="12">IF($AF6="","",IFERROR(IF(INDEX($O$6:$O$53,MATCH($AF6,$C$6:$C$53,0))&gt;0,INDEX($O$6:$O$53,MATCH($AF6,$C$6:$C$53,0)),""),""))</f>
        <v/>
      </c>
      <c r="AS6" s="2009" t="str">
        <f t="shared" ref="AS6:AS53" si="13">IF($AF6="","",IFERROR(IF(INDEX($P$6:$P$53,MATCH($AF6,$C$6:$C$53,0))&gt;0,INDEX($P$6:$P$53,MATCH($AF6,$C$6:$C$53,0)),""),""))</f>
        <v/>
      </c>
      <c r="AT6" s="2009" t="str">
        <f t="shared" ref="AT6:AT53" si="14">IF($AF6="","",IFERROR(IF(INDEX($Q$6:$Q$53,MATCH($AF6,$C$6:$C$53,0))&gt;0,INDEX($Q$6:$Q$53,MATCH($AF6,$C$6:$C$53,0)),""),""))</f>
        <v/>
      </c>
      <c r="AU6" s="2009" t="str">
        <f t="shared" ref="AU6:AU53" si="15">IF($AF6="","",IFERROR(IF(INDEX($R$6:$R$53,MATCH($AF6,$C$6:$C$53,0))&gt;0,INDEX($R$6:$R$53,MATCH($AF6,$C$6:$C$53,0)),""),""))</f>
        <v/>
      </c>
      <c r="AV6" s="2009" t="str">
        <f t="shared" ref="AV6:AV53" si="16">IF($AF6="","",IFERROR(IF(INDEX($S$6:$S$53,MATCH($AF6,$C$6:$C$53,0))&gt;0,INDEX($S$6:$S$53,MATCH($AF6,$C$6:$C$53,0)),""),""))</f>
        <v/>
      </c>
      <c r="AW6" s="2009" t="str">
        <f t="shared" ref="AW6:AW53" si="17">IF($AF6="","",IFERROR(IF(INDEX($T$6:$T$53,MATCH($AF6,$C$6:$C$53,0))&gt;0,INDEX($T$6:$T$53,MATCH($AF6,$C$6:$C$53,0)),""),""))</f>
        <v/>
      </c>
      <c r="AX6" s="2009" t="str">
        <f t="shared" ref="AX6:AX53" si="18">IF($AF6="","",IFERROR(IF(INDEX($U$6:$U$53,MATCH($AF6,$C$6:$C$53,0))&gt;0,INDEX($U$6:$U$53,MATCH($AF6,$C$6:$C$53,0)),""),""))</f>
        <v/>
      </c>
      <c r="AY6" s="2009" t="str">
        <f t="shared" ref="AY6:AY53" si="19">IF($AF6="","",IFERROR(IF(INDEX($V$6:$V$53,MATCH($AF6,$C$6:$C$53,0))&gt;0,INDEX($V$6:$V$53,MATCH($AF6,$C$6:$C$53,0)),""),""))</f>
        <v/>
      </c>
      <c r="AZ6" s="2009" t="str">
        <f t="shared" ref="AZ6:AZ53" si="20">IF($AF6="","",IFERROR(IF(INDEX($W$6:$W$53,MATCH($AF6,$C$6:$C$53,0))&gt;0,INDEX($W$6:$W$53,MATCH($AF6,$C$6:$C$53,0)),""),""))</f>
        <v/>
      </c>
      <c r="BA6" s="2009" t="str">
        <f t="shared" ref="BA6:BA53" si="21">IF($AF6="","",IFERROR(IF(INDEX($X$6:$X$53,MATCH($AF6,$C$6:$C$53,0))&gt;0,INDEX($X$6:$X$53,MATCH($AF6,$C$6:$C$53,0)),""),""))</f>
        <v/>
      </c>
      <c r="BB6" s="2009" t="str">
        <f t="shared" ref="BB6:BB53" si="22">IF($AF6="","",IFERROR(IF(INDEX($Y$6:$Y$53,MATCH($AF6,$C$6:$C$53,0))&gt;0,INDEX($Y$6:$Y$53,MATCH($AF6,$C$6:$C$53,0)),""),""))</f>
        <v/>
      </c>
      <c r="BC6" s="2009" t="str">
        <f t="shared" ref="BC6:BC53" si="23">IF($AF6="","",IFERROR(IF(INDEX($Z$6:$Z$53,MATCH($AF6,$C$6:$C$53,0))&gt;0,INDEX($Z$6:$Z$53,MATCH($AF6,$C$6:$C$53,0)),""),""))</f>
        <v/>
      </c>
      <c r="BD6" s="674" t="str">
        <f t="shared" ref="BD6:BD27" si="24">IF($AF6="","",SUM($AH6:$BC6))</f>
        <v/>
      </c>
      <c r="BE6" s="674" t="str">
        <f t="shared" ref="BE6:BE27" si="25">IF($AF6="","",$BD6/2)</f>
        <v/>
      </c>
      <c r="BF6" s="674" t="str">
        <f t="shared" ref="BF6:BF27" si="26">IF($AF6="","",$BD6*10)</f>
        <v/>
      </c>
      <c r="BG6" s="675" t="str">
        <f t="shared" ref="BG6:BG27" si="27">IF($AF6="","",IF(MAX($AH6:$BC6)&gt;50,"REVISIÓN: EXCEDE 50","OK"))</f>
        <v/>
      </c>
      <c r="BH6" s="675" t="str">
        <f t="shared" ref="BH6:BH27" si="28">IF($AF6="","",IF(MOD($BF6,20)=10,"SÍ","NO"))</f>
        <v/>
      </c>
      <c r="BK6" s="491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6))),"")</f>
        <v/>
      </c>
      <c r="BL6" s="492" t="str">
        <f t="shared" ref="BL6:BL27" si="29">IF($BK6="","",IFERROR(INDEX($D$6:$D$53,MATCH($BK6,$C$6:$C$53,0)),""))</f>
        <v/>
      </c>
      <c r="BM6" s="462" t="str">
        <f t="shared" ref="BM6:BM27" si="30">IF($BK6="","",SUMPRODUCT(($C$6:$C$53=$BK6)*$E$6:$Z$53)*10)</f>
        <v/>
      </c>
      <c r="BN6" s="493" t="str">
        <f t="shared" ref="BN6:BN27" si="31">IF($BK6="","","10 KG")</f>
        <v/>
      </c>
    </row>
    <row r="7" spans="1:66" ht="45.75">
      <c r="A7" s="2257"/>
      <c r="C7" s="42">
        <f>+PP!B25</f>
        <v>2</v>
      </c>
      <c r="D7" s="164" t="str">
        <f>+PP!C25</f>
        <v>ANILLAS AMARILLAS SM ST</v>
      </c>
      <c r="E7" s="2013"/>
      <c r="F7" s="1802"/>
      <c r="G7" s="1802"/>
      <c r="H7" s="1802"/>
      <c r="I7" s="1802"/>
      <c r="J7" s="1802"/>
      <c r="K7" s="1802"/>
      <c r="L7" s="1802"/>
      <c r="M7" s="1802"/>
      <c r="N7" s="1802"/>
      <c r="O7" s="1802"/>
      <c r="P7" s="1802"/>
      <c r="Q7" s="1802"/>
      <c r="R7" s="1803"/>
      <c r="S7" s="1803"/>
      <c r="T7" s="1847"/>
      <c r="U7" s="1803"/>
      <c r="V7" s="1803"/>
      <c r="W7" s="1803"/>
      <c r="X7" s="388"/>
      <c r="Y7" s="388"/>
      <c r="Z7" s="388"/>
      <c r="AA7" s="1873"/>
      <c r="AB7" s="1821">
        <f t="shared" ref="AB7:AB53" si="32">SUM(E7:AA7)</f>
        <v>0</v>
      </c>
      <c r="AC7" s="155">
        <f t="shared" si="0"/>
        <v>0</v>
      </c>
      <c r="AD7" s="552">
        <f t="shared" si="1"/>
        <v>0</v>
      </c>
      <c r="AE7" s="574"/>
      <c r="AF7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</f>
        <v/>
      </c>
      <c r="AG7" s="1376" t="str">
        <f>IF($AF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)</f>
        <v/>
      </c>
      <c r="AH7" s="2010" t="str">
        <f t="shared" si="2"/>
        <v/>
      </c>
      <c r="AI7" s="2010" t="str">
        <f t="shared" si="3"/>
        <v/>
      </c>
      <c r="AJ7" s="2010" t="str">
        <f t="shared" si="4"/>
        <v/>
      </c>
      <c r="AK7" s="2010" t="str">
        <f t="shared" si="5"/>
        <v/>
      </c>
      <c r="AL7" s="2010" t="str">
        <f t="shared" si="6"/>
        <v/>
      </c>
      <c r="AM7" s="2010" t="str">
        <f t="shared" si="7"/>
        <v/>
      </c>
      <c r="AN7" s="2010" t="str">
        <f t="shared" si="8"/>
        <v/>
      </c>
      <c r="AO7" s="2010" t="str">
        <f t="shared" si="9"/>
        <v/>
      </c>
      <c r="AP7" s="2010" t="str">
        <f t="shared" si="10"/>
        <v/>
      </c>
      <c r="AQ7" s="2010" t="str">
        <f t="shared" si="11"/>
        <v/>
      </c>
      <c r="AR7" s="2010" t="str">
        <f t="shared" si="12"/>
        <v/>
      </c>
      <c r="AS7" s="2010" t="str">
        <f t="shared" si="13"/>
        <v/>
      </c>
      <c r="AT7" s="2010" t="str">
        <f t="shared" si="14"/>
        <v/>
      </c>
      <c r="AU7" s="2010" t="str">
        <f t="shared" si="15"/>
        <v/>
      </c>
      <c r="AV7" s="2010" t="str">
        <f t="shared" si="16"/>
        <v/>
      </c>
      <c r="AW7" s="2010" t="str">
        <f t="shared" si="17"/>
        <v/>
      </c>
      <c r="AX7" s="2010" t="str">
        <f t="shared" si="18"/>
        <v/>
      </c>
      <c r="AY7" s="2010" t="str">
        <f t="shared" si="19"/>
        <v/>
      </c>
      <c r="AZ7" s="2010" t="str">
        <f t="shared" si="20"/>
        <v/>
      </c>
      <c r="BA7" s="2010" t="str">
        <f t="shared" si="21"/>
        <v/>
      </c>
      <c r="BB7" s="2010" t="str">
        <f t="shared" si="22"/>
        <v/>
      </c>
      <c r="BC7" s="2010" t="str">
        <f t="shared" si="23"/>
        <v/>
      </c>
      <c r="BD7" s="674" t="str">
        <f t="shared" si="24"/>
        <v/>
      </c>
      <c r="BE7" s="674" t="str">
        <f t="shared" si="25"/>
        <v/>
      </c>
      <c r="BF7" s="674" t="str">
        <f t="shared" si="26"/>
        <v/>
      </c>
      <c r="BG7" s="675" t="str">
        <f t="shared" si="27"/>
        <v/>
      </c>
      <c r="BH7" s="675" t="str">
        <f t="shared" si="28"/>
        <v/>
      </c>
      <c r="BK7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7))),"")</f>
        <v/>
      </c>
      <c r="BL7" s="500" t="str">
        <f t="shared" si="29"/>
        <v/>
      </c>
      <c r="BM7" s="458" t="str">
        <f t="shared" si="30"/>
        <v/>
      </c>
      <c r="BN7" s="501" t="str">
        <f t="shared" si="31"/>
        <v/>
      </c>
    </row>
    <row r="8" spans="1:66" ht="46.5" thickBot="1">
      <c r="A8" s="2257"/>
      <c r="C8" s="40">
        <f>+PP!B26</f>
        <v>3</v>
      </c>
      <c r="D8" s="163" t="str">
        <f>+PP!C26</f>
        <v>ANILLAS BLANCAS SM ST MEDIANA</v>
      </c>
      <c r="E8" s="2972"/>
      <c r="F8" s="2973"/>
      <c r="G8" s="2973"/>
      <c r="H8" s="2973"/>
      <c r="I8" s="2973"/>
      <c r="J8" s="2973"/>
      <c r="K8" s="2973"/>
      <c r="L8" s="2973"/>
      <c r="M8" s="2973"/>
      <c r="N8" s="2973"/>
      <c r="O8" s="2973"/>
      <c r="P8" s="2973"/>
      <c r="Q8" s="2973"/>
      <c r="R8" s="2974"/>
      <c r="S8" s="2974"/>
      <c r="T8" s="2975"/>
      <c r="U8" s="2974"/>
      <c r="V8" s="2974"/>
      <c r="W8" s="2974"/>
      <c r="X8" s="1008"/>
      <c r="Y8" s="1008"/>
      <c r="Z8" s="1008"/>
      <c r="AA8" s="2990"/>
      <c r="AB8" s="1393">
        <f t="shared" si="32"/>
        <v>0</v>
      </c>
      <c r="AC8" s="150">
        <f t="shared" si="0"/>
        <v>0</v>
      </c>
      <c r="AD8" s="507">
        <f t="shared" si="1"/>
        <v>0</v>
      </c>
      <c r="AE8" s="574"/>
      <c r="AF8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</f>
        <v/>
      </c>
      <c r="AG8" s="1376" t="str">
        <f>IF($AF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)</f>
        <v/>
      </c>
      <c r="AH8" s="2010" t="str">
        <f t="shared" si="2"/>
        <v/>
      </c>
      <c r="AI8" s="2010" t="str">
        <f t="shared" si="3"/>
        <v/>
      </c>
      <c r="AJ8" s="2010" t="str">
        <f t="shared" si="4"/>
        <v/>
      </c>
      <c r="AK8" s="2010" t="str">
        <f t="shared" si="5"/>
        <v/>
      </c>
      <c r="AL8" s="2010" t="str">
        <f t="shared" si="6"/>
        <v/>
      </c>
      <c r="AM8" s="2010" t="str">
        <f t="shared" si="7"/>
        <v/>
      </c>
      <c r="AN8" s="2010" t="str">
        <f t="shared" si="8"/>
        <v/>
      </c>
      <c r="AO8" s="2010" t="str">
        <f t="shared" si="9"/>
        <v/>
      </c>
      <c r="AP8" s="2010" t="str">
        <f t="shared" si="10"/>
        <v/>
      </c>
      <c r="AQ8" s="2010" t="str">
        <f t="shared" si="11"/>
        <v/>
      </c>
      <c r="AR8" s="2010" t="str">
        <f t="shared" si="12"/>
        <v/>
      </c>
      <c r="AS8" s="2010" t="str">
        <f t="shared" si="13"/>
        <v/>
      </c>
      <c r="AT8" s="2010" t="str">
        <f t="shared" si="14"/>
        <v/>
      </c>
      <c r="AU8" s="2010" t="str">
        <f t="shared" si="15"/>
        <v/>
      </c>
      <c r="AV8" s="2010" t="str">
        <f t="shared" si="16"/>
        <v/>
      </c>
      <c r="AW8" s="2010" t="str">
        <f t="shared" si="17"/>
        <v/>
      </c>
      <c r="AX8" s="2010" t="str">
        <f t="shared" si="18"/>
        <v/>
      </c>
      <c r="AY8" s="2010" t="str">
        <f t="shared" si="19"/>
        <v/>
      </c>
      <c r="AZ8" s="2010" t="str">
        <f t="shared" si="20"/>
        <v/>
      </c>
      <c r="BA8" s="2010" t="str">
        <f t="shared" si="21"/>
        <v/>
      </c>
      <c r="BB8" s="2010" t="str">
        <f t="shared" si="22"/>
        <v/>
      </c>
      <c r="BC8" s="2010" t="str">
        <f t="shared" si="23"/>
        <v/>
      </c>
      <c r="BD8" s="674" t="str">
        <f t="shared" si="24"/>
        <v/>
      </c>
      <c r="BE8" s="674" t="str">
        <f t="shared" si="25"/>
        <v/>
      </c>
      <c r="BF8" s="674" t="str">
        <f t="shared" si="26"/>
        <v/>
      </c>
      <c r="BG8" s="675" t="str">
        <f t="shared" si="27"/>
        <v/>
      </c>
      <c r="BH8" s="675" t="str">
        <f t="shared" si="28"/>
        <v/>
      </c>
      <c r="BK8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8))),"")</f>
        <v/>
      </c>
      <c r="BL8" s="500" t="str">
        <f t="shared" si="29"/>
        <v/>
      </c>
      <c r="BM8" s="458" t="str">
        <f t="shared" si="30"/>
        <v/>
      </c>
      <c r="BN8" s="501" t="str">
        <f t="shared" si="31"/>
        <v/>
      </c>
    </row>
    <row r="9" spans="1:66" ht="45.75">
      <c r="A9" s="2257"/>
      <c r="C9" s="41">
        <f>+PP!B27</f>
        <v>4</v>
      </c>
      <c r="D9" s="162" t="str">
        <f>+PP!C27</f>
        <v>ALETA FRESCA CORTE CRUZ</v>
      </c>
      <c r="E9" s="2967"/>
      <c r="F9" s="2968"/>
      <c r="G9" s="2968"/>
      <c r="H9" s="2968"/>
      <c r="I9" s="2968"/>
      <c r="J9" s="2968"/>
      <c r="K9" s="2968"/>
      <c r="L9" s="2968"/>
      <c r="M9" s="2968"/>
      <c r="N9" s="2968"/>
      <c r="O9" s="2968"/>
      <c r="P9" s="2968"/>
      <c r="Q9" s="2968"/>
      <c r="R9" s="2970"/>
      <c r="S9" s="2970"/>
      <c r="T9" s="2970"/>
      <c r="U9" s="2970"/>
      <c r="V9" s="2970"/>
      <c r="W9" s="2970"/>
      <c r="X9" s="1007"/>
      <c r="Y9" s="1007"/>
      <c r="Z9" s="1007"/>
      <c r="AA9" s="2989"/>
      <c r="AB9" s="1391">
        <f t="shared" si="32"/>
        <v>0</v>
      </c>
      <c r="AC9" s="148">
        <f t="shared" si="0"/>
        <v>0</v>
      </c>
      <c r="AD9" s="490">
        <f t="shared" si="1"/>
        <v>0</v>
      </c>
      <c r="AE9" s="574"/>
      <c r="AF9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</f>
        <v/>
      </c>
      <c r="AG9" s="1376" t="str">
        <f>IF($AF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)</f>
        <v/>
      </c>
      <c r="AH9" s="2010" t="str">
        <f t="shared" si="2"/>
        <v/>
      </c>
      <c r="AI9" s="2010" t="str">
        <f t="shared" si="3"/>
        <v/>
      </c>
      <c r="AJ9" s="2010" t="str">
        <f t="shared" si="4"/>
        <v/>
      </c>
      <c r="AK9" s="2010" t="str">
        <f t="shared" si="5"/>
        <v/>
      </c>
      <c r="AL9" s="2010" t="str">
        <f t="shared" si="6"/>
        <v/>
      </c>
      <c r="AM9" s="2010" t="str">
        <f t="shared" si="7"/>
        <v/>
      </c>
      <c r="AN9" s="2010" t="str">
        <f t="shared" si="8"/>
        <v/>
      </c>
      <c r="AO9" s="2010" t="str">
        <f t="shared" si="9"/>
        <v/>
      </c>
      <c r="AP9" s="2010" t="str">
        <f t="shared" si="10"/>
        <v/>
      </c>
      <c r="AQ9" s="2010" t="str">
        <f t="shared" si="11"/>
        <v/>
      </c>
      <c r="AR9" s="2010" t="str">
        <f t="shared" si="12"/>
        <v/>
      </c>
      <c r="AS9" s="2010" t="str">
        <f t="shared" si="13"/>
        <v/>
      </c>
      <c r="AT9" s="2010" t="str">
        <f t="shared" si="14"/>
        <v/>
      </c>
      <c r="AU9" s="2010" t="str">
        <f t="shared" si="15"/>
        <v/>
      </c>
      <c r="AV9" s="2010" t="str">
        <f t="shared" si="16"/>
        <v/>
      </c>
      <c r="AW9" s="2010" t="str">
        <f t="shared" si="17"/>
        <v/>
      </c>
      <c r="AX9" s="2010" t="str">
        <f t="shared" si="18"/>
        <v/>
      </c>
      <c r="AY9" s="2010" t="str">
        <f t="shared" si="19"/>
        <v/>
      </c>
      <c r="AZ9" s="2010" t="str">
        <f t="shared" si="20"/>
        <v/>
      </c>
      <c r="BA9" s="2010" t="str">
        <f t="shared" si="21"/>
        <v/>
      </c>
      <c r="BB9" s="2010" t="str">
        <f t="shared" si="22"/>
        <v/>
      </c>
      <c r="BC9" s="2010" t="str">
        <f t="shared" si="23"/>
        <v/>
      </c>
      <c r="BD9" s="674" t="str">
        <f t="shared" si="24"/>
        <v/>
      </c>
      <c r="BE9" s="674" t="str">
        <f t="shared" si="25"/>
        <v/>
      </c>
      <c r="BF9" s="674" t="str">
        <f t="shared" si="26"/>
        <v/>
      </c>
      <c r="BG9" s="675" t="str">
        <f t="shared" si="27"/>
        <v/>
      </c>
      <c r="BH9" s="675" t="str">
        <f t="shared" si="28"/>
        <v/>
      </c>
      <c r="BK9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9))),"")</f>
        <v/>
      </c>
      <c r="BL9" s="500" t="str">
        <f t="shared" si="29"/>
        <v/>
      </c>
      <c r="BM9" s="458" t="str">
        <f t="shared" si="30"/>
        <v/>
      </c>
      <c r="BN9" s="501" t="str">
        <f t="shared" si="31"/>
        <v/>
      </c>
    </row>
    <row r="10" spans="1:66" ht="45.75">
      <c r="A10" s="2257"/>
      <c r="C10" s="42">
        <f>+PP!B28</f>
        <v>5</v>
      </c>
      <c r="D10" s="164" t="str">
        <f>+PP!C28</f>
        <v>ALETA ENTERA 100-500 g/pza</v>
      </c>
      <c r="E10" s="2013"/>
      <c r="F10" s="1802"/>
      <c r="G10" s="1802"/>
      <c r="H10" s="1802"/>
      <c r="I10" s="1802"/>
      <c r="J10" s="1802"/>
      <c r="K10" s="1802"/>
      <c r="L10" s="1802"/>
      <c r="M10" s="1802"/>
      <c r="N10" s="1802"/>
      <c r="O10" s="1802"/>
      <c r="P10" s="1802"/>
      <c r="Q10" s="1802"/>
      <c r="R10" s="1847"/>
      <c r="S10" s="1847"/>
      <c r="T10" s="1847"/>
      <c r="U10" s="1847"/>
      <c r="V10" s="1847"/>
      <c r="W10" s="1847"/>
      <c r="X10" s="388"/>
      <c r="Y10" s="388"/>
      <c r="Z10" s="388"/>
      <c r="AA10" s="1873"/>
      <c r="AB10" s="1392">
        <f t="shared" si="32"/>
        <v>0</v>
      </c>
      <c r="AC10" s="149">
        <f t="shared" si="0"/>
        <v>0</v>
      </c>
      <c r="AD10" s="552">
        <f t="shared" si="1"/>
        <v>0</v>
      </c>
      <c r="AE10" s="574"/>
      <c r="AF10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</f>
        <v/>
      </c>
      <c r="AG10" s="1376" t="str">
        <f>IF($AF10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)</f>
        <v/>
      </c>
      <c r="AH10" s="2010" t="str">
        <f t="shared" si="2"/>
        <v/>
      </c>
      <c r="AI10" s="2010" t="str">
        <f t="shared" si="3"/>
        <v/>
      </c>
      <c r="AJ10" s="2010" t="str">
        <f t="shared" si="4"/>
        <v/>
      </c>
      <c r="AK10" s="2010" t="str">
        <f t="shared" si="5"/>
        <v/>
      </c>
      <c r="AL10" s="2010" t="str">
        <f t="shared" si="6"/>
        <v/>
      </c>
      <c r="AM10" s="2010" t="str">
        <f t="shared" si="7"/>
        <v/>
      </c>
      <c r="AN10" s="2010" t="str">
        <f t="shared" si="8"/>
        <v/>
      </c>
      <c r="AO10" s="2010" t="str">
        <f t="shared" si="9"/>
        <v/>
      </c>
      <c r="AP10" s="2010" t="str">
        <f t="shared" si="10"/>
        <v/>
      </c>
      <c r="AQ10" s="2010" t="str">
        <f t="shared" si="11"/>
        <v/>
      </c>
      <c r="AR10" s="2010" t="str">
        <f t="shared" si="12"/>
        <v/>
      </c>
      <c r="AS10" s="2010" t="str">
        <f t="shared" si="13"/>
        <v/>
      </c>
      <c r="AT10" s="2010" t="str">
        <f t="shared" si="14"/>
        <v/>
      </c>
      <c r="AU10" s="2010" t="str">
        <f t="shared" si="15"/>
        <v/>
      </c>
      <c r="AV10" s="2010" t="str">
        <f t="shared" si="16"/>
        <v/>
      </c>
      <c r="AW10" s="2010" t="str">
        <f t="shared" si="17"/>
        <v/>
      </c>
      <c r="AX10" s="2010" t="str">
        <f t="shared" si="18"/>
        <v/>
      </c>
      <c r="AY10" s="2010" t="str">
        <f t="shared" si="19"/>
        <v/>
      </c>
      <c r="AZ10" s="2010" t="str">
        <f t="shared" si="20"/>
        <v/>
      </c>
      <c r="BA10" s="2010" t="str">
        <f t="shared" si="21"/>
        <v/>
      </c>
      <c r="BB10" s="2010" t="str">
        <f t="shared" si="22"/>
        <v/>
      </c>
      <c r="BC10" s="2010" t="str">
        <f t="shared" si="23"/>
        <v/>
      </c>
      <c r="BD10" s="674" t="str">
        <f t="shared" si="24"/>
        <v/>
      </c>
      <c r="BE10" s="674" t="str">
        <f t="shared" si="25"/>
        <v/>
      </c>
      <c r="BF10" s="674" t="str">
        <f t="shared" si="26"/>
        <v/>
      </c>
      <c r="BG10" s="675" t="str">
        <f t="shared" si="27"/>
        <v/>
      </c>
      <c r="BH10" s="675" t="str">
        <f t="shared" si="28"/>
        <v/>
      </c>
      <c r="BK10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10))),"")</f>
        <v/>
      </c>
      <c r="BL10" s="500" t="str">
        <f t="shared" si="29"/>
        <v/>
      </c>
      <c r="BM10" s="458" t="str">
        <f t="shared" si="30"/>
        <v/>
      </c>
      <c r="BN10" s="501" t="str">
        <f t="shared" si="31"/>
        <v/>
      </c>
    </row>
    <row r="11" spans="1:66" ht="45.75">
      <c r="A11" s="2257"/>
      <c r="C11" s="42">
        <f>+PP!B29</f>
        <v>6</v>
      </c>
      <c r="D11" s="164" t="str">
        <f>+PP!C29</f>
        <v>ALETA ENTERA 500-1000 g/pza</v>
      </c>
      <c r="E11" s="2013"/>
      <c r="F11" s="1802"/>
      <c r="G11" s="1802"/>
      <c r="H11" s="1802"/>
      <c r="I11" s="1802"/>
      <c r="J11" s="1802"/>
      <c r="K11" s="1802"/>
      <c r="L11" s="1802"/>
      <c r="M11" s="1802"/>
      <c r="N11" s="1802"/>
      <c r="O11" s="1802"/>
      <c r="P11" s="1802"/>
      <c r="Q11" s="1802"/>
      <c r="R11" s="1847"/>
      <c r="S11" s="1847"/>
      <c r="T11" s="1847"/>
      <c r="U11" s="1847"/>
      <c r="V11" s="1847"/>
      <c r="W11" s="1847"/>
      <c r="X11" s="388"/>
      <c r="Y11" s="388"/>
      <c r="Z11" s="388"/>
      <c r="AA11" s="1873"/>
      <c r="AB11" s="1392">
        <f t="shared" si="32"/>
        <v>0</v>
      </c>
      <c r="AC11" s="149">
        <f t="shared" si="0"/>
        <v>0</v>
      </c>
      <c r="AD11" s="552">
        <f t="shared" si="1"/>
        <v>0</v>
      </c>
      <c r="AE11" s="574"/>
      <c r="AF11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</f>
        <v/>
      </c>
      <c r="AG11" s="1376" t="str">
        <f>IF($AF11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)</f>
        <v/>
      </c>
      <c r="AH11" s="2010" t="str">
        <f t="shared" si="2"/>
        <v/>
      </c>
      <c r="AI11" s="2010" t="str">
        <f t="shared" si="3"/>
        <v/>
      </c>
      <c r="AJ11" s="2010" t="str">
        <f t="shared" si="4"/>
        <v/>
      </c>
      <c r="AK11" s="2010" t="str">
        <f t="shared" si="5"/>
        <v/>
      </c>
      <c r="AL11" s="2010" t="str">
        <f t="shared" si="6"/>
        <v/>
      </c>
      <c r="AM11" s="2010" t="str">
        <f t="shared" si="7"/>
        <v/>
      </c>
      <c r="AN11" s="2010" t="str">
        <f t="shared" si="8"/>
        <v/>
      </c>
      <c r="AO11" s="2010" t="str">
        <f t="shared" si="9"/>
        <v/>
      </c>
      <c r="AP11" s="2010" t="str">
        <f t="shared" si="10"/>
        <v/>
      </c>
      <c r="AQ11" s="2010" t="str">
        <f t="shared" si="11"/>
        <v/>
      </c>
      <c r="AR11" s="2010" t="str">
        <f t="shared" si="12"/>
        <v/>
      </c>
      <c r="AS11" s="2010" t="str">
        <f t="shared" si="13"/>
        <v/>
      </c>
      <c r="AT11" s="2010" t="str">
        <f t="shared" si="14"/>
        <v/>
      </c>
      <c r="AU11" s="2010" t="str">
        <f t="shared" si="15"/>
        <v/>
      </c>
      <c r="AV11" s="2010" t="str">
        <f t="shared" si="16"/>
        <v/>
      </c>
      <c r="AW11" s="2010" t="str">
        <f t="shared" si="17"/>
        <v/>
      </c>
      <c r="AX11" s="2010" t="str">
        <f t="shared" si="18"/>
        <v/>
      </c>
      <c r="AY11" s="2010" t="str">
        <f t="shared" si="19"/>
        <v/>
      </c>
      <c r="AZ11" s="2010" t="str">
        <f t="shared" si="20"/>
        <v/>
      </c>
      <c r="BA11" s="2010" t="str">
        <f t="shared" si="21"/>
        <v/>
      </c>
      <c r="BB11" s="2010" t="str">
        <f t="shared" si="22"/>
        <v/>
      </c>
      <c r="BC11" s="2010" t="str">
        <f t="shared" si="23"/>
        <v/>
      </c>
      <c r="BD11" s="674" t="str">
        <f t="shared" si="24"/>
        <v/>
      </c>
      <c r="BE11" s="674" t="str">
        <f t="shared" si="25"/>
        <v/>
      </c>
      <c r="BF11" s="674" t="str">
        <f t="shared" si="26"/>
        <v/>
      </c>
      <c r="BG11" s="675" t="str">
        <f t="shared" si="27"/>
        <v/>
      </c>
      <c r="BH11" s="675" t="str">
        <f t="shared" si="28"/>
        <v/>
      </c>
      <c r="BK11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11))),"")</f>
        <v/>
      </c>
      <c r="BL11" s="500" t="str">
        <f t="shared" si="29"/>
        <v/>
      </c>
      <c r="BM11" s="458" t="str">
        <f t="shared" si="30"/>
        <v/>
      </c>
      <c r="BN11" s="501" t="str">
        <f t="shared" si="31"/>
        <v/>
      </c>
    </row>
    <row r="12" spans="1:66" ht="45.75">
      <c r="A12" s="2257"/>
      <c r="C12" s="42">
        <f>+PP!B30</f>
        <v>7</v>
      </c>
      <c r="D12" s="164" t="str">
        <f>+PP!C30</f>
        <v>ALETA ENTERA 1.0-2.0 kg/pza</v>
      </c>
      <c r="E12" s="2013"/>
      <c r="F12" s="1802"/>
      <c r="G12" s="1802"/>
      <c r="H12" s="1802"/>
      <c r="I12" s="1802"/>
      <c r="J12" s="1802"/>
      <c r="K12" s="1802"/>
      <c r="L12" s="1802"/>
      <c r="M12" s="1802"/>
      <c r="N12" s="1802"/>
      <c r="O12" s="1802"/>
      <c r="P12" s="1802"/>
      <c r="Q12" s="1802"/>
      <c r="R12" s="1847"/>
      <c r="S12" s="1847"/>
      <c r="T12" s="1847"/>
      <c r="U12" s="1847"/>
      <c r="V12" s="1847"/>
      <c r="W12" s="1847"/>
      <c r="X12" s="388"/>
      <c r="Y12" s="388"/>
      <c r="Z12" s="388"/>
      <c r="AA12" s="1873"/>
      <c r="AB12" s="1392">
        <f t="shared" si="32"/>
        <v>0</v>
      </c>
      <c r="AC12" s="149">
        <f t="shared" si="0"/>
        <v>0</v>
      </c>
      <c r="AD12" s="552">
        <f t="shared" si="1"/>
        <v>0</v>
      </c>
      <c r="AE12" s="574"/>
      <c r="AF12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</f>
        <v/>
      </c>
      <c r="AG12" s="1376" t="str">
        <f>IF($AF12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)</f>
        <v/>
      </c>
      <c r="AH12" s="2010" t="str">
        <f t="shared" si="2"/>
        <v/>
      </c>
      <c r="AI12" s="2010" t="str">
        <f t="shared" si="3"/>
        <v/>
      </c>
      <c r="AJ12" s="2010" t="str">
        <f t="shared" si="4"/>
        <v/>
      </c>
      <c r="AK12" s="2010" t="str">
        <f t="shared" si="5"/>
        <v/>
      </c>
      <c r="AL12" s="2010" t="str">
        <f t="shared" si="6"/>
        <v/>
      </c>
      <c r="AM12" s="2010" t="str">
        <f t="shared" si="7"/>
        <v/>
      </c>
      <c r="AN12" s="2010" t="str">
        <f t="shared" si="8"/>
        <v/>
      </c>
      <c r="AO12" s="2010" t="str">
        <f t="shared" si="9"/>
        <v/>
      </c>
      <c r="AP12" s="2010" t="str">
        <f t="shared" si="10"/>
        <v/>
      </c>
      <c r="AQ12" s="2010" t="str">
        <f t="shared" si="11"/>
        <v/>
      </c>
      <c r="AR12" s="2010" t="str">
        <f t="shared" si="12"/>
        <v/>
      </c>
      <c r="AS12" s="2010" t="str">
        <f t="shared" si="13"/>
        <v/>
      </c>
      <c r="AT12" s="2010" t="str">
        <f t="shared" si="14"/>
        <v/>
      </c>
      <c r="AU12" s="2010" t="str">
        <f t="shared" si="15"/>
        <v/>
      </c>
      <c r="AV12" s="2010" t="str">
        <f t="shared" si="16"/>
        <v/>
      </c>
      <c r="AW12" s="2010" t="str">
        <f t="shared" si="17"/>
        <v/>
      </c>
      <c r="AX12" s="2010" t="str">
        <f t="shared" si="18"/>
        <v/>
      </c>
      <c r="AY12" s="2010" t="str">
        <f t="shared" si="19"/>
        <v/>
      </c>
      <c r="AZ12" s="2010" t="str">
        <f t="shared" si="20"/>
        <v/>
      </c>
      <c r="BA12" s="2010" t="str">
        <f t="shared" si="21"/>
        <v/>
      </c>
      <c r="BB12" s="2010" t="str">
        <f t="shared" si="22"/>
        <v/>
      </c>
      <c r="BC12" s="2010" t="str">
        <f t="shared" si="23"/>
        <v/>
      </c>
      <c r="BD12" s="674" t="str">
        <f t="shared" si="24"/>
        <v/>
      </c>
      <c r="BE12" s="674" t="str">
        <f t="shared" si="25"/>
        <v/>
      </c>
      <c r="BF12" s="674" t="str">
        <f t="shared" si="26"/>
        <v/>
      </c>
      <c r="BG12" s="675" t="str">
        <f t="shared" si="27"/>
        <v/>
      </c>
      <c r="BH12" s="675" t="str">
        <f t="shared" si="28"/>
        <v/>
      </c>
      <c r="BK12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12))),"")</f>
        <v/>
      </c>
      <c r="BL12" s="500" t="str">
        <f t="shared" si="29"/>
        <v/>
      </c>
      <c r="BM12" s="458" t="str">
        <f t="shared" si="30"/>
        <v/>
      </c>
      <c r="BN12" s="501" t="str">
        <f t="shared" si="31"/>
        <v/>
      </c>
    </row>
    <row r="13" spans="1:66" ht="45.75">
      <c r="A13" s="2257"/>
      <c r="C13" s="42">
        <f>+PP!B31</f>
        <v>8</v>
      </c>
      <c r="D13" s="164" t="str">
        <f>+PP!C31</f>
        <v>ALETA FRESCA PARTIDA 2.0-4.0 kg/pza</v>
      </c>
      <c r="E13" s="2013"/>
      <c r="F13" s="1802"/>
      <c r="G13" s="1802"/>
      <c r="H13" s="1802"/>
      <c r="I13" s="1802"/>
      <c r="J13" s="1802"/>
      <c r="K13" s="1802"/>
      <c r="L13" s="1802"/>
      <c r="M13" s="1802"/>
      <c r="N13" s="1802"/>
      <c r="O13" s="1802"/>
      <c r="P13" s="1802"/>
      <c r="Q13" s="1802"/>
      <c r="R13" s="1847"/>
      <c r="S13" s="1847"/>
      <c r="T13" s="1847"/>
      <c r="U13" s="1847"/>
      <c r="V13" s="1847"/>
      <c r="W13" s="1847"/>
      <c r="X13" s="388"/>
      <c r="Y13" s="388"/>
      <c r="Z13" s="388"/>
      <c r="AA13" s="1873"/>
      <c r="AB13" s="1392">
        <f t="shared" si="32"/>
        <v>0</v>
      </c>
      <c r="AC13" s="149">
        <f t="shared" si="0"/>
        <v>0</v>
      </c>
      <c r="AD13" s="552">
        <f t="shared" si="1"/>
        <v>0</v>
      </c>
      <c r="AE13" s="574"/>
      <c r="AF13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</f>
        <v/>
      </c>
      <c r="AG13" s="1376" t="str">
        <f>IF($AF13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)</f>
        <v/>
      </c>
      <c r="AH13" s="2010" t="str">
        <f t="shared" si="2"/>
        <v/>
      </c>
      <c r="AI13" s="2010" t="str">
        <f t="shared" si="3"/>
        <v/>
      </c>
      <c r="AJ13" s="2010" t="str">
        <f t="shared" si="4"/>
        <v/>
      </c>
      <c r="AK13" s="2010" t="str">
        <f t="shared" si="5"/>
        <v/>
      </c>
      <c r="AL13" s="2010" t="str">
        <f t="shared" si="6"/>
        <v/>
      </c>
      <c r="AM13" s="2010" t="str">
        <f t="shared" si="7"/>
        <v/>
      </c>
      <c r="AN13" s="2010" t="str">
        <f t="shared" si="8"/>
        <v/>
      </c>
      <c r="AO13" s="2010" t="str">
        <f t="shared" si="9"/>
        <v/>
      </c>
      <c r="AP13" s="2010" t="str">
        <f t="shared" si="10"/>
        <v/>
      </c>
      <c r="AQ13" s="2010" t="str">
        <f t="shared" si="11"/>
        <v/>
      </c>
      <c r="AR13" s="2010" t="str">
        <f t="shared" si="12"/>
        <v/>
      </c>
      <c r="AS13" s="2010" t="str">
        <f t="shared" si="13"/>
        <v/>
      </c>
      <c r="AT13" s="2010" t="str">
        <f t="shared" si="14"/>
        <v/>
      </c>
      <c r="AU13" s="2010" t="str">
        <f t="shared" si="15"/>
        <v/>
      </c>
      <c r="AV13" s="2010" t="str">
        <f t="shared" si="16"/>
        <v/>
      </c>
      <c r="AW13" s="2010" t="str">
        <f t="shared" si="17"/>
        <v/>
      </c>
      <c r="AX13" s="2010" t="str">
        <f t="shared" si="18"/>
        <v/>
      </c>
      <c r="AY13" s="2010" t="str">
        <f t="shared" si="19"/>
        <v/>
      </c>
      <c r="AZ13" s="2010" t="str">
        <f t="shared" si="20"/>
        <v/>
      </c>
      <c r="BA13" s="2010" t="str">
        <f t="shared" si="21"/>
        <v/>
      </c>
      <c r="BB13" s="2010" t="str">
        <f t="shared" si="22"/>
        <v/>
      </c>
      <c r="BC13" s="2010" t="str">
        <f t="shared" si="23"/>
        <v/>
      </c>
      <c r="BD13" s="674" t="str">
        <f t="shared" si="24"/>
        <v/>
      </c>
      <c r="BE13" s="674" t="str">
        <f t="shared" si="25"/>
        <v/>
      </c>
      <c r="BF13" s="674" t="str">
        <f t="shared" si="26"/>
        <v/>
      </c>
      <c r="BG13" s="675" t="str">
        <f t="shared" si="27"/>
        <v/>
      </c>
      <c r="BH13" s="675" t="str">
        <f t="shared" si="28"/>
        <v/>
      </c>
      <c r="BK13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13))),"")</f>
        <v/>
      </c>
      <c r="BL13" s="500" t="str">
        <f t="shared" si="29"/>
        <v/>
      </c>
      <c r="BM13" s="458" t="str">
        <f t="shared" si="30"/>
        <v/>
      </c>
      <c r="BN13" s="501" t="str">
        <f t="shared" si="31"/>
        <v/>
      </c>
    </row>
    <row r="14" spans="1:66" ht="45.75">
      <c r="A14" s="2257"/>
      <c r="C14" s="42">
        <f>+PP!B32</f>
        <v>9</v>
      </c>
      <c r="D14" s="164" t="str">
        <f>+PP!C32</f>
        <v>ALETA PRECOCIDA ENTERA 300-UP g/pza</v>
      </c>
      <c r="E14" s="2013"/>
      <c r="F14" s="1802"/>
      <c r="G14" s="1802"/>
      <c r="H14" s="1802"/>
      <c r="I14" s="1802"/>
      <c r="J14" s="1802"/>
      <c r="K14" s="1802"/>
      <c r="L14" s="1802"/>
      <c r="M14" s="1802"/>
      <c r="N14" s="1802"/>
      <c r="O14" s="1802"/>
      <c r="P14" s="1802"/>
      <c r="Q14" s="1802"/>
      <c r="R14" s="1847"/>
      <c r="S14" s="1847"/>
      <c r="T14" s="1847"/>
      <c r="U14" s="1847"/>
      <c r="V14" s="1847"/>
      <c r="W14" s="1847"/>
      <c r="X14" s="388"/>
      <c r="Y14" s="388"/>
      <c r="Z14" s="388"/>
      <c r="AA14" s="1873"/>
      <c r="AB14" s="1392">
        <f t="shared" si="32"/>
        <v>0</v>
      </c>
      <c r="AC14" s="149">
        <f t="shared" si="0"/>
        <v>0</v>
      </c>
      <c r="AD14" s="552">
        <f t="shared" si="1"/>
        <v>0</v>
      </c>
      <c r="AE14" s="574"/>
      <c r="AF14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</f>
        <v/>
      </c>
      <c r="AG14" s="1376" t="str">
        <f>IF($AF14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)</f>
        <v/>
      </c>
      <c r="AH14" s="2010" t="str">
        <f t="shared" si="2"/>
        <v/>
      </c>
      <c r="AI14" s="2010" t="str">
        <f t="shared" si="3"/>
        <v/>
      </c>
      <c r="AJ14" s="2010" t="str">
        <f t="shared" si="4"/>
        <v/>
      </c>
      <c r="AK14" s="2010" t="str">
        <f t="shared" si="5"/>
        <v/>
      </c>
      <c r="AL14" s="2010" t="str">
        <f t="shared" si="6"/>
        <v/>
      </c>
      <c r="AM14" s="2010" t="str">
        <f t="shared" si="7"/>
        <v/>
      </c>
      <c r="AN14" s="2010" t="str">
        <f t="shared" si="8"/>
        <v/>
      </c>
      <c r="AO14" s="2010" t="str">
        <f t="shared" si="9"/>
        <v/>
      </c>
      <c r="AP14" s="2010" t="str">
        <f t="shared" si="10"/>
        <v/>
      </c>
      <c r="AQ14" s="2010" t="str">
        <f t="shared" si="11"/>
        <v/>
      </c>
      <c r="AR14" s="2010" t="str">
        <f t="shared" si="12"/>
        <v/>
      </c>
      <c r="AS14" s="2010" t="str">
        <f t="shared" si="13"/>
        <v/>
      </c>
      <c r="AT14" s="2010" t="str">
        <f t="shared" si="14"/>
        <v/>
      </c>
      <c r="AU14" s="2010" t="str">
        <f t="shared" si="15"/>
        <v/>
      </c>
      <c r="AV14" s="2010" t="str">
        <f t="shared" si="16"/>
        <v/>
      </c>
      <c r="AW14" s="2010" t="str">
        <f t="shared" si="17"/>
        <v/>
      </c>
      <c r="AX14" s="2010" t="str">
        <f t="shared" si="18"/>
        <v/>
      </c>
      <c r="AY14" s="2010" t="str">
        <f t="shared" si="19"/>
        <v/>
      </c>
      <c r="AZ14" s="2010" t="str">
        <f t="shared" si="20"/>
        <v/>
      </c>
      <c r="BA14" s="2010" t="str">
        <f t="shared" si="21"/>
        <v/>
      </c>
      <c r="BB14" s="2010" t="str">
        <f t="shared" si="22"/>
        <v/>
      </c>
      <c r="BC14" s="2010" t="str">
        <f t="shared" si="23"/>
        <v/>
      </c>
      <c r="BD14" s="674" t="str">
        <f t="shared" si="24"/>
        <v/>
      </c>
      <c r="BE14" s="674" t="str">
        <f t="shared" si="25"/>
        <v/>
      </c>
      <c r="BF14" s="674" t="str">
        <f t="shared" si="26"/>
        <v/>
      </c>
      <c r="BG14" s="675" t="str">
        <f t="shared" si="27"/>
        <v/>
      </c>
      <c r="BH14" s="675" t="str">
        <f t="shared" si="28"/>
        <v/>
      </c>
      <c r="BK14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14))),"")</f>
        <v/>
      </c>
      <c r="BL14" s="500" t="str">
        <f t="shared" si="29"/>
        <v/>
      </c>
      <c r="BM14" s="458" t="str">
        <f t="shared" si="30"/>
        <v/>
      </c>
      <c r="BN14" s="501" t="str">
        <f t="shared" si="31"/>
        <v/>
      </c>
    </row>
    <row r="15" spans="1:66" ht="46.5" thickBot="1">
      <c r="A15" s="2257"/>
      <c r="C15" s="40">
        <f>+PP!B33</f>
        <v>10</v>
      </c>
      <c r="D15" s="163" t="str">
        <f>+PP!C33</f>
        <v>ALETA PRECOCIDA PARTIDA 300-UP g/pza</v>
      </c>
      <c r="E15" s="2972"/>
      <c r="F15" s="2973"/>
      <c r="G15" s="2973"/>
      <c r="H15" s="2973"/>
      <c r="I15" s="2973"/>
      <c r="J15" s="2973"/>
      <c r="K15" s="2973"/>
      <c r="L15" s="2973"/>
      <c r="M15" s="2973"/>
      <c r="N15" s="2973"/>
      <c r="O15" s="2973"/>
      <c r="P15" s="2973"/>
      <c r="Q15" s="2973"/>
      <c r="R15" s="2975"/>
      <c r="S15" s="2975"/>
      <c r="T15" s="2975"/>
      <c r="U15" s="2975"/>
      <c r="V15" s="2975"/>
      <c r="W15" s="2975"/>
      <c r="X15" s="1008"/>
      <c r="Y15" s="1008"/>
      <c r="Z15" s="1008"/>
      <c r="AA15" s="2990"/>
      <c r="AB15" s="1393">
        <f t="shared" si="32"/>
        <v>0</v>
      </c>
      <c r="AC15" s="150">
        <f t="shared" si="0"/>
        <v>0</v>
      </c>
      <c r="AD15" s="507">
        <f t="shared" si="1"/>
        <v>0</v>
      </c>
      <c r="AE15" s="574"/>
      <c r="AF15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</f>
        <v/>
      </c>
      <c r="AG15" s="1376" t="str">
        <f>IF($AF15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)</f>
        <v/>
      </c>
      <c r="AH15" s="2010" t="str">
        <f t="shared" si="2"/>
        <v/>
      </c>
      <c r="AI15" s="2010" t="str">
        <f t="shared" si="3"/>
        <v/>
      </c>
      <c r="AJ15" s="2010" t="str">
        <f t="shared" si="4"/>
        <v/>
      </c>
      <c r="AK15" s="2010" t="str">
        <f t="shared" si="5"/>
        <v/>
      </c>
      <c r="AL15" s="2010" t="str">
        <f t="shared" si="6"/>
        <v/>
      </c>
      <c r="AM15" s="2010" t="str">
        <f t="shared" si="7"/>
        <v/>
      </c>
      <c r="AN15" s="2010" t="str">
        <f t="shared" si="8"/>
        <v/>
      </c>
      <c r="AO15" s="2010" t="str">
        <f t="shared" si="9"/>
        <v/>
      </c>
      <c r="AP15" s="2010" t="str">
        <f t="shared" si="10"/>
        <v/>
      </c>
      <c r="AQ15" s="2010" t="str">
        <f t="shared" si="11"/>
        <v/>
      </c>
      <c r="AR15" s="2010" t="str">
        <f t="shared" si="12"/>
        <v/>
      </c>
      <c r="AS15" s="2010" t="str">
        <f t="shared" si="13"/>
        <v/>
      </c>
      <c r="AT15" s="2010" t="str">
        <f t="shared" si="14"/>
        <v/>
      </c>
      <c r="AU15" s="2010" t="str">
        <f t="shared" si="15"/>
        <v/>
      </c>
      <c r="AV15" s="2010" t="str">
        <f t="shared" si="16"/>
        <v/>
      </c>
      <c r="AW15" s="2010" t="str">
        <f t="shared" si="17"/>
        <v/>
      </c>
      <c r="AX15" s="2010" t="str">
        <f t="shared" si="18"/>
        <v/>
      </c>
      <c r="AY15" s="2010" t="str">
        <f t="shared" si="19"/>
        <v/>
      </c>
      <c r="AZ15" s="2010" t="str">
        <f t="shared" si="20"/>
        <v/>
      </c>
      <c r="BA15" s="2010" t="str">
        <f t="shared" si="21"/>
        <v/>
      </c>
      <c r="BB15" s="2010" t="str">
        <f t="shared" si="22"/>
        <v/>
      </c>
      <c r="BC15" s="2010" t="str">
        <f t="shared" si="23"/>
        <v/>
      </c>
      <c r="BD15" s="674" t="str">
        <f t="shared" si="24"/>
        <v/>
      </c>
      <c r="BE15" s="674" t="str">
        <f t="shared" si="25"/>
        <v/>
      </c>
      <c r="BF15" s="674" t="str">
        <f t="shared" si="26"/>
        <v/>
      </c>
      <c r="BG15" s="675" t="str">
        <f t="shared" si="27"/>
        <v/>
      </c>
      <c r="BH15" s="675" t="str">
        <f t="shared" si="28"/>
        <v/>
      </c>
      <c r="BK15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15))),"")</f>
        <v/>
      </c>
      <c r="BL15" s="500" t="str">
        <f t="shared" si="29"/>
        <v/>
      </c>
      <c r="BM15" s="458" t="str">
        <f t="shared" si="30"/>
        <v/>
      </c>
      <c r="BN15" s="501" t="str">
        <f t="shared" si="31"/>
        <v/>
      </c>
    </row>
    <row r="16" spans="1:66" ht="45.75">
      <c r="A16" s="2257"/>
      <c r="C16" s="41">
        <f>+PP!B34</f>
        <v>11</v>
      </c>
      <c r="D16" s="162" t="str">
        <f>+PP!C34</f>
        <v>BOTON BLANCO SM ST</v>
      </c>
      <c r="E16" s="2967"/>
      <c r="F16" s="2968"/>
      <c r="G16" s="2968"/>
      <c r="H16" s="2968"/>
      <c r="I16" s="2968"/>
      <c r="J16" s="2968"/>
      <c r="K16" s="2968"/>
      <c r="L16" s="2968"/>
      <c r="M16" s="2968"/>
      <c r="N16" s="2968"/>
      <c r="O16" s="2968"/>
      <c r="P16" s="2968"/>
      <c r="Q16" s="2968"/>
      <c r="R16" s="2970"/>
      <c r="S16" s="2970"/>
      <c r="T16" s="2970"/>
      <c r="U16" s="2970"/>
      <c r="V16" s="2970"/>
      <c r="W16" s="2970"/>
      <c r="X16" s="1007"/>
      <c r="Y16" s="1007"/>
      <c r="Z16" s="1007"/>
      <c r="AA16" s="2989"/>
      <c r="AB16" s="1391">
        <f t="shared" si="32"/>
        <v>0</v>
      </c>
      <c r="AC16" s="148">
        <f t="shared" si="0"/>
        <v>0</v>
      </c>
      <c r="AD16" s="490">
        <f t="shared" si="1"/>
        <v>0</v>
      </c>
      <c r="AE16" s="574"/>
      <c r="AF16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</f>
        <v/>
      </c>
      <c r="AG16" s="1376" t="str">
        <f>IF($AF16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)</f>
        <v/>
      </c>
      <c r="AH16" s="2010" t="str">
        <f t="shared" si="2"/>
        <v/>
      </c>
      <c r="AI16" s="2010" t="str">
        <f t="shared" si="3"/>
        <v/>
      </c>
      <c r="AJ16" s="2010" t="str">
        <f t="shared" si="4"/>
        <v/>
      </c>
      <c r="AK16" s="2010" t="str">
        <f t="shared" si="5"/>
        <v/>
      </c>
      <c r="AL16" s="2010" t="str">
        <f t="shared" si="6"/>
        <v/>
      </c>
      <c r="AM16" s="2010" t="str">
        <f t="shared" si="7"/>
        <v/>
      </c>
      <c r="AN16" s="2010" t="str">
        <f t="shared" si="8"/>
        <v/>
      </c>
      <c r="AO16" s="2010" t="str">
        <f t="shared" si="9"/>
        <v/>
      </c>
      <c r="AP16" s="2010" t="str">
        <f t="shared" si="10"/>
        <v/>
      </c>
      <c r="AQ16" s="2010" t="str">
        <f t="shared" si="11"/>
        <v/>
      </c>
      <c r="AR16" s="2010" t="str">
        <f t="shared" si="12"/>
        <v/>
      </c>
      <c r="AS16" s="2010" t="str">
        <f t="shared" si="13"/>
        <v/>
      </c>
      <c r="AT16" s="2010" t="str">
        <f t="shared" si="14"/>
        <v/>
      </c>
      <c r="AU16" s="2010" t="str">
        <f t="shared" si="15"/>
        <v/>
      </c>
      <c r="AV16" s="2010" t="str">
        <f t="shared" si="16"/>
        <v/>
      </c>
      <c r="AW16" s="2010" t="str">
        <f t="shared" si="17"/>
        <v/>
      </c>
      <c r="AX16" s="2010" t="str">
        <f t="shared" si="18"/>
        <v/>
      </c>
      <c r="AY16" s="2010" t="str">
        <f t="shared" si="19"/>
        <v/>
      </c>
      <c r="AZ16" s="2010" t="str">
        <f t="shared" si="20"/>
        <v/>
      </c>
      <c r="BA16" s="2010" t="str">
        <f t="shared" si="21"/>
        <v/>
      </c>
      <c r="BB16" s="2010" t="str">
        <f t="shared" si="22"/>
        <v/>
      </c>
      <c r="BC16" s="2010" t="str">
        <f t="shared" si="23"/>
        <v/>
      </c>
      <c r="BD16" s="674" t="str">
        <f t="shared" si="24"/>
        <v/>
      </c>
      <c r="BE16" s="674" t="str">
        <f t="shared" si="25"/>
        <v/>
      </c>
      <c r="BF16" s="674" t="str">
        <f t="shared" si="26"/>
        <v/>
      </c>
      <c r="BG16" s="675" t="str">
        <f t="shared" si="27"/>
        <v/>
      </c>
      <c r="BH16" s="675" t="str">
        <f t="shared" si="28"/>
        <v/>
      </c>
      <c r="BK16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16))),"")</f>
        <v/>
      </c>
      <c r="BL16" s="500" t="str">
        <f t="shared" si="29"/>
        <v/>
      </c>
      <c r="BM16" s="458" t="str">
        <f t="shared" si="30"/>
        <v/>
      </c>
      <c r="BN16" s="501" t="str">
        <f t="shared" si="31"/>
        <v/>
      </c>
    </row>
    <row r="17" spans="1:66" ht="46.5" thickBot="1">
      <c r="A17" s="2257"/>
      <c r="C17" s="40">
        <f>+PP!B35</f>
        <v>12</v>
      </c>
      <c r="D17" s="163" t="str">
        <f>+PP!C35</f>
        <v>BOTON AMARILLO SM ST</v>
      </c>
      <c r="E17" s="2972"/>
      <c r="F17" s="2973"/>
      <c r="G17" s="2973"/>
      <c r="H17" s="2973"/>
      <c r="I17" s="2973"/>
      <c r="J17" s="2973"/>
      <c r="K17" s="2973"/>
      <c r="L17" s="2973"/>
      <c r="M17" s="2973"/>
      <c r="N17" s="2973"/>
      <c r="O17" s="2973"/>
      <c r="P17" s="2973"/>
      <c r="Q17" s="2973"/>
      <c r="R17" s="2975"/>
      <c r="S17" s="2975"/>
      <c r="T17" s="2975"/>
      <c r="U17" s="2975"/>
      <c r="V17" s="2975"/>
      <c r="W17" s="2975"/>
      <c r="X17" s="1008"/>
      <c r="Y17" s="1008"/>
      <c r="Z17" s="1008"/>
      <c r="AA17" s="2990"/>
      <c r="AB17" s="1393">
        <f t="shared" si="32"/>
        <v>0</v>
      </c>
      <c r="AC17" s="150">
        <f t="shared" si="0"/>
        <v>0</v>
      </c>
      <c r="AD17" s="507">
        <f t="shared" si="1"/>
        <v>0</v>
      </c>
      <c r="AE17" s="574"/>
      <c r="AF17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</f>
        <v/>
      </c>
      <c r="AG17" s="1376" t="str">
        <f>IF($AF17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)</f>
        <v/>
      </c>
      <c r="AH17" s="2010" t="str">
        <f t="shared" si="2"/>
        <v/>
      </c>
      <c r="AI17" s="2010" t="str">
        <f t="shared" si="3"/>
        <v/>
      </c>
      <c r="AJ17" s="2010" t="str">
        <f t="shared" si="4"/>
        <v/>
      </c>
      <c r="AK17" s="2010" t="str">
        <f t="shared" si="5"/>
        <v/>
      </c>
      <c r="AL17" s="2010" t="str">
        <f t="shared" si="6"/>
        <v/>
      </c>
      <c r="AM17" s="2010" t="str">
        <f t="shared" si="7"/>
        <v/>
      </c>
      <c r="AN17" s="2010" t="str">
        <f t="shared" si="8"/>
        <v/>
      </c>
      <c r="AO17" s="2010" t="str">
        <f t="shared" si="9"/>
        <v/>
      </c>
      <c r="AP17" s="2010" t="str">
        <f t="shared" si="10"/>
        <v/>
      </c>
      <c r="AQ17" s="2010" t="str">
        <f t="shared" si="11"/>
        <v/>
      </c>
      <c r="AR17" s="2010" t="str">
        <f t="shared" si="12"/>
        <v/>
      </c>
      <c r="AS17" s="2010" t="str">
        <f t="shared" si="13"/>
        <v/>
      </c>
      <c r="AT17" s="2010" t="str">
        <f t="shared" si="14"/>
        <v/>
      </c>
      <c r="AU17" s="2010" t="str">
        <f t="shared" si="15"/>
        <v/>
      </c>
      <c r="AV17" s="2010" t="str">
        <f t="shared" si="16"/>
        <v/>
      </c>
      <c r="AW17" s="2010" t="str">
        <f t="shared" si="17"/>
        <v/>
      </c>
      <c r="AX17" s="2010" t="str">
        <f t="shared" si="18"/>
        <v/>
      </c>
      <c r="AY17" s="2010" t="str">
        <f t="shared" si="19"/>
        <v/>
      </c>
      <c r="AZ17" s="2010" t="str">
        <f t="shared" si="20"/>
        <v/>
      </c>
      <c r="BA17" s="2010" t="str">
        <f t="shared" si="21"/>
        <v/>
      </c>
      <c r="BB17" s="2010" t="str">
        <f t="shared" si="22"/>
        <v/>
      </c>
      <c r="BC17" s="2010" t="str">
        <f t="shared" si="23"/>
        <v/>
      </c>
      <c r="BD17" s="674" t="str">
        <f t="shared" si="24"/>
        <v/>
      </c>
      <c r="BE17" s="674" t="str">
        <f t="shared" si="25"/>
        <v/>
      </c>
      <c r="BF17" s="674" t="str">
        <f t="shared" si="26"/>
        <v/>
      </c>
      <c r="BG17" s="675" t="str">
        <f t="shared" si="27"/>
        <v/>
      </c>
      <c r="BH17" s="675" t="str">
        <f t="shared" si="28"/>
        <v/>
      </c>
      <c r="BK17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17))),"")</f>
        <v/>
      </c>
      <c r="BL17" s="500" t="str">
        <f t="shared" si="29"/>
        <v/>
      </c>
      <c r="BM17" s="458" t="str">
        <f t="shared" si="30"/>
        <v/>
      </c>
      <c r="BN17" s="501" t="str">
        <f t="shared" si="31"/>
        <v/>
      </c>
    </row>
    <row r="18" spans="1:66" ht="41.25" customHeight="1" thickBot="1">
      <c r="A18" s="2257"/>
      <c r="C18" s="526">
        <f>+PP!B36</f>
        <v>13</v>
      </c>
      <c r="D18" s="165" t="str">
        <f>+PP!C36</f>
        <v>CONOS DE POTA</v>
      </c>
      <c r="E18" s="2979"/>
      <c r="F18" s="2980"/>
      <c r="G18" s="2980"/>
      <c r="H18" s="2980"/>
      <c r="I18" s="2980"/>
      <c r="J18" s="2980"/>
      <c r="K18" s="2980"/>
      <c r="L18" s="2980"/>
      <c r="M18" s="2980"/>
      <c r="N18" s="2980"/>
      <c r="O18" s="2980"/>
      <c r="P18" s="2980"/>
      <c r="Q18" s="2980"/>
      <c r="R18" s="2981"/>
      <c r="S18" s="2981"/>
      <c r="T18" s="2981"/>
      <c r="U18" s="2981"/>
      <c r="V18" s="2981"/>
      <c r="W18" s="2981"/>
      <c r="X18" s="1156"/>
      <c r="Y18" s="1156"/>
      <c r="Z18" s="1156"/>
      <c r="AA18" s="2991"/>
      <c r="AB18" s="1697">
        <f t="shared" si="32"/>
        <v>0</v>
      </c>
      <c r="AC18" s="153">
        <f t="shared" si="0"/>
        <v>0</v>
      </c>
      <c r="AD18" s="557">
        <f t="shared" si="1"/>
        <v>0</v>
      </c>
      <c r="AE18" s="574"/>
      <c r="AF18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</f>
        <v/>
      </c>
      <c r="AG18" s="1376" t="str">
        <f>IF($AF18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)</f>
        <v/>
      </c>
      <c r="AH18" s="2010" t="str">
        <f t="shared" si="2"/>
        <v/>
      </c>
      <c r="AI18" s="2010" t="str">
        <f t="shared" si="3"/>
        <v/>
      </c>
      <c r="AJ18" s="2010" t="str">
        <f t="shared" si="4"/>
        <v/>
      </c>
      <c r="AK18" s="2010" t="str">
        <f t="shared" si="5"/>
        <v/>
      </c>
      <c r="AL18" s="2010" t="str">
        <f t="shared" si="6"/>
        <v/>
      </c>
      <c r="AM18" s="2010" t="str">
        <f t="shared" si="7"/>
        <v/>
      </c>
      <c r="AN18" s="2010" t="str">
        <f t="shared" si="8"/>
        <v/>
      </c>
      <c r="AO18" s="2010" t="str">
        <f t="shared" si="9"/>
        <v/>
      </c>
      <c r="AP18" s="2010" t="str">
        <f t="shared" si="10"/>
        <v/>
      </c>
      <c r="AQ18" s="2010" t="str">
        <f t="shared" si="11"/>
        <v/>
      </c>
      <c r="AR18" s="2010" t="str">
        <f t="shared" si="12"/>
        <v/>
      </c>
      <c r="AS18" s="2010" t="str">
        <f t="shared" si="13"/>
        <v/>
      </c>
      <c r="AT18" s="2010" t="str">
        <f t="shared" si="14"/>
        <v/>
      </c>
      <c r="AU18" s="2010" t="str">
        <f t="shared" si="15"/>
        <v/>
      </c>
      <c r="AV18" s="2010" t="str">
        <f t="shared" si="16"/>
        <v/>
      </c>
      <c r="AW18" s="2010" t="str">
        <f t="shared" si="17"/>
        <v/>
      </c>
      <c r="AX18" s="2010" t="str">
        <f t="shared" si="18"/>
        <v/>
      </c>
      <c r="AY18" s="2010" t="str">
        <f t="shared" si="19"/>
        <v/>
      </c>
      <c r="AZ18" s="2010" t="str">
        <f t="shared" si="20"/>
        <v/>
      </c>
      <c r="BA18" s="2010" t="str">
        <f t="shared" si="21"/>
        <v/>
      </c>
      <c r="BB18" s="2010" t="str">
        <f t="shared" si="22"/>
        <v/>
      </c>
      <c r="BC18" s="2010" t="str">
        <f t="shared" si="23"/>
        <v/>
      </c>
      <c r="BD18" s="674" t="str">
        <f t="shared" si="24"/>
        <v/>
      </c>
      <c r="BE18" s="674" t="str">
        <f t="shared" si="25"/>
        <v/>
      </c>
      <c r="BF18" s="674" t="str">
        <f t="shared" si="26"/>
        <v/>
      </c>
      <c r="BG18" s="675" t="str">
        <f t="shared" si="27"/>
        <v/>
      </c>
      <c r="BH18" s="675" t="str">
        <f t="shared" si="28"/>
        <v/>
      </c>
      <c r="BK18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18))),"")</f>
        <v/>
      </c>
      <c r="BL18" s="500" t="str">
        <f t="shared" si="29"/>
        <v/>
      </c>
      <c r="BM18" s="458" t="str">
        <f t="shared" si="30"/>
        <v/>
      </c>
      <c r="BN18" s="501" t="str">
        <f t="shared" si="31"/>
        <v/>
      </c>
    </row>
    <row r="19" spans="1:66" ht="45.75">
      <c r="A19" s="2257"/>
      <c r="C19" s="41">
        <f>+PP!B37</f>
        <v>14</v>
      </c>
      <c r="D19" s="162" t="str">
        <f>+PP!C37</f>
        <v>FILETE C/TT DARUMA</v>
      </c>
      <c r="E19" s="2967"/>
      <c r="F19" s="2968"/>
      <c r="G19" s="2968"/>
      <c r="H19" s="2968"/>
      <c r="I19" s="2968"/>
      <c r="J19" s="2968"/>
      <c r="K19" s="2968"/>
      <c r="L19" s="2968"/>
      <c r="M19" s="2968"/>
      <c r="N19" s="2968"/>
      <c r="O19" s="2968"/>
      <c r="P19" s="2968"/>
      <c r="Q19" s="2968"/>
      <c r="R19" s="2970"/>
      <c r="S19" s="2970"/>
      <c r="T19" s="2970"/>
      <c r="U19" s="2970"/>
      <c r="V19" s="2970"/>
      <c r="W19" s="2970"/>
      <c r="X19" s="1007"/>
      <c r="Y19" s="1007"/>
      <c r="Z19" s="1007"/>
      <c r="AA19" s="2989"/>
      <c r="AB19" s="1391">
        <f t="shared" si="32"/>
        <v>0</v>
      </c>
      <c r="AC19" s="148">
        <f t="shared" si="0"/>
        <v>0</v>
      </c>
      <c r="AD19" s="490">
        <f t="shared" si="1"/>
        <v>0</v>
      </c>
      <c r="AE19" s="574"/>
      <c r="AF19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</f>
        <v/>
      </c>
      <c r="AG19" s="1376" t="str">
        <f>IF($AF19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)</f>
        <v/>
      </c>
      <c r="AH19" s="2010" t="str">
        <f t="shared" si="2"/>
        <v/>
      </c>
      <c r="AI19" s="2010" t="str">
        <f t="shared" si="3"/>
        <v/>
      </c>
      <c r="AJ19" s="2010" t="str">
        <f t="shared" si="4"/>
        <v/>
      </c>
      <c r="AK19" s="2010" t="str">
        <f t="shared" si="5"/>
        <v/>
      </c>
      <c r="AL19" s="2010" t="str">
        <f t="shared" si="6"/>
        <v/>
      </c>
      <c r="AM19" s="2010" t="str">
        <f t="shared" si="7"/>
        <v/>
      </c>
      <c r="AN19" s="2010" t="str">
        <f t="shared" si="8"/>
        <v/>
      </c>
      <c r="AO19" s="2010" t="str">
        <f t="shared" si="9"/>
        <v/>
      </c>
      <c r="AP19" s="2010" t="str">
        <f t="shared" si="10"/>
        <v/>
      </c>
      <c r="AQ19" s="2010" t="str">
        <f t="shared" si="11"/>
        <v/>
      </c>
      <c r="AR19" s="2010" t="str">
        <f t="shared" si="12"/>
        <v/>
      </c>
      <c r="AS19" s="2010" t="str">
        <f t="shared" si="13"/>
        <v/>
      </c>
      <c r="AT19" s="2010" t="str">
        <f t="shared" si="14"/>
        <v/>
      </c>
      <c r="AU19" s="2010" t="str">
        <f t="shared" si="15"/>
        <v/>
      </c>
      <c r="AV19" s="2010" t="str">
        <f t="shared" si="16"/>
        <v/>
      </c>
      <c r="AW19" s="2010" t="str">
        <f t="shared" si="17"/>
        <v/>
      </c>
      <c r="AX19" s="2010" t="str">
        <f t="shared" si="18"/>
        <v/>
      </c>
      <c r="AY19" s="2010" t="str">
        <f t="shared" si="19"/>
        <v/>
      </c>
      <c r="AZ19" s="2010" t="str">
        <f t="shared" si="20"/>
        <v/>
      </c>
      <c r="BA19" s="2010" t="str">
        <f t="shared" si="21"/>
        <v/>
      </c>
      <c r="BB19" s="2010" t="str">
        <f t="shared" si="22"/>
        <v/>
      </c>
      <c r="BC19" s="2010" t="str">
        <f t="shared" si="23"/>
        <v/>
      </c>
      <c r="BD19" s="674" t="str">
        <f t="shared" si="24"/>
        <v/>
      </c>
      <c r="BE19" s="674" t="str">
        <f t="shared" si="25"/>
        <v/>
      </c>
      <c r="BF19" s="674" t="str">
        <f t="shared" si="26"/>
        <v/>
      </c>
      <c r="BG19" s="675" t="str">
        <f t="shared" si="27"/>
        <v/>
      </c>
      <c r="BH19" s="675" t="str">
        <f t="shared" si="28"/>
        <v/>
      </c>
      <c r="BK19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19))),"")</f>
        <v/>
      </c>
      <c r="BL19" s="500" t="str">
        <f t="shared" si="29"/>
        <v/>
      </c>
      <c r="BM19" s="458" t="str">
        <f t="shared" si="30"/>
        <v/>
      </c>
      <c r="BN19" s="501" t="str">
        <f t="shared" si="31"/>
        <v/>
      </c>
    </row>
    <row r="20" spans="1:66" ht="45.75">
      <c r="A20" s="2257"/>
      <c r="C20" s="42">
        <f>+PP!B38</f>
        <v>15</v>
      </c>
      <c r="D20" s="164" t="str">
        <f>+PP!C38</f>
        <v>FILETE C/M C/T TRES PIELES 1.0-2.0 kg/pza</v>
      </c>
      <c r="E20" s="2013"/>
      <c r="F20" s="1802"/>
      <c r="G20" s="1802"/>
      <c r="H20" s="1802"/>
      <c r="I20" s="1802"/>
      <c r="J20" s="1802"/>
      <c r="K20" s="1802"/>
      <c r="L20" s="1802"/>
      <c r="M20" s="1802"/>
      <c r="N20" s="1802"/>
      <c r="O20" s="1802"/>
      <c r="P20" s="1802"/>
      <c r="Q20" s="1802"/>
      <c r="R20" s="1847"/>
      <c r="S20" s="1847"/>
      <c r="T20" s="1847"/>
      <c r="U20" s="1847"/>
      <c r="V20" s="1847"/>
      <c r="W20" s="1847"/>
      <c r="X20" s="388"/>
      <c r="Y20" s="388"/>
      <c r="Z20" s="388"/>
      <c r="AA20" s="1873"/>
      <c r="AB20" s="1392">
        <f t="shared" si="32"/>
        <v>0</v>
      </c>
      <c r="AC20" s="149">
        <f t="shared" si="0"/>
        <v>0</v>
      </c>
      <c r="AD20" s="552">
        <f t="shared" si="1"/>
        <v>0</v>
      </c>
      <c r="AE20" s="574"/>
      <c r="AF20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</f>
        <v/>
      </c>
      <c r="AG20" s="1376" t="str">
        <f>IF($AF20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)</f>
        <v/>
      </c>
      <c r="AH20" s="2010" t="str">
        <f t="shared" si="2"/>
        <v/>
      </c>
      <c r="AI20" s="2010" t="str">
        <f t="shared" si="3"/>
        <v/>
      </c>
      <c r="AJ20" s="2010" t="str">
        <f t="shared" si="4"/>
        <v/>
      </c>
      <c r="AK20" s="2010" t="str">
        <f t="shared" si="5"/>
        <v/>
      </c>
      <c r="AL20" s="2010" t="str">
        <f t="shared" si="6"/>
        <v/>
      </c>
      <c r="AM20" s="2010" t="str">
        <f t="shared" si="7"/>
        <v/>
      </c>
      <c r="AN20" s="2010" t="str">
        <f t="shared" si="8"/>
        <v/>
      </c>
      <c r="AO20" s="2010" t="str">
        <f t="shared" si="9"/>
        <v/>
      </c>
      <c r="AP20" s="2010" t="str">
        <f t="shared" si="10"/>
        <v/>
      </c>
      <c r="AQ20" s="2010" t="str">
        <f t="shared" si="11"/>
        <v/>
      </c>
      <c r="AR20" s="2010" t="str">
        <f t="shared" si="12"/>
        <v/>
      </c>
      <c r="AS20" s="2010" t="str">
        <f t="shared" si="13"/>
        <v/>
      </c>
      <c r="AT20" s="2010" t="str">
        <f t="shared" si="14"/>
        <v/>
      </c>
      <c r="AU20" s="2010" t="str">
        <f t="shared" si="15"/>
        <v/>
      </c>
      <c r="AV20" s="2010" t="str">
        <f t="shared" si="16"/>
        <v/>
      </c>
      <c r="AW20" s="2010" t="str">
        <f t="shared" si="17"/>
        <v/>
      </c>
      <c r="AX20" s="2010" t="str">
        <f t="shared" si="18"/>
        <v/>
      </c>
      <c r="AY20" s="2010" t="str">
        <f t="shared" si="19"/>
        <v/>
      </c>
      <c r="AZ20" s="2010" t="str">
        <f t="shared" si="20"/>
        <v/>
      </c>
      <c r="BA20" s="2010" t="str">
        <f t="shared" si="21"/>
        <v/>
      </c>
      <c r="BB20" s="2010" t="str">
        <f t="shared" si="22"/>
        <v/>
      </c>
      <c r="BC20" s="2010" t="str">
        <f t="shared" si="23"/>
        <v/>
      </c>
      <c r="BD20" s="674" t="str">
        <f t="shared" si="24"/>
        <v/>
      </c>
      <c r="BE20" s="674" t="str">
        <f t="shared" si="25"/>
        <v/>
      </c>
      <c r="BF20" s="674" t="str">
        <f t="shared" si="26"/>
        <v/>
      </c>
      <c r="BG20" s="675" t="str">
        <f t="shared" si="27"/>
        <v/>
      </c>
      <c r="BH20" s="675" t="str">
        <f t="shared" si="28"/>
        <v/>
      </c>
      <c r="BK20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20))),"")</f>
        <v/>
      </c>
      <c r="BL20" s="500" t="str">
        <f t="shared" si="29"/>
        <v/>
      </c>
      <c r="BM20" s="458" t="str">
        <f t="shared" si="30"/>
        <v/>
      </c>
      <c r="BN20" s="501" t="str">
        <f t="shared" si="31"/>
        <v/>
      </c>
    </row>
    <row r="21" spans="1:66" ht="45.75">
      <c r="A21" s="2257"/>
      <c r="C21" s="42">
        <f>+PP!B39</f>
        <v>16</v>
      </c>
      <c r="D21" s="164" t="str">
        <f>+PP!C39</f>
        <v>FILETE C/M C/T TRES PIELES 2.0-4.0 kg/pza</v>
      </c>
      <c r="E21" s="2013"/>
      <c r="F21" s="1802"/>
      <c r="G21" s="1802"/>
      <c r="H21" s="1802"/>
      <c r="I21" s="1802"/>
      <c r="J21" s="1802"/>
      <c r="K21" s="1802"/>
      <c r="L21" s="1802"/>
      <c r="M21" s="1802"/>
      <c r="N21" s="1802"/>
      <c r="O21" s="1802"/>
      <c r="P21" s="1802"/>
      <c r="Q21" s="1802"/>
      <c r="R21" s="1847"/>
      <c r="S21" s="1847"/>
      <c r="T21" s="1847"/>
      <c r="U21" s="1847"/>
      <c r="V21" s="1847"/>
      <c r="W21" s="1847"/>
      <c r="X21" s="388"/>
      <c r="Y21" s="388"/>
      <c r="Z21" s="388"/>
      <c r="AA21" s="1873"/>
      <c r="AB21" s="1392">
        <f t="shared" si="32"/>
        <v>0</v>
      </c>
      <c r="AC21" s="149">
        <f t="shared" si="0"/>
        <v>0</v>
      </c>
      <c r="AD21" s="552">
        <f t="shared" si="1"/>
        <v>0</v>
      </c>
      <c r="AE21" s="574"/>
      <c r="AF21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</f>
        <v/>
      </c>
      <c r="AG21" s="1376" t="str">
        <f>IF($AF21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)</f>
        <v/>
      </c>
      <c r="AH21" s="2010" t="str">
        <f t="shared" si="2"/>
        <v/>
      </c>
      <c r="AI21" s="2010" t="str">
        <f t="shared" si="3"/>
        <v/>
      </c>
      <c r="AJ21" s="2010" t="str">
        <f t="shared" si="4"/>
        <v/>
      </c>
      <c r="AK21" s="2010" t="str">
        <f t="shared" si="5"/>
        <v/>
      </c>
      <c r="AL21" s="2010" t="str">
        <f t="shared" si="6"/>
        <v/>
      </c>
      <c r="AM21" s="2010" t="str">
        <f t="shared" si="7"/>
        <v/>
      </c>
      <c r="AN21" s="2010" t="str">
        <f t="shared" si="8"/>
        <v/>
      </c>
      <c r="AO21" s="2010" t="str">
        <f t="shared" si="9"/>
        <v/>
      </c>
      <c r="AP21" s="2010" t="str">
        <f t="shared" si="10"/>
        <v/>
      </c>
      <c r="AQ21" s="2010" t="str">
        <f t="shared" si="11"/>
        <v/>
      </c>
      <c r="AR21" s="2010" t="str">
        <f t="shared" si="12"/>
        <v/>
      </c>
      <c r="AS21" s="2010" t="str">
        <f t="shared" si="13"/>
        <v/>
      </c>
      <c r="AT21" s="2010" t="str">
        <f t="shared" si="14"/>
        <v/>
      </c>
      <c r="AU21" s="2010" t="str">
        <f t="shared" si="15"/>
        <v/>
      </c>
      <c r="AV21" s="2010" t="str">
        <f t="shared" si="16"/>
        <v/>
      </c>
      <c r="AW21" s="2010" t="str">
        <f t="shared" si="17"/>
        <v/>
      </c>
      <c r="AX21" s="2010" t="str">
        <f t="shared" si="18"/>
        <v/>
      </c>
      <c r="AY21" s="2010" t="str">
        <f t="shared" si="19"/>
        <v/>
      </c>
      <c r="AZ21" s="2010" t="str">
        <f t="shared" si="20"/>
        <v/>
      </c>
      <c r="BA21" s="2010" t="str">
        <f t="shared" si="21"/>
        <v/>
      </c>
      <c r="BB21" s="2010" t="str">
        <f t="shared" si="22"/>
        <v/>
      </c>
      <c r="BC21" s="2010" t="str">
        <f t="shared" si="23"/>
        <v/>
      </c>
      <c r="BD21" s="674" t="str">
        <f t="shared" si="24"/>
        <v/>
      </c>
      <c r="BE21" s="674" t="str">
        <f t="shared" si="25"/>
        <v/>
      </c>
      <c r="BF21" s="674" t="str">
        <f t="shared" si="26"/>
        <v/>
      </c>
      <c r="BG21" s="675" t="str">
        <f t="shared" si="27"/>
        <v/>
      </c>
      <c r="BH21" s="675" t="str">
        <f t="shared" si="28"/>
        <v/>
      </c>
      <c r="BK21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21))),"")</f>
        <v/>
      </c>
      <c r="BL21" s="500" t="str">
        <f t="shared" si="29"/>
        <v/>
      </c>
      <c r="BM21" s="458" t="str">
        <f t="shared" si="30"/>
        <v/>
      </c>
      <c r="BN21" s="501" t="str">
        <f t="shared" si="31"/>
        <v/>
      </c>
    </row>
    <row r="22" spans="1:66" ht="42" customHeight="1">
      <c r="A22" s="2257"/>
      <c r="C22" s="42">
        <f>+PP!B40</f>
        <v>17</v>
      </c>
      <c r="D22" s="164" t="str">
        <f>+PP!C40</f>
        <v>FILETE C/M C/T ENTERO BLANCO 1.0-2.0 kg/pza</v>
      </c>
      <c r="E22" s="2013"/>
      <c r="F22" s="1802"/>
      <c r="G22" s="1802"/>
      <c r="H22" s="1802"/>
      <c r="I22" s="1802"/>
      <c r="J22" s="1802"/>
      <c r="K22" s="1802"/>
      <c r="L22" s="1802"/>
      <c r="M22" s="1802"/>
      <c r="N22" s="1802"/>
      <c r="O22" s="1802"/>
      <c r="P22" s="1802"/>
      <c r="Q22" s="1802"/>
      <c r="R22" s="1847"/>
      <c r="S22" s="1847"/>
      <c r="T22" s="1847"/>
      <c r="U22" s="1847"/>
      <c r="V22" s="1847"/>
      <c r="W22" s="1847"/>
      <c r="X22" s="388"/>
      <c r="Y22" s="388"/>
      <c r="Z22" s="388"/>
      <c r="AA22" s="1873"/>
      <c r="AB22" s="1392">
        <f t="shared" si="32"/>
        <v>0</v>
      </c>
      <c r="AC22" s="149">
        <f t="shared" si="0"/>
        <v>0</v>
      </c>
      <c r="AD22" s="552">
        <f t="shared" si="1"/>
        <v>0</v>
      </c>
      <c r="AE22" s="574"/>
      <c r="AF22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</f>
        <v/>
      </c>
      <c r="AG22" s="1376" t="str">
        <f>IF($AF22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)</f>
        <v/>
      </c>
      <c r="AH22" s="1377" t="str">
        <f t="shared" si="2"/>
        <v/>
      </c>
      <c r="AI22" s="1377" t="str">
        <f t="shared" si="3"/>
        <v/>
      </c>
      <c r="AJ22" s="1377" t="str">
        <f t="shared" si="4"/>
        <v/>
      </c>
      <c r="AK22" s="1377" t="str">
        <f t="shared" si="5"/>
        <v/>
      </c>
      <c r="AL22" s="1377" t="str">
        <f t="shared" si="6"/>
        <v/>
      </c>
      <c r="AM22" s="1377" t="str">
        <f t="shared" si="7"/>
        <v/>
      </c>
      <c r="AN22" s="1377" t="str">
        <f t="shared" si="8"/>
        <v/>
      </c>
      <c r="AO22" s="1377" t="str">
        <f t="shared" si="9"/>
        <v/>
      </c>
      <c r="AP22" s="1377" t="str">
        <f t="shared" si="10"/>
        <v/>
      </c>
      <c r="AQ22" s="1377" t="str">
        <f t="shared" si="11"/>
        <v/>
      </c>
      <c r="AR22" s="1377" t="str">
        <f t="shared" si="12"/>
        <v/>
      </c>
      <c r="AS22" s="1377" t="str">
        <f t="shared" si="13"/>
        <v/>
      </c>
      <c r="AT22" s="1377" t="str">
        <f t="shared" si="14"/>
        <v/>
      </c>
      <c r="AU22" s="1377" t="str">
        <f t="shared" si="15"/>
        <v/>
      </c>
      <c r="AV22" s="1377" t="str">
        <f t="shared" si="16"/>
        <v/>
      </c>
      <c r="AW22" s="1377" t="str">
        <f t="shared" si="17"/>
        <v/>
      </c>
      <c r="AX22" s="1377" t="str">
        <f t="shared" si="18"/>
        <v/>
      </c>
      <c r="AY22" s="1377" t="str">
        <f t="shared" si="19"/>
        <v/>
      </c>
      <c r="AZ22" s="1377" t="str">
        <f t="shared" si="20"/>
        <v/>
      </c>
      <c r="BA22" s="1377" t="str">
        <f t="shared" si="21"/>
        <v/>
      </c>
      <c r="BB22" s="1377" t="str">
        <f t="shared" si="22"/>
        <v/>
      </c>
      <c r="BC22" s="1377" t="str">
        <f t="shared" si="23"/>
        <v/>
      </c>
      <c r="BD22" s="674" t="str">
        <f t="shared" si="24"/>
        <v/>
      </c>
      <c r="BE22" s="674" t="str">
        <f t="shared" si="25"/>
        <v/>
      </c>
      <c r="BF22" s="674" t="str">
        <f t="shared" si="26"/>
        <v/>
      </c>
      <c r="BG22" s="675" t="str">
        <f t="shared" si="27"/>
        <v/>
      </c>
      <c r="BH22" s="675" t="str">
        <f t="shared" si="28"/>
        <v/>
      </c>
      <c r="BK22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22))),"")</f>
        <v/>
      </c>
      <c r="BL22" s="500" t="str">
        <f t="shared" si="29"/>
        <v/>
      </c>
      <c r="BM22" s="458" t="str">
        <f t="shared" si="30"/>
        <v/>
      </c>
      <c r="BN22" s="501" t="str">
        <f t="shared" si="31"/>
        <v/>
      </c>
    </row>
    <row r="23" spans="1:66" ht="51" customHeight="1">
      <c r="A23" s="2257"/>
      <c r="C23" s="42">
        <f>+PP!B41</f>
        <v>18</v>
      </c>
      <c r="D23" s="164" t="str">
        <f>+PP!C41</f>
        <v>FILETE C/M C/T ENTERO BLANCO 2.0-4.0 kg/pza</v>
      </c>
      <c r="E23" s="2013"/>
      <c r="F23" s="1802"/>
      <c r="G23" s="1802"/>
      <c r="H23" s="1802"/>
      <c r="I23" s="1802"/>
      <c r="J23" s="1802"/>
      <c r="K23" s="1802"/>
      <c r="L23" s="1802"/>
      <c r="M23" s="1802"/>
      <c r="N23" s="1802"/>
      <c r="O23" s="1802"/>
      <c r="P23" s="1802"/>
      <c r="Q23" s="1802"/>
      <c r="R23" s="1847"/>
      <c r="S23" s="1847"/>
      <c r="T23" s="1847"/>
      <c r="U23" s="1847"/>
      <c r="V23" s="1847"/>
      <c r="W23" s="1847"/>
      <c r="X23" s="388"/>
      <c r="Y23" s="388"/>
      <c r="Z23" s="388"/>
      <c r="AA23" s="1873"/>
      <c r="AB23" s="1392">
        <f t="shared" si="32"/>
        <v>0</v>
      </c>
      <c r="AC23" s="149">
        <f t="shared" si="0"/>
        <v>0</v>
      </c>
      <c r="AD23" s="552">
        <f t="shared" si="1"/>
        <v>0</v>
      </c>
      <c r="AE23" s="574"/>
      <c r="AF23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</f>
        <v/>
      </c>
      <c r="AG23" s="1376" t="str">
        <f>IF($AF23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)</f>
        <v/>
      </c>
      <c r="AH23" s="1377" t="str">
        <f t="shared" si="2"/>
        <v/>
      </c>
      <c r="AI23" s="1377" t="str">
        <f t="shared" si="3"/>
        <v/>
      </c>
      <c r="AJ23" s="1377" t="str">
        <f t="shared" si="4"/>
        <v/>
      </c>
      <c r="AK23" s="1377" t="str">
        <f t="shared" si="5"/>
        <v/>
      </c>
      <c r="AL23" s="1377" t="str">
        <f t="shared" si="6"/>
        <v/>
      </c>
      <c r="AM23" s="1377" t="str">
        <f t="shared" si="7"/>
        <v/>
      </c>
      <c r="AN23" s="1377" t="str">
        <f t="shared" si="8"/>
        <v/>
      </c>
      <c r="AO23" s="1377" t="str">
        <f t="shared" si="9"/>
        <v/>
      </c>
      <c r="AP23" s="1377" t="str">
        <f t="shared" si="10"/>
        <v/>
      </c>
      <c r="AQ23" s="1377" t="str">
        <f t="shared" si="11"/>
        <v/>
      </c>
      <c r="AR23" s="1377" t="str">
        <f t="shared" si="12"/>
        <v/>
      </c>
      <c r="AS23" s="1377" t="str">
        <f t="shared" si="13"/>
        <v/>
      </c>
      <c r="AT23" s="1377" t="str">
        <f t="shared" si="14"/>
        <v/>
      </c>
      <c r="AU23" s="1377" t="str">
        <f t="shared" si="15"/>
        <v/>
      </c>
      <c r="AV23" s="1377" t="str">
        <f t="shared" si="16"/>
        <v/>
      </c>
      <c r="AW23" s="1377" t="str">
        <f t="shared" si="17"/>
        <v/>
      </c>
      <c r="AX23" s="1377" t="str">
        <f t="shared" si="18"/>
        <v/>
      </c>
      <c r="AY23" s="1377" t="str">
        <f t="shared" si="19"/>
        <v/>
      </c>
      <c r="AZ23" s="1377" t="str">
        <f t="shared" si="20"/>
        <v/>
      </c>
      <c r="BA23" s="1377" t="str">
        <f t="shared" si="21"/>
        <v/>
      </c>
      <c r="BB23" s="1377" t="str">
        <f t="shared" si="22"/>
        <v/>
      </c>
      <c r="BC23" s="1377" t="str">
        <f t="shared" si="23"/>
        <v/>
      </c>
      <c r="BD23" s="674" t="str">
        <f t="shared" si="24"/>
        <v/>
      </c>
      <c r="BE23" s="674" t="str">
        <f t="shared" si="25"/>
        <v/>
      </c>
      <c r="BF23" s="674" t="str">
        <f t="shared" si="26"/>
        <v/>
      </c>
      <c r="BG23" s="675" t="str">
        <f t="shared" si="27"/>
        <v/>
      </c>
      <c r="BH23" s="675" t="str">
        <f t="shared" si="28"/>
        <v/>
      </c>
      <c r="BK23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23))),"")</f>
        <v/>
      </c>
      <c r="BL23" s="500" t="str">
        <f t="shared" si="29"/>
        <v/>
      </c>
      <c r="BM23" s="458" t="str">
        <f t="shared" si="30"/>
        <v/>
      </c>
      <c r="BN23" s="501" t="str">
        <f t="shared" si="31"/>
        <v/>
      </c>
    </row>
    <row r="24" spans="1:66" ht="46.5" thickBot="1">
      <c r="A24" s="2257"/>
      <c r="C24" s="40">
        <f>+PP!B42</f>
        <v>19</v>
      </c>
      <c r="D24" s="163" t="str">
        <f>+PP!C42</f>
        <v>FILETE LP C/M C/T ENTERO 2.0-4.0 kg/pza</v>
      </c>
      <c r="E24" s="2972"/>
      <c r="F24" s="2973"/>
      <c r="G24" s="2973"/>
      <c r="H24" s="2973"/>
      <c r="I24" s="2973"/>
      <c r="J24" s="2973"/>
      <c r="K24" s="2973"/>
      <c r="L24" s="2973"/>
      <c r="M24" s="2973"/>
      <c r="N24" s="2973"/>
      <c r="O24" s="2973"/>
      <c r="P24" s="2973"/>
      <c r="Q24" s="2973"/>
      <c r="R24" s="2975"/>
      <c r="S24" s="2975"/>
      <c r="T24" s="2975"/>
      <c r="U24" s="2975"/>
      <c r="V24" s="2975"/>
      <c r="W24" s="2975"/>
      <c r="X24" s="1008"/>
      <c r="Y24" s="1008"/>
      <c r="Z24" s="1008"/>
      <c r="AA24" s="2990"/>
      <c r="AB24" s="1393">
        <f t="shared" si="32"/>
        <v>0</v>
      </c>
      <c r="AC24" s="150">
        <f t="shared" si="0"/>
        <v>0</v>
      </c>
      <c r="AD24" s="507">
        <f t="shared" si="1"/>
        <v>0</v>
      </c>
      <c r="AE24" s="574"/>
      <c r="AF24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</f>
        <v/>
      </c>
      <c r="AG24" s="1376" t="str">
        <f>IF($AF24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)</f>
        <v/>
      </c>
      <c r="AH24" s="1377" t="str">
        <f t="shared" si="2"/>
        <v/>
      </c>
      <c r="AI24" s="1377" t="str">
        <f t="shared" si="3"/>
        <v/>
      </c>
      <c r="AJ24" s="1377" t="str">
        <f t="shared" si="4"/>
        <v/>
      </c>
      <c r="AK24" s="1377" t="str">
        <f t="shared" si="5"/>
        <v/>
      </c>
      <c r="AL24" s="1377" t="str">
        <f t="shared" si="6"/>
        <v/>
      </c>
      <c r="AM24" s="1377" t="str">
        <f t="shared" si="7"/>
        <v/>
      </c>
      <c r="AN24" s="1377" t="str">
        <f t="shared" si="8"/>
        <v/>
      </c>
      <c r="AO24" s="1377" t="str">
        <f t="shared" si="9"/>
        <v/>
      </c>
      <c r="AP24" s="1377" t="str">
        <f t="shared" si="10"/>
        <v/>
      </c>
      <c r="AQ24" s="1377" t="str">
        <f t="shared" si="11"/>
        <v/>
      </c>
      <c r="AR24" s="1377" t="str">
        <f t="shared" si="12"/>
        <v/>
      </c>
      <c r="AS24" s="1377" t="str">
        <f t="shared" si="13"/>
        <v/>
      </c>
      <c r="AT24" s="1377" t="str">
        <f t="shared" si="14"/>
        <v/>
      </c>
      <c r="AU24" s="1377" t="str">
        <f t="shared" si="15"/>
        <v/>
      </c>
      <c r="AV24" s="1377" t="str">
        <f t="shared" si="16"/>
        <v/>
      </c>
      <c r="AW24" s="1377" t="str">
        <f t="shared" si="17"/>
        <v/>
      </c>
      <c r="AX24" s="1377" t="str">
        <f t="shared" si="18"/>
        <v/>
      </c>
      <c r="AY24" s="1377" t="str">
        <f t="shared" si="19"/>
        <v/>
      </c>
      <c r="AZ24" s="1377" t="str">
        <f t="shared" si="20"/>
        <v/>
      </c>
      <c r="BA24" s="1377" t="str">
        <f t="shared" si="21"/>
        <v/>
      </c>
      <c r="BB24" s="1377" t="str">
        <f t="shared" si="22"/>
        <v/>
      </c>
      <c r="BC24" s="1377" t="str">
        <f t="shared" si="23"/>
        <v/>
      </c>
      <c r="BD24" s="674" t="str">
        <f t="shared" si="24"/>
        <v/>
      </c>
      <c r="BE24" s="674" t="str">
        <f t="shared" si="25"/>
        <v/>
      </c>
      <c r="BF24" s="674" t="str">
        <f t="shared" si="26"/>
        <v/>
      </c>
      <c r="BG24" s="675" t="str">
        <f t="shared" si="27"/>
        <v/>
      </c>
      <c r="BH24" s="675" t="str">
        <f t="shared" si="28"/>
        <v/>
      </c>
      <c r="BK24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24))),"")</f>
        <v/>
      </c>
      <c r="BL24" s="500" t="str">
        <f t="shared" si="29"/>
        <v/>
      </c>
      <c r="BM24" s="458" t="str">
        <f t="shared" si="30"/>
        <v/>
      </c>
      <c r="BN24" s="501" t="str">
        <f t="shared" si="31"/>
        <v/>
      </c>
    </row>
    <row r="25" spans="1:66" ht="45.75">
      <c r="A25" s="2257"/>
      <c r="C25" s="41">
        <f>+PP!B43</f>
        <v>20</v>
      </c>
      <c r="D25" s="162" t="str">
        <f>+PP!C43</f>
        <v>MANTO BLANCO C/M C/T 500-1000 g/pza</v>
      </c>
      <c r="E25" s="2967"/>
      <c r="F25" s="2968"/>
      <c r="G25" s="2968"/>
      <c r="H25" s="2968"/>
      <c r="I25" s="2968"/>
      <c r="J25" s="2968"/>
      <c r="K25" s="2968"/>
      <c r="L25" s="2968"/>
      <c r="M25" s="2968"/>
      <c r="N25" s="2968"/>
      <c r="O25" s="2968"/>
      <c r="P25" s="2968"/>
      <c r="Q25" s="2968"/>
      <c r="R25" s="2970"/>
      <c r="S25" s="2970"/>
      <c r="T25" s="2970"/>
      <c r="U25" s="2970"/>
      <c r="V25" s="2970"/>
      <c r="W25" s="2970"/>
      <c r="X25" s="1007"/>
      <c r="Y25" s="1007"/>
      <c r="Z25" s="1007"/>
      <c r="AA25" s="2989"/>
      <c r="AB25" s="1391">
        <f t="shared" si="32"/>
        <v>0</v>
      </c>
      <c r="AC25" s="148">
        <f t="shared" si="0"/>
        <v>0</v>
      </c>
      <c r="AD25" s="145">
        <f t="shared" si="1"/>
        <v>0</v>
      </c>
      <c r="AE25" s="574"/>
      <c r="AF25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</f>
        <v/>
      </c>
      <c r="AG25" s="1376" t="str">
        <f>IF($AF25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)</f>
        <v/>
      </c>
      <c r="AH25" s="1377" t="str">
        <f t="shared" si="2"/>
        <v/>
      </c>
      <c r="AI25" s="1377" t="str">
        <f t="shared" si="3"/>
        <v/>
      </c>
      <c r="AJ25" s="1377" t="str">
        <f t="shared" si="4"/>
        <v/>
      </c>
      <c r="AK25" s="1377" t="str">
        <f t="shared" si="5"/>
        <v/>
      </c>
      <c r="AL25" s="1377" t="str">
        <f t="shared" si="6"/>
        <v/>
      </c>
      <c r="AM25" s="1377" t="str">
        <f t="shared" si="7"/>
        <v/>
      </c>
      <c r="AN25" s="1377" t="str">
        <f t="shared" si="8"/>
        <v/>
      </c>
      <c r="AO25" s="1377" t="str">
        <f t="shared" si="9"/>
        <v/>
      </c>
      <c r="AP25" s="1377" t="str">
        <f t="shared" si="10"/>
        <v/>
      </c>
      <c r="AQ25" s="1377" t="str">
        <f t="shared" si="11"/>
        <v/>
      </c>
      <c r="AR25" s="1377" t="str">
        <f t="shared" si="12"/>
        <v/>
      </c>
      <c r="AS25" s="1377" t="str">
        <f t="shared" si="13"/>
        <v/>
      </c>
      <c r="AT25" s="1377" t="str">
        <f t="shared" si="14"/>
        <v/>
      </c>
      <c r="AU25" s="1377" t="str">
        <f t="shared" si="15"/>
        <v/>
      </c>
      <c r="AV25" s="1377" t="str">
        <f t="shared" si="16"/>
        <v/>
      </c>
      <c r="AW25" s="1377" t="str">
        <f t="shared" si="17"/>
        <v/>
      </c>
      <c r="AX25" s="1377" t="str">
        <f t="shared" si="18"/>
        <v/>
      </c>
      <c r="AY25" s="1377" t="str">
        <f t="shared" si="19"/>
        <v/>
      </c>
      <c r="AZ25" s="1377" t="str">
        <f t="shared" si="20"/>
        <v/>
      </c>
      <c r="BA25" s="1377" t="str">
        <f t="shared" si="21"/>
        <v/>
      </c>
      <c r="BB25" s="1377" t="str">
        <f t="shared" si="22"/>
        <v/>
      </c>
      <c r="BC25" s="1377" t="str">
        <f t="shared" si="23"/>
        <v/>
      </c>
      <c r="BD25" s="674" t="str">
        <f t="shared" si="24"/>
        <v/>
      </c>
      <c r="BE25" s="674" t="str">
        <f t="shared" si="25"/>
        <v/>
      </c>
      <c r="BF25" s="674" t="str">
        <f t="shared" si="26"/>
        <v/>
      </c>
      <c r="BG25" s="675" t="str">
        <f t="shared" si="27"/>
        <v/>
      </c>
      <c r="BH25" s="675" t="str">
        <f t="shared" si="28"/>
        <v/>
      </c>
      <c r="BK25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25))),"")</f>
        <v/>
      </c>
      <c r="BL25" s="500" t="str">
        <f t="shared" si="29"/>
        <v/>
      </c>
      <c r="BM25" s="458" t="str">
        <f t="shared" si="30"/>
        <v/>
      </c>
      <c r="BN25" s="501" t="str">
        <f t="shared" si="31"/>
        <v/>
      </c>
    </row>
    <row r="26" spans="1:66" ht="45.75">
      <c r="A26" s="2257"/>
      <c r="C26" s="42">
        <f>+PP!B44</f>
        <v>21</v>
      </c>
      <c r="D26" s="164" t="str">
        <f>+PP!C44</f>
        <v>MANTO BLANCO C/M C/T 1.0-2.0 kg/pza</v>
      </c>
      <c r="E26" s="2013"/>
      <c r="F26" s="1802"/>
      <c r="G26" s="1802"/>
      <c r="H26" s="1802"/>
      <c r="I26" s="1802"/>
      <c r="J26" s="1802"/>
      <c r="K26" s="1802"/>
      <c r="L26" s="1802"/>
      <c r="M26" s="1802"/>
      <c r="N26" s="1802"/>
      <c r="O26" s="1802"/>
      <c r="P26" s="1802"/>
      <c r="Q26" s="1802"/>
      <c r="R26" s="1847"/>
      <c r="S26" s="1847"/>
      <c r="T26" s="1847"/>
      <c r="U26" s="1847"/>
      <c r="V26" s="1847"/>
      <c r="W26" s="1847"/>
      <c r="X26" s="388"/>
      <c r="Y26" s="388"/>
      <c r="Z26" s="388"/>
      <c r="AA26" s="1873"/>
      <c r="AB26" s="1392">
        <f t="shared" si="32"/>
        <v>0</v>
      </c>
      <c r="AC26" s="149">
        <f t="shared" si="0"/>
        <v>0</v>
      </c>
      <c r="AD26" s="146">
        <f t="shared" si="1"/>
        <v>0</v>
      </c>
      <c r="AE26" s="574"/>
      <c r="AF26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</f>
        <v/>
      </c>
      <c r="AG26" s="1376" t="str">
        <f>IF($AF26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)</f>
        <v/>
      </c>
      <c r="AH26" s="1377" t="str">
        <f t="shared" si="2"/>
        <v/>
      </c>
      <c r="AI26" s="1377" t="str">
        <f t="shared" si="3"/>
        <v/>
      </c>
      <c r="AJ26" s="1377" t="str">
        <f t="shared" si="4"/>
        <v/>
      </c>
      <c r="AK26" s="1377" t="str">
        <f t="shared" si="5"/>
        <v/>
      </c>
      <c r="AL26" s="1377" t="str">
        <f t="shared" si="6"/>
        <v/>
      </c>
      <c r="AM26" s="1377" t="str">
        <f t="shared" si="7"/>
        <v/>
      </c>
      <c r="AN26" s="1377" t="str">
        <f t="shared" si="8"/>
        <v/>
      </c>
      <c r="AO26" s="1377" t="str">
        <f t="shared" si="9"/>
        <v/>
      </c>
      <c r="AP26" s="1377" t="str">
        <f t="shared" si="10"/>
        <v/>
      </c>
      <c r="AQ26" s="1377" t="str">
        <f t="shared" si="11"/>
        <v/>
      </c>
      <c r="AR26" s="1377" t="str">
        <f t="shared" si="12"/>
        <v/>
      </c>
      <c r="AS26" s="1377" t="str">
        <f t="shared" si="13"/>
        <v/>
      </c>
      <c r="AT26" s="1377" t="str">
        <f t="shared" si="14"/>
        <v/>
      </c>
      <c r="AU26" s="1377" t="str">
        <f t="shared" si="15"/>
        <v/>
      </c>
      <c r="AV26" s="1377" t="str">
        <f t="shared" si="16"/>
        <v/>
      </c>
      <c r="AW26" s="1377" t="str">
        <f t="shared" si="17"/>
        <v/>
      </c>
      <c r="AX26" s="1377" t="str">
        <f t="shared" si="18"/>
        <v/>
      </c>
      <c r="AY26" s="1377" t="str">
        <f t="shared" si="19"/>
        <v/>
      </c>
      <c r="AZ26" s="1377" t="str">
        <f t="shared" si="20"/>
        <v/>
      </c>
      <c r="BA26" s="1377" t="str">
        <f t="shared" si="21"/>
        <v/>
      </c>
      <c r="BB26" s="1377" t="str">
        <f t="shared" si="22"/>
        <v/>
      </c>
      <c r="BC26" s="1377" t="str">
        <f t="shared" si="23"/>
        <v/>
      </c>
      <c r="BD26" s="674" t="str">
        <f t="shared" si="24"/>
        <v/>
      </c>
      <c r="BE26" s="674" t="str">
        <f t="shared" si="25"/>
        <v/>
      </c>
      <c r="BF26" s="674" t="str">
        <f t="shared" si="26"/>
        <v/>
      </c>
      <c r="BG26" s="675" t="str">
        <f t="shared" si="27"/>
        <v/>
      </c>
      <c r="BH26" s="675" t="str">
        <f t="shared" si="28"/>
        <v/>
      </c>
      <c r="BK26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26))),"")</f>
        <v/>
      </c>
      <c r="BL26" s="500" t="str">
        <f t="shared" si="29"/>
        <v/>
      </c>
      <c r="BM26" s="458" t="str">
        <f t="shared" si="30"/>
        <v/>
      </c>
      <c r="BN26" s="501" t="str">
        <f t="shared" si="31"/>
        <v/>
      </c>
    </row>
    <row r="27" spans="1:66" ht="46.5" thickBot="1">
      <c r="A27" s="2257"/>
      <c r="C27" s="42">
        <f>+PP!B45</f>
        <v>22</v>
      </c>
      <c r="D27" s="164" t="str">
        <f>+PP!C45</f>
        <v>MANTO BLANCO C/M C/T 2.0-4.0 kg/pza</v>
      </c>
      <c r="E27" s="2013"/>
      <c r="F27" s="1802"/>
      <c r="G27" s="1802"/>
      <c r="H27" s="1802"/>
      <c r="I27" s="1802"/>
      <c r="J27" s="1802"/>
      <c r="K27" s="1802"/>
      <c r="L27" s="1802"/>
      <c r="M27" s="1802"/>
      <c r="N27" s="1802"/>
      <c r="O27" s="1802"/>
      <c r="P27" s="1802"/>
      <c r="Q27" s="1802"/>
      <c r="R27" s="1847"/>
      <c r="S27" s="1847"/>
      <c r="T27" s="1847"/>
      <c r="U27" s="1847"/>
      <c r="V27" s="1847"/>
      <c r="W27" s="1847"/>
      <c r="X27" s="388"/>
      <c r="Y27" s="388"/>
      <c r="Z27" s="388"/>
      <c r="AA27" s="1873"/>
      <c r="AB27" s="1392">
        <f t="shared" si="32"/>
        <v>0</v>
      </c>
      <c r="AC27" s="149">
        <f t="shared" si="0"/>
        <v>0</v>
      </c>
      <c r="AD27" s="146">
        <f t="shared" si="1"/>
        <v>0</v>
      </c>
      <c r="AE27" s="574"/>
      <c r="AF27" s="1513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</f>
        <v/>
      </c>
      <c r="AG27" s="1514" t="str">
        <f>IF($AF27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)</f>
        <v/>
      </c>
      <c r="AH27" s="1377" t="str">
        <f t="shared" si="2"/>
        <v/>
      </c>
      <c r="AI27" s="1377" t="str">
        <f t="shared" si="3"/>
        <v/>
      </c>
      <c r="AJ27" s="1377" t="str">
        <f t="shared" si="4"/>
        <v/>
      </c>
      <c r="AK27" s="1377" t="str">
        <f t="shared" si="5"/>
        <v/>
      </c>
      <c r="AL27" s="1377" t="str">
        <f t="shared" si="6"/>
        <v/>
      </c>
      <c r="AM27" s="1377" t="str">
        <f t="shared" si="7"/>
        <v/>
      </c>
      <c r="AN27" s="1377" t="str">
        <f t="shared" si="8"/>
        <v/>
      </c>
      <c r="AO27" s="1377" t="str">
        <f t="shared" si="9"/>
        <v/>
      </c>
      <c r="AP27" s="1377" t="str">
        <f t="shared" si="10"/>
        <v/>
      </c>
      <c r="AQ27" s="1377" t="str">
        <f t="shared" si="11"/>
        <v/>
      </c>
      <c r="AR27" s="1377" t="str">
        <f t="shared" si="12"/>
        <v/>
      </c>
      <c r="AS27" s="1377" t="str">
        <f t="shared" si="13"/>
        <v/>
      </c>
      <c r="AT27" s="1377" t="str">
        <f t="shared" si="14"/>
        <v/>
      </c>
      <c r="AU27" s="1377" t="str">
        <f t="shared" si="15"/>
        <v/>
      </c>
      <c r="AV27" s="1377" t="str">
        <f t="shared" si="16"/>
        <v/>
      </c>
      <c r="AW27" s="1377" t="str">
        <f t="shared" si="17"/>
        <v/>
      </c>
      <c r="AX27" s="1377" t="str">
        <f t="shared" si="18"/>
        <v/>
      </c>
      <c r="AY27" s="1377" t="str">
        <f t="shared" si="19"/>
        <v/>
      </c>
      <c r="AZ27" s="1377" t="str">
        <f t="shared" si="20"/>
        <v/>
      </c>
      <c r="BA27" s="1377" t="str">
        <f t="shared" si="21"/>
        <v/>
      </c>
      <c r="BB27" s="1377" t="str">
        <f t="shared" si="22"/>
        <v/>
      </c>
      <c r="BC27" s="1377" t="str">
        <f t="shared" si="23"/>
        <v/>
      </c>
      <c r="BD27" s="674" t="str">
        <f t="shared" si="24"/>
        <v/>
      </c>
      <c r="BE27" s="674" t="str">
        <f t="shared" si="25"/>
        <v/>
      </c>
      <c r="BF27" s="674" t="str">
        <f t="shared" si="26"/>
        <v/>
      </c>
      <c r="BG27" s="675" t="str">
        <f t="shared" si="27"/>
        <v/>
      </c>
      <c r="BH27" s="675" t="str">
        <f t="shared" si="28"/>
        <v/>
      </c>
      <c r="BK27" s="51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27))),"")</f>
        <v/>
      </c>
      <c r="BL27" s="516" t="str">
        <f t="shared" si="29"/>
        <v/>
      </c>
      <c r="BM27" s="517" t="str">
        <f t="shared" si="30"/>
        <v/>
      </c>
      <c r="BN27" s="518" t="str">
        <f t="shared" si="31"/>
        <v/>
      </c>
    </row>
    <row r="28" spans="1:66" ht="46.5" thickBot="1">
      <c r="A28" s="2257"/>
      <c r="C28" s="42">
        <f>+PP!B46</f>
        <v>23</v>
      </c>
      <c r="D28" s="164" t="str">
        <f>+PP!C46</f>
        <v>MANTO LP C/M C/T 500-1000 g/pza</v>
      </c>
      <c r="E28" s="2013"/>
      <c r="F28" s="1802"/>
      <c r="G28" s="1802"/>
      <c r="H28" s="1802"/>
      <c r="I28" s="1802"/>
      <c r="J28" s="1802"/>
      <c r="K28" s="1802"/>
      <c r="L28" s="1802"/>
      <c r="M28" s="1802"/>
      <c r="N28" s="1802"/>
      <c r="O28" s="1802"/>
      <c r="P28" s="1802"/>
      <c r="Q28" s="1802"/>
      <c r="R28" s="1802"/>
      <c r="S28" s="1847"/>
      <c r="T28" s="1847"/>
      <c r="U28" s="1847"/>
      <c r="V28" s="1847"/>
      <c r="W28" s="1847"/>
      <c r="X28" s="388"/>
      <c r="Y28" s="388"/>
      <c r="Z28" s="388"/>
      <c r="AA28" s="1873"/>
      <c r="AB28" s="1392">
        <f t="shared" si="32"/>
        <v>0</v>
      </c>
      <c r="AC28" s="149">
        <f t="shared" si="0"/>
        <v>0</v>
      </c>
      <c r="AD28" s="146">
        <f t="shared" si="1"/>
        <v>0</v>
      </c>
      <c r="AE28" s="574"/>
      <c r="AF28" s="593"/>
      <c r="AG28" s="594" t="s">
        <v>3</v>
      </c>
      <c r="AH28" s="670" t="str">
        <f t="shared" si="2"/>
        <v/>
      </c>
      <c r="AI28" s="670" t="str">
        <f t="shared" si="3"/>
        <v/>
      </c>
      <c r="AJ28" s="670" t="str">
        <f t="shared" si="4"/>
        <v/>
      </c>
      <c r="AK28" s="670" t="str">
        <f t="shared" si="5"/>
        <v/>
      </c>
      <c r="AL28" s="670" t="str">
        <f t="shared" si="6"/>
        <v/>
      </c>
      <c r="AM28" s="670" t="str">
        <f t="shared" si="7"/>
        <v/>
      </c>
      <c r="AN28" s="670" t="str">
        <f t="shared" si="8"/>
        <v/>
      </c>
      <c r="AO28" s="670" t="str">
        <f t="shared" si="9"/>
        <v/>
      </c>
      <c r="AP28" s="670" t="str">
        <f t="shared" si="10"/>
        <v/>
      </c>
      <c r="AQ28" s="670" t="str">
        <f t="shared" si="11"/>
        <v/>
      </c>
      <c r="AR28" s="670" t="str">
        <f t="shared" si="12"/>
        <v/>
      </c>
      <c r="AS28" s="670" t="str">
        <f t="shared" si="13"/>
        <v/>
      </c>
      <c r="AT28" s="670" t="str">
        <f t="shared" si="14"/>
        <v/>
      </c>
      <c r="AU28" s="670" t="str">
        <f t="shared" si="15"/>
        <v/>
      </c>
      <c r="AV28" s="670" t="str">
        <f t="shared" si="16"/>
        <v/>
      </c>
      <c r="AW28" s="670" t="str">
        <f t="shared" si="17"/>
        <v/>
      </c>
      <c r="AX28" s="670" t="str">
        <f t="shared" si="18"/>
        <v/>
      </c>
      <c r="AY28" s="670" t="str">
        <f t="shared" si="19"/>
        <v/>
      </c>
      <c r="AZ28" s="670" t="str">
        <f t="shared" si="20"/>
        <v/>
      </c>
      <c r="BA28" s="670" t="str">
        <f t="shared" si="21"/>
        <v/>
      </c>
      <c r="BB28" s="670" t="str">
        <f t="shared" si="22"/>
        <v/>
      </c>
      <c r="BC28" s="670" t="str">
        <f t="shared" si="23"/>
        <v/>
      </c>
      <c r="BD28" s="671">
        <f t="shared" ref="BD28:BF28" si="33">SUM(BD6:BD27)</f>
        <v>0</v>
      </c>
      <c r="BE28" s="671">
        <f t="shared" si="33"/>
        <v>0</v>
      </c>
      <c r="BF28" s="671">
        <f t="shared" si="33"/>
        <v>0</v>
      </c>
      <c r="BG28" s="672" t="str">
        <f>IF(COUNTIF(BG6:BG27,"REVISIÓN*")&gt;0,"REVISAR","OK")</f>
        <v>OK</v>
      </c>
      <c r="BH28" s="673" t="str">
        <f>IF(COUNTIF(BH6:BH27,"SÍ")&gt;0,"HAY","NO")</f>
        <v>NO</v>
      </c>
      <c r="BK28" s="2517" t="s">
        <v>514</v>
      </c>
      <c r="BL28" s="2518"/>
      <c r="BM28" s="559">
        <f>COUNT($BK$6:$BK$27)</f>
        <v>0</v>
      </c>
      <c r="BN28" s="560"/>
    </row>
    <row r="29" spans="1:66" ht="45.75">
      <c r="A29" s="2257"/>
      <c r="C29" s="42">
        <f>+PP!B47</f>
        <v>24</v>
      </c>
      <c r="D29" s="164" t="str">
        <f>+PP!C47</f>
        <v>MANTO LP C/M C/T 1.0-2.0 Kg/pza</v>
      </c>
      <c r="E29" s="2013"/>
      <c r="F29" s="1802"/>
      <c r="G29" s="1802"/>
      <c r="H29" s="1802"/>
      <c r="I29" s="1802"/>
      <c r="J29" s="1802"/>
      <c r="K29" s="1802"/>
      <c r="L29" s="1802"/>
      <c r="M29" s="1802"/>
      <c r="N29" s="1802"/>
      <c r="O29" s="1802"/>
      <c r="P29" s="1802"/>
      <c r="Q29" s="1802"/>
      <c r="R29" s="1802"/>
      <c r="S29" s="1847"/>
      <c r="T29" s="1847"/>
      <c r="U29" s="1847"/>
      <c r="V29" s="1847"/>
      <c r="W29" s="1847"/>
      <c r="X29" s="388"/>
      <c r="Y29" s="388"/>
      <c r="Z29" s="388"/>
      <c r="AA29" s="1873"/>
      <c r="AB29" s="1823">
        <f t="shared" si="32"/>
        <v>0</v>
      </c>
      <c r="AC29" s="169">
        <f t="shared" si="0"/>
        <v>0</v>
      </c>
      <c r="AD29" s="168">
        <f t="shared" si="1"/>
        <v>0</v>
      </c>
      <c r="AE29" s="590"/>
      <c r="AF29"/>
      <c r="AG29"/>
      <c r="AH29" s="668" t="str">
        <f t="shared" si="2"/>
        <v/>
      </c>
      <c r="AI29" s="668" t="str">
        <f t="shared" si="3"/>
        <v/>
      </c>
      <c r="AJ29" s="668" t="str">
        <f t="shared" si="4"/>
        <v/>
      </c>
      <c r="AK29" s="668" t="str">
        <f t="shared" si="5"/>
        <v/>
      </c>
      <c r="AL29" s="668" t="str">
        <f t="shared" si="6"/>
        <v/>
      </c>
      <c r="AM29" s="668" t="str">
        <f t="shared" si="7"/>
        <v/>
      </c>
      <c r="AN29" s="668" t="str">
        <f t="shared" si="8"/>
        <v/>
      </c>
      <c r="AO29" s="668" t="str">
        <f t="shared" si="9"/>
        <v/>
      </c>
      <c r="AP29" s="668" t="str">
        <f t="shared" si="10"/>
        <v/>
      </c>
      <c r="AQ29" s="668" t="str">
        <f t="shared" si="11"/>
        <v/>
      </c>
      <c r="AR29" s="668" t="str">
        <f t="shared" si="12"/>
        <v/>
      </c>
      <c r="AS29" s="668" t="str">
        <f t="shared" si="13"/>
        <v/>
      </c>
      <c r="AT29" s="668" t="str">
        <f t="shared" si="14"/>
        <v/>
      </c>
      <c r="AU29" s="668" t="str">
        <f t="shared" si="15"/>
        <v/>
      </c>
      <c r="AV29" s="668" t="str">
        <f t="shared" si="16"/>
        <v/>
      </c>
      <c r="AW29" s="668" t="str">
        <f t="shared" si="17"/>
        <v/>
      </c>
      <c r="AX29" s="668" t="str">
        <f t="shared" si="18"/>
        <v/>
      </c>
      <c r="AY29" s="668" t="str">
        <f t="shared" si="19"/>
        <v/>
      </c>
      <c r="AZ29" s="668" t="str">
        <f t="shared" si="20"/>
        <v/>
      </c>
      <c r="BA29" s="668" t="str">
        <f t="shared" si="21"/>
        <v/>
      </c>
      <c r="BB29" s="668" t="str">
        <f t="shared" si="22"/>
        <v/>
      </c>
      <c r="BC29" s="668" t="str">
        <f t="shared" si="23"/>
        <v/>
      </c>
      <c r="BD29"/>
      <c r="BE29"/>
      <c r="BF29"/>
      <c r="BG29"/>
      <c r="BH29"/>
    </row>
    <row r="30" spans="1:66" ht="46.5" thickBot="1">
      <c r="A30" s="2257"/>
      <c r="C30" s="537">
        <f>+PP!B48</f>
        <v>25</v>
      </c>
      <c r="D30" s="167" t="str">
        <f>+PP!C48</f>
        <v>MANTO LP C/M C/T 2.0-4.0 Kg/pza</v>
      </c>
      <c r="E30" s="2014"/>
      <c r="F30" s="1829"/>
      <c r="G30" s="1829"/>
      <c r="H30" s="1829"/>
      <c r="I30" s="1829"/>
      <c r="J30" s="1829"/>
      <c r="K30" s="1829"/>
      <c r="L30" s="1829"/>
      <c r="M30" s="1829"/>
      <c r="N30" s="1829"/>
      <c r="O30" s="1829"/>
      <c r="P30" s="1829"/>
      <c r="Q30" s="1829"/>
      <c r="R30" s="1829"/>
      <c r="S30" s="1850"/>
      <c r="T30" s="1850"/>
      <c r="U30" s="1850"/>
      <c r="V30" s="1850"/>
      <c r="W30" s="1850"/>
      <c r="X30" s="1154"/>
      <c r="Y30" s="1154"/>
      <c r="Z30" s="1154"/>
      <c r="AA30" s="2992"/>
      <c r="AB30" s="1821">
        <f t="shared" si="32"/>
        <v>0</v>
      </c>
      <c r="AC30" s="155">
        <f t="shared" si="0"/>
        <v>0</v>
      </c>
      <c r="AD30" s="156">
        <f t="shared" si="1"/>
        <v>0</v>
      </c>
      <c r="AE30" s="574"/>
      <c r="AF30"/>
      <c r="AG30"/>
      <c r="AH30" s="668" t="str">
        <f t="shared" si="2"/>
        <v/>
      </c>
      <c r="AI30" s="668" t="str">
        <f t="shared" si="3"/>
        <v/>
      </c>
      <c r="AJ30" s="668" t="str">
        <f t="shared" si="4"/>
        <v/>
      </c>
      <c r="AK30" s="668" t="str">
        <f t="shared" si="5"/>
        <v/>
      </c>
      <c r="AL30" s="668" t="str">
        <f t="shared" si="6"/>
        <v/>
      </c>
      <c r="AM30" s="668" t="str">
        <f t="shared" si="7"/>
        <v/>
      </c>
      <c r="AN30" s="668" t="str">
        <f t="shared" si="8"/>
        <v/>
      </c>
      <c r="AO30" s="668" t="str">
        <f t="shared" si="9"/>
        <v/>
      </c>
      <c r="AP30" s="668" t="str">
        <f t="shared" si="10"/>
        <v/>
      </c>
      <c r="AQ30" s="668" t="str">
        <f t="shared" si="11"/>
        <v/>
      </c>
      <c r="AR30" s="668" t="str">
        <f t="shared" si="12"/>
        <v/>
      </c>
      <c r="AS30" s="668" t="str">
        <f t="shared" si="13"/>
        <v/>
      </c>
      <c r="AT30" s="668" t="str">
        <f t="shared" si="14"/>
        <v/>
      </c>
      <c r="AU30" s="668" t="str">
        <f t="shared" si="15"/>
        <v/>
      </c>
      <c r="AV30" s="668" t="str">
        <f t="shared" si="16"/>
        <v/>
      </c>
      <c r="AW30" s="668" t="str">
        <f t="shared" si="17"/>
        <v/>
      </c>
      <c r="AX30" s="668" t="str">
        <f t="shared" si="18"/>
        <v/>
      </c>
      <c r="AY30" s="668" t="str">
        <f t="shared" si="19"/>
        <v/>
      </c>
      <c r="AZ30" s="668" t="str">
        <f t="shared" si="20"/>
        <v/>
      </c>
      <c r="BA30" s="668" t="str">
        <f t="shared" si="21"/>
        <v/>
      </c>
      <c r="BB30" s="668" t="str">
        <f t="shared" si="22"/>
        <v/>
      </c>
      <c r="BC30" s="668" t="str">
        <f t="shared" si="23"/>
        <v/>
      </c>
      <c r="BD30"/>
      <c r="BE30"/>
      <c r="BF30"/>
      <c r="BG30"/>
      <c r="BH30"/>
    </row>
    <row r="31" spans="1:66" ht="45.75">
      <c r="A31" s="2257"/>
      <c r="C31" s="41">
        <f>+PP!B49</f>
        <v>26</v>
      </c>
      <c r="D31" s="162" t="str">
        <f>+PP!C49</f>
        <v>NUCA C/C CERRADO 0-100 g/pza</v>
      </c>
      <c r="E31" s="2967"/>
      <c r="F31" s="2968"/>
      <c r="G31" s="2968"/>
      <c r="H31" s="2968"/>
      <c r="I31" s="2968"/>
      <c r="J31" s="2968"/>
      <c r="K31" s="2968"/>
      <c r="L31" s="2968"/>
      <c r="M31" s="2968"/>
      <c r="N31" s="2968"/>
      <c r="O31" s="2968"/>
      <c r="P31" s="2968"/>
      <c r="Q31" s="2968"/>
      <c r="R31" s="2968"/>
      <c r="S31" s="2970"/>
      <c r="T31" s="2970"/>
      <c r="U31" s="2970"/>
      <c r="V31" s="2970"/>
      <c r="W31" s="2970"/>
      <c r="X31" s="1007"/>
      <c r="Y31" s="1007"/>
      <c r="Z31" s="1007"/>
      <c r="AA31" s="2993"/>
      <c r="AB31" s="148">
        <f t="shared" si="32"/>
        <v>0</v>
      </c>
      <c r="AC31" s="148">
        <f t="shared" si="0"/>
        <v>0</v>
      </c>
      <c r="AD31" s="145">
        <f t="shared" si="1"/>
        <v>0</v>
      </c>
      <c r="AE31" s="574"/>
      <c r="AF31"/>
      <c r="AG31"/>
      <c r="AH31" s="668" t="str">
        <f t="shared" si="2"/>
        <v/>
      </c>
      <c r="AI31" s="668" t="str">
        <f t="shared" si="3"/>
        <v/>
      </c>
      <c r="AJ31" s="668" t="str">
        <f t="shared" si="4"/>
        <v/>
      </c>
      <c r="AK31" s="668" t="str">
        <f t="shared" si="5"/>
        <v/>
      </c>
      <c r="AL31" s="668" t="str">
        <f t="shared" si="6"/>
        <v/>
      </c>
      <c r="AM31" s="668" t="str">
        <f t="shared" si="7"/>
        <v/>
      </c>
      <c r="AN31" s="668" t="str">
        <f t="shared" si="8"/>
        <v/>
      </c>
      <c r="AO31" s="668" t="str">
        <f t="shared" si="9"/>
        <v/>
      </c>
      <c r="AP31" s="668" t="str">
        <f t="shared" si="10"/>
        <v/>
      </c>
      <c r="AQ31" s="668" t="str">
        <f t="shared" si="11"/>
        <v/>
      </c>
      <c r="AR31" s="668" t="str">
        <f t="shared" si="12"/>
        <v/>
      </c>
      <c r="AS31" s="668" t="str">
        <f t="shared" si="13"/>
        <v/>
      </c>
      <c r="AT31" s="668" t="str">
        <f t="shared" si="14"/>
        <v/>
      </c>
      <c r="AU31" s="668" t="str">
        <f t="shared" si="15"/>
        <v/>
      </c>
      <c r="AV31" s="668" t="str">
        <f t="shared" si="16"/>
        <v/>
      </c>
      <c r="AW31" s="668" t="str">
        <f t="shared" si="17"/>
        <v/>
      </c>
      <c r="AX31" s="668" t="str">
        <f t="shared" si="18"/>
        <v/>
      </c>
      <c r="AY31" s="668" t="str">
        <f t="shared" si="19"/>
        <v/>
      </c>
      <c r="AZ31" s="668" t="str">
        <f t="shared" si="20"/>
        <v/>
      </c>
      <c r="BA31" s="668" t="str">
        <f t="shared" si="21"/>
        <v/>
      </c>
      <c r="BB31" s="668" t="str">
        <f t="shared" si="22"/>
        <v/>
      </c>
      <c r="BC31" s="668" t="str">
        <f t="shared" si="23"/>
        <v/>
      </c>
      <c r="BD31"/>
      <c r="BE31"/>
      <c r="BF31"/>
      <c r="BG31"/>
      <c r="BH31"/>
    </row>
    <row r="32" spans="1:66" ht="45.75">
      <c r="A32" s="2257"/>
      <c r="C32" s="42">
        <f>+PP!B50</f>
        <v>27</v>
      </c>
      <c r="D32" s="164" t="str">
        <f>+PP!C50</f>
        <v>NUCA C/C ABIERTO 100-300 g/pza</v>
      </c>
      <c r="E32" s="2013"/>
      <c r="F32" s="1802"/>
      <c r="G32" s="1802"/>
      <c r="H32" s="1802"/>
      <c r="I32" s="1802"/>
      <c r="J32" s="1802"/>
      <c r="K32" s="1802"/>
      <c r="L32" s="1802"/>
      <c r="M32" s="1802"/>
      <c r="N32" s="1802"/>
      <c r="O32" s="1802"/>
      <c r="P32" s="1802"/>
      <c r="Q32" s="1802"/>
      <c r="R32" s="1802"/>
      <c r="S32" s="1847"/>
      <c r="T32" s="1847"/>
      <c r="U32" s="1847"/>
      <c r="V32" s="1847"/>
      <c r="W32" s="1847"/>
      <c r="X32" s="388"/>
      <c r="Y32" s="388"/>
      <c r="Z32" s="388"/>
      <c r="AA32" s="1504"/>
      <c r="AB32" s="149">
        <f t="shared" si="32"/>
        <v>0</v>
      </c>
      <c r="AC32" s="149">
        <f t="shared" si="0"/>
        <v>0</v>
      </c>
      <c r="AD32" s="146">
        <f t="shared" si="1"/>
        <v>0</v>
      </c>
      <c r="AE32" s="574"/>
      <c r="AF32"/>
      <c r="AG32"/>
      <c r="AH32" s="668" t="str">
        <f t="shared" si="2"/>
        <v/>
      </c>
      <c r="AI32" s="668" t="str">
        <f t="shared" si="3"/>
        <v/>
      </c>
      <c r="AJ32" s="668" t="str">
        <f t="shared" si="4"/>
        <v/>
      </c>
      <c r="AK32" s="668" t="str">
        <f t="shared" si="5"/>
        <v/>
      </c>
      <c r="AL32" s="668" t="str">
        <f t="shared" si="6"/>
        <v/>
      </c>
      <c r="AM32" s="668" t="str">
        <f t="shared" si="7"/>
        <v/>
      </c>
      <c r="AN32" s="668" t="str">
        <f t="shared" si="8"/>
        <v/>
      </c>
      <c r="AO32" s="668" t="str">
        <f t="shared" si="9"/>
        <v/>
      </c>
      <c r="AP32" s="668" t="str">
        <f t="shared" si="10"/>
        <v/>
      </c>
      <c r="AQ32" s="668" t="str">
        <f t="shared" si="11"/>
        <v/>
      </c>
      <c r="AR32" s="668" t="str">
        <f t="shared" si="12"/>
        <v/>
      </c>
      <c r="AS32" s="668" t="str">
        <f t="shared" si="13"/>
        <v/>
      </c>
      <c r="AT32" s="668" t="str">
        <f t="shared" si="14"/>
        <v/>
      </c>
      <c r="AU32" s="668" t="str">
        <f t="shared" si="15"/>
        <v/>
      </c>
      <c r="AV32" s="668" t="str">
        <f t="shared" si="16"/>
        <v/>
      </c>
      <c r="AW32" s="668" t="str">
        <f t="shared" si="17"/>
        <v/>
      </c>
      <c r="AX32" s="668" t="str">
        <f t="shared" si="18"/>
        <v/>
      </c>
      <c r="AY32" s="668" t="str">
        <f t="shared" si="19"/>
        <v/>
      </c>
      <c r="AZ32" s="668" t="str">
        <f t="shared" si="20"/>
        <v/>
      </c>
      <c r="BA32" s="668" t="str">
        <f t="shared" si="21"/>
        <v/>
      </c>
      <c r="BB32" s="668" t="str">
        <f t="shared" si="22"/>
        <v/>
      </c>
      <c r="BC32" s="668" t="str">
        <f t="shared" si="23"/>
        <v/>
      </c>
      <c r="BD32"/>
      <c r="BE32"/>
      <c r="BF32"/>
      <c r="BG32"/>
      <c r="BH32"/>
    </row>
    <row r="33" spans="1:60" ht="45.75">
      <c r="A33" s="2257"/>
      <c r="C33" s="42">
        <f>+PP!B51</f>
        <v>28</v>
      </c>
      <c r="D33" s="164" t="str">
        <f>+PP!C51</f>
        <v>NUCA C/C ABIERTO 300-500 g/pza</v>
      </c>
      <c r="E33" s="2013"/>
      <c r="F33" s="1802"/>
      <c r="G33" s="1802"/>
      <c r="H33" s="1802"/>
      <c r="I33" s="1802"/>
      <c r="J33" s="1802"/>
      <c r="K33" s="1802"/>
      <c r="L33" s="1802"/>
      <c r="M33" s="1802"/>
      <c r="N33" s="1802"/>
      <c r="O33" s="1802"/>
      <c r="P33" s="1802"/>
      <c r="Q33" s="1802"/>
      <c r="R33" s="1802"/>
      <c r="S33" s="1847"/>
      <c r="T33" s="1847"/>
      <c r="U33" s="1847"/>
      <c r="V33" s="1847"/>
      <c r="W33" s="1847"/>
      <c r="X33" s="388"/>
      <c r="Y33" s="388"/>
      <c r="Z33" s="388"/>
      <c r="AA33" s="1504"/>
      <c r="AB33" s="149">
        <f t="shared" si="32"/>
        <v>0</v>
      </c>
      <c r="AC33" s="149">
        <f t="shared" si="0"/>
        <v>0</v>
      </c>
      <c r="AD33" s="146">
        <f t="shared" si="1"/>
        <v>0</v>
      </c>
      <c r="AE33" s="574"/>
      <c r="AF33"/>
      <c r="AG33"/>
      <c r="AH33" s="668" t="str">
        <f t="shared" si="2"/>
        <v/>
      </c>
      <c r="AI33" s="668" t="str">
        <f t="shared" si="3"/>
        <v/>
      </c>
      <c r="AJ33" s="668" t="str">
        <f t="shared" si="4"/>
        <v/>
      </c>
      <c r="AK33" s="668" t="str">
        <f t="shared" si="5"/>
        <v/>
      </c>
      <c r="AL33" s="668" t="str">
        <f t="shared" si="6"/>
        <v/>
      </c>
      <c r="AM33" s="668" t="str">
        <f t="shared" si="7"/>
        <v/>
      </c>
      <c r="AN33" s="668" t="str">
        <f t="shared" si="8"/>
        <v/>
      </c>
      <c r="AO33" s="668" t="str">
        <f t="shared" si="9"/>
        <v/>
      </c>
      <c r="AP33" s="668" t="str">
        <f t="shared" si="10"/>
        <v/>
      </c>
      <c r="AQ33" s="668" t="str">
        <f t="shared" si="11"/>
        <v/>
      </c>
      <c r="AR33" s="668" t="str">
        <f t="shared" si="12"/>
        <v/>
      </c>
      <c r="AS33" s="668" t="str">
        <f t="shared" si="13"/>
        <v/>
      </c>
      <c r="AT33" s="668" t="str">
        <f t="shared" si="14"/>
        <v/>
      </c>
      <c r="AU33" s="668" t="str">
        <f t="shared" si="15"/>
        <v/>
      </c>
      <c r="AV33" s="668" t="str">
        <f t="shared" si="16"/>
        <v/>
      </c>
      <c r="AW33" s="668" t="str">
        <f t="shared" si="17"/>
        <v/>
      </c>
      <c r="AX33" s="668" t="str">
        <f t="shared" si="18"/>
        <v/>
      </c>
      <c r="AY33" s="668" t="str">
        <f t="shared" si="19"/>
        <v/>
      </c>
      <c r="AZ33" s="668" t="str">
        <f t="shared" si="20"/>
        <v/>
      </c>
      <c r="BA33" s="668" t="str">
        <f t="shared" si="21"/>
        <v/>
      </c>
      <c r="BB33" s="668" t="str">
        <f t="shared" si="22"/>
        <v/>
      </c>
      <c r="BC33" s="668" t="str">
        <f t="shared" si="23"/>
        <v/>
      </c>
      <c r="BD33"/>
      <c r="BE33"/>
      <c r="BF33"/>
      <c r="BG33"/>
      <c r="BH33"/>
    </row>
    <row r="34" spans="1:60" ht="45.75">
      <c r="A34" s="2257"/>
      <c r="C34" s="42">
        <f>+PP!B52</f>
        <v>29</v>
      </c>
      <c r="D34" s="164" t="str">
        <f>+PP!C52</f>
        <v>NUCA C/C ABIERTO 500-1000 g/pza</v>
      </c>
      <c r="E34" s="2013"/>
      <c r="F34" s="1802"/>
      <c r="G34" s="1802"/>
      <c r="H34" s="1802"/>
      <c r="I34" s="1802"/>
      <c r="J34" s="1802"/>
      <c r="K34" s="1802"/>
      <c r="L34" s="1802"/>
      <c r="M34" s="1802"/>
      <c r="N34" s="1802"/>
      <c r="O34" s="1802"/>
      <c r="P34" s="1802"/>
      <c r="Q34" s="1802"/>
      <c r="R34" s="1802"/>
      <c r="S34" s="1847"/>
      <c r="T34" s="1847"/>
      <c r="U34" s="1847"/>
      <c r="V34" s="1849"/>
      <c r="W34" s="1847"/>
      <c r="X34" s="388"/>
      <c r="Y34" s="388"/>
      <c r="Z34" s="388"/>
      <c r="AA34" s="1504"/>
      <c r="AB34" s="149">
        <f t="shared" si="32"/>
        <v>0</v>
      </c>
      <c r="AC34" s="149">
        <f t="shared" si="0"/>
        <v>0</v>
      </c>
      <c r="AD34" s="146">
        <f t="shared" si="1"/>
        <v>0</v>
      </c>
      <c r="AE34" s="574"/>
      <c r="AF34"/>
      <c r="AG34"/>
      <c r="AH34" s="668" t="str">
        <f t="shared" si="2"/>
        <v/>
      </c>
      <c r="AI34" s="668" t="str">
        <f t="shared" si="3"/>
        <v/>
      </c>
      <c r="AJ34" s="668" t="str">
        <f t="shared" si="4"/>
        <v/>
      </c>
      <c r="AK34" s="668" t="str">
        <f t="shared" si="5"/>
        <v/>
      </c>
      <c r="AL34" s="668" t="str">
        <f t="shared" si="6"/>
        <v/>
      </c>
      <c r="AM34" s="668" t="str">
        <f t="shared" si="7"/>
        <v/>
      </c>
      <c r="AN34" s="668" t="str">
        <f t="shared" si="8"/>
        <v/>
      </c>
      <c r="AO34" s="668" t="str">
        <f t="shared" si="9"/>
        <v/>
      </c>
      <c r="AP34" s="668" t="str">
        <f t="shared" si="10"/>
        <v/>
      </c>
      <c r="AQ34" s="668" t="str">
        <f t="shared" si="11"/>
        <v/>
      </c>
      <c r="AR34" s="668" t="str">
        <f t="shared" si="12"/>
        <v/>
      </c>
      <c r="AS34" s="668" t="str">
        <f t="shared" si="13"/>
        <v/>
      </c>
      <c r="AT34" s="668" t="str">
        <f t="shared" si="14"/>
        <v/>
      </c>
      <c r="AU34" s="668" t="str">
        <f t="shared" si="15"/>
        <v/>
      </c>
      <c r="AV34" s="668" t="str">
        <f t="shared" si="16"/>
        <v/>
      </c>
      <c r="AW34" s="668" t="str">
        <f t="shared" si="17"/>
        <v/>
      </c>
      <c r="AX34" s="668" t="str">
        <f t="shared" si="18"/>
        <v/>
      </c>
      <c r="AY34" s="668" t="str">
        <f t="shared" si="19"/>
        <v/>
      </c>
      <c r="AZ34" s="668" t="str">
        <f t="shared" si="20"/>
        <v/>
      </c>
      <c r="BA34" s="668" t="str">
        <f t="shared" si="21"/>
        <v/>
      </c>
      <c r="BB34" s="668" t="str">
        <f t="shared" si="22"/>
        <v/>
      </c>
      <c r="BC34" s="668" t="str">
        <f t="shared" si="23"/>
        <v/>
      </c>
      <c r="BD34"/>
      <c r="BE34"/>
      <c r="BF34"/>
      <c r="BG34"/>
      <c r="BH34"/>
    </row>
    <row r="35" spans="1:60" ht="46.5" thickBot="1">
      <c r="A35" s="2257"/>
      <c r="C35" s="537">
        <f>+PP!B53</f>
        <v>30</v>
      </c>
      <c r="D35" s="167" t="str">
        <f>+PP!C53</f>
        <v>NUCA C/C ABIERTO 1.0 - UP kg/pza</v>
      </c>
      <c r="E35" s="2014"/>
      <c r="F35" s="1829"/>
      <c r="G35" s="1829"/>
      <c r="H35" s="1829"/>
      <c r="I35" s="1829"/>
      <c r="J35" s="1829"/>
      <c r="K35" s="1829"/>
      <c r="L35" s="1829"/>
      <c r="M35" s="1829"/>
      <c r="N35" s="1829"/>
      <c r="O35" s="1829"/>
      <c r="P35" s="1829"/>
      <c r="Q35" s="1829"/>
      <c r="R35" s="1829"/>
      <c r="S35" s="1850"/>
      <c r="T35" s="1850"/>
      <c r="U35" s="1850"/>
      <c r="V35" s="1850"/>
      <c r="W35" s="1850"/>
      <c r="X35" s="1154"/>
      <c r="Y35" s="1154"/>
      <c r="Z35" s="1154"/>
      <c r="AA35" s="1505"/>
      <c r="AB35" s="155">
        <f t="shared" si="32"/>
        <v>0</v>
      </c>
      <c r="AC35" s="150">
        <f t="shared" si="0"/>
        <v>0</v>
      </c>
      <c r="AD35" s="156">
        <f t="shared" si="1"/>
        <v>0</v>
      </c>
      <c r="AE35" s="574"/>
      <c r="AF35"/>
      <c r="AG35"/>
      <c r="AH35" s="668" t="str">
        <f t="shared" si="2"/>
        <v/>
      </c>
      <c r="AI35" s="668" t="str">
        <f t="shared" si="3"/>
        <v/>
      </c>
      <c r="AJ35" s="668" t="str">
        <f t="shared" si="4"/>
        <v/>
      </c>
      <c r="AK35" s="668" t="str">
        <f t="shared" si="5"/>
        <v/>
      </c>
      <c r="AL35" s="668" t="str">
        <f t="shared" si="6"/>
        <v/>
      </c>
      <c r="AM35" s="668" t="str">
        <f t="shared" si="7"/>
        <v/>
      </c>
      <c r="AN35" s="668" t="str">
        <f t="shared" si="8"/>
        <v/>
      </c>
      <c r="AO35" s="668" t="str">
        <f t="shared" si="9"/>
        <v/>
      </c>
      <c r="AP35" s="668" t="str">
        <f t="shared" si="10"/>
        <v/>
      </c>
      <c r="AQ35" s="668" t="str">
        <f t="shared" si="11"/>
        <v/>
      </c>
      <c r="AR35" s="668" t="str">
        <f t="shared" si="12"/>
        <v/>
      </c>
      <c r="AS35" s="668" t="str">
        <f t="shared" si="13"/>
        <v/>
      </c>
      <c r="AT35" s="668" t="str">
        <f t="shared" si="14"/>
        <v/>
      </c>
      <c r="AU35" s="668" t="str">
        <f t="shared" si="15"/>
        <v/>
      </c>
      <c r="AV35" s="668" t="str">
        <f t="shared" si="16"/>
        <v/>
      </c>
      <c r="AW35" s="668" t="str">
        <f t="shared" si="17"/>
        <v/>
      </c>
      <c r="AX35" s="668" t="str">
        <f t="shared" si="18"/>
        <v/>
      </c>
      <c r="AY35" s="668" t="str">
        <f t="shared" si="19"/>
        <v/>
      </c>
      <c r="AZ35" s="668" t="str">
        <f t="shared" si="20"/>
        <v/>
      </c>
      <c r="BA35" s="668" t="str">
        <f t="shared" si="21"/>
        <v/>
      </c>
      <c r="BB35" s="668" t="str">
        <f t="shared" si="22"/>
        <v/>
      </c>
      <c r="BC35" s="668" t="str">
        <f t="shared" si="23"/>
        <v/>
      </c>
      <c r="BD35"/>
      <c r="BE35"/>
      <c r="BF35"/>
      <c r="BG35"/>
      <c r="BH35"/>
    </row>
    <row r="36" spans="1:60" ht="45.75">
      <c r="A36" s="2257"/>
      <c r="C36" s="41">
        <f>+PP!B54</f>
        <v>31</v>
      </c>
      <c r="D36" s="162" t="str">
        <f>+PP!C54</f>
        <v>RECORTE BLANCO SM ST</v>
      </c>
      <c r="E36" s="2967"/>
      <c r="F36" s="2968"/>
      <c r="G36" s="2968"/>
      <c r="H36" s="2968"/>
      <c r="I36" s="2968"/>
      <c r="J36" s="2968"/>
      <c r="K36" s="2968"/>
      <c r="L36" s="2968"/>
      <c r="M36" s="2968"/>
      <c r="N36" s="2968"/>
      <c r="O36" s="2968"/>
      <c r="P36" s="2968"/>
      <c r="Q36" s="2968"/>
      <c r="R36" s="2970"/>
      <c r="S36" s="2970"/>
      <c r="T36" s="2970"/>
      <c r="U36" s="2970"/>
      <c r="V36" s="2970"/>
      <c r="W36" s="2970"/>
      <c r="X36" s="1007"/>
      <c r="Y36" s="1007"/>
      <c r="Z36" s="1007"/>
      <c r="AA36" s="1503"/>
      <c r="AB36" s="148">
        <f t="shared" si="32"/>
        <v>0</v>
      </c>
      <c r="AC36" s="148">
        <f t="shared" si="0"/>
        <v>0</v>
      </c>
      <c r="AD36" s="145">
        <f t="shared" si="1"/>
        <v>0</v>
      </c>
      <c r="AE36" s="574"/>
      <c r="AF36"/>
      <c r="AG36"/>
      <c r="AH36" s="668" t="str">
        <f t="shared" si="2"/>
        <v/>
      </c>
      <c r="AI36" s="668" t="str">
        <f t="shared" si="3"/>
        <v/>
      </c>
      <c r="AJ36" s="668" t="str">
        <f t="shared" si="4"/>
        <v/>
      </c>
      <c r="AK36" s="668" t="str">
        <f t="shared" si="5"/>
        <v/>
      </c>
      <c r="AL36" s="668" t="str">
        <f t="shared" si="6"/>
        <v/>
      </c>
      <c r="AM36" s="668" t="str">
        <f t="shared" si="7"/>
        <v/>
      </c>
      <c r="AN36" s="668" t="str">
        <f t="shared" si="8"/>
        <v/>
      </c>
      <c r="AO36" s="668" t="str">
        <f t="shared" si="9"/>
        <v/>
      </c>
      <c r="AP36" s="668" t="str">
        <f t="shared" si="10"/>
        <v/>
      </c>
      <c r="AQ36" s="668" t="str">
        <f t="shared" si="11"/>
        <v/>
      </c>
      <c r="AR36" s="668" t="str">
        <f t="shared" si="12"/>
        <v/>
      </c>
      <c r="AS36" s="668" t="str">
        <f t="shared" si="13"/>
        <v/>
      </c>
      <c r="AT36" s="668" t="str">
        <f t="shared" si="14"/>
        <v/>
      </c>
      <c r="AU36" s="668" t="str">
        <f t="shared" si="15"/>
        <v/>
      </c>
      <c r="AV36" s="668" t="str">
        <f t="shared" si="16"/>
        <v/>
      </c>
      <c r="AW36" s="668" t="str">
        <f t="shared" si="17"/>
        <v/>
      </c>
      <c r="AX36" s="668" t="str">
        <f t="shared" si="18"/>
        <v/>
      </c>
      <c r="AY36" s="668" t="str">
        <f t="shared" si="19"/>
        <v/>
      </c>
      <c r="AZ36" s="668" t="str">
        <f t="shared" si="20"/>
        <v/>
      </c>
      <c r="BA36" s="668" t="str">
        <f t="shared" si="21"/>
        <v/>
      </c>
      <c r="BB36" s="668" t="str">
        <f t="shared" si="22"/>
        <v/>
      </c>
      <c r="BC36" s="668" t="str">
        <f t="shared" si="23"/>
        <v/>
      </c>
      <c r="BD36"/>
      <c r="BE36"/>
      <c r="BF36"/>
      <c r="BG36"/>
      <c r="BH36"/>
    </row>
    <row r="37" spans="1:60" ht="45.75">
      <c r="A37" s="2257"/>
      <c r="C37" s="42">
        <f>+PP!B55</f>
        <v>32</v>
      </c>
      <c r="D37" s="164" t="str">
        <f>+PP!C55</f>
        <v>RECORTE AMARILLO SM ST</v>
      </c>
      <c r="E37" s="2013"/>
      <c r="F37" s="1802"/>
      <c r="G37" s="1802"/>
      <c r="H37" s="1802"/>
      <c r="I37" s="1802"/>
      <c r="J37" s="1802"/>
      <c r="K37" s="1802"/>
      <c r="L37" s="1802"/>
      <c r="M37" s="1802"/>
      <c r="N37" s="1802"/>
      <c r="O37" s="1802"/>
      <c r="P37" s="1802"/>
      <c r="Q37" s="1802"/>
      <c r="R37" s="1847"/>
      <c r="S37" s="1847"/>
      <c r="T37" s="1847"/>
      <c r="U37" s="1847"/>
      <c r="V37" s="1847"/>
      <c r="W37" s="1847"/>
      <c r="X37" s="388"/>
      <c r="Y37" s="388"/>
      <c r="Z37" s="388"/>
      <c r="AA37" s="1504"/>
      <c r="AB37" s="149">
        <f t="shared" si="32"/>
        <v>0</v>
      </c>
      <c r="AC37" s="149">
        <f t="shared" si="0"/>
        <v>0</v>
      </c>
      <c r="AD37" s="146">
        <f t="shared" si="1"/>
        <v>0</v>
      </c>
      <c r="AE37" s="574"/>
      <c r="AF37"/>
      <c r="AG37"/>
      <c r="AH37" s="668" t="str">
        <f t="shared" si="2"/>
        <v/>
      </c>
      <c r="AI37" s="668" t="str">
        <f t="shared" si="3"/>
        <v/>
      </c>
      <c r="AJ37" s="668" t="str">
        <f t="shared" si="4"/>
        <v/>
      </c>
      <c r="AK37" s="668" t="str">
        <f t="shared" si="5"/>
        <v/>
      </c>
      <c r="AL37" s="668" t="str">
        <f t="shared" si="6"/>
        <v/>
      </c>
      <c r="AM37" s="668" t="str">
        <f t="shared" si="7"/>
        <v/>
      </c>
      <c r="AN37" s="668" t="str">
        <f t="shared" si="8"/>
        <v/>
      </c>
      <c r="AO37" s="668" t="str">
        <f t="shared" si="9"/>
        <v/>
      </c>
      <c r="AP37" s="668" t="str">
        <f t="shared" si="10"/>
        <v/>
      </c>
      <c r="AQ37" s="668" t="str">
        <f t="shared" si="11"/>
        <v/>
      </c>
      <c r="AR37" s="668" t="str">
        <f t="shared" si="12"/>
        <v/>
      </c>
      <c r="AS37" s="668" t="str">
        <f t="shared" si="13"/>
        <v/>
      </c>
      <c r="AT37" s="668" t="str">
        <f t="shared" si="14"/>
        <v/>
      </c>
      <c r="AU37" s="668" t="str">
        <f t="shared" si="15"/>
        <v/>
      </c>
      <c r="AV37" s="668" t="str">
        <f t="shared" si="16"/>
        <v/>
      </c>
      <c r="AW37" s="668" t="str">
        <f t="shared" si="17"/>
        <v/>
      </c>
      <c r="AX37" s="668" t="str">
        <f t="shared" si="18"/>
        <v/>
      </c>
      <c r="AY37" s="668" t="str">
        <f t="shared" si="19"/>
        <v/>
      </c>
      <c r="AZ37" s="668" t="str">
        <f t="shared" si="20"/>
        <v/>
      </c>
      <c r="BA37" s="668" t="str">
        <f t="shared" si="21"/>
        <v/>
      </c>
      <c r="BB37" s="668" t="str">
        <f t="shared" si="22"/>
        <v/>
      </c>
      <c r="BC37" s="668" t="str">
        <f t="shared" si="23"/>
        <v/>
      </c>
      <c r="BD37"/>
      <c r="BE37"/>
      <c r="BF37"/>
      <c r="BG37"/>
      <c r="BH37"/>
    </row>
    <row r="38" spans="1:60" ht="46.5" thickBot="1">
      <c r="A38" s="2257"/>
      <c r="C38" s="40">
        <f>+PP!B56</f>
        <v>33</v>
      </c>
      <c r="D38" s="163" t="str">
        <f>+PP!C56</f>
        <v>RECORTE PRECOCIDO</v>
      </c>
      <c r="E38" s="2972"/>
      <c r="F38" s="2973"/>
      <c r="G38" s="2973"/>
      <c r="H38" s="2973"/>
      <c r="I38" s="2973"/>
      <c r="J38" s="2973"/>
      <c r="K38" s="2973"/>
      <c r="L38" s="2973"/>
      <c r="M38" s="2973"/>
      <c r="N38" s="2973"/>
      <c r="O38" s="2973"/>
      <c r="P38" s="2973"/>
      <c r="Q38" s="2973"/>
      <c r="R38" s="2975"/>
      <c r="S38" s="2975"/>
      <c r="T38" s="2975"/>
      <c r="U38" s="2975"/>
      <c r="V38" s="2975"/>
      <c r="W38" s="2975"/>
      <c r="X38" s="1008"/>
      <c r="Y38" s="1008"/>
      <c r="Z38" s="1008"/>
      <c r="AA38" s="1506"/>
      <c r="AB38" s="150">
        <f t="shared" si="32"/>
        <v>0</v>
      </c>
      <c r="AC38" s="150">
        <f t="shared" si="0"/>
        <v>0</v>
      </c>
      <c r="AD38" s="147">
        <f t="shared" si="1"/>
        <v>0</v>
      </c>
      <c r="AE38" s="574"/>
      <c r="AF38"/>
      <c r="AG38"/>
      <c r="AH38" s="668" t="str">
        <f t="shared" si="2"/>
        <v/>
      </c>
      <c r="AI38" s="668" t="str">
        <f t="shared" si="3"/>
        <v/>
      </c>
      <c r="AJ38" s="668" t="str">
        <f t="shared" si="4"/>
        <v/>
      </c>
      <c r="AK38" s="668" t="str">
        <f t="shared" si="5"/>
        <v/>
      </c>
      <c r="AL38" s="668" t="str">
        <f t="shared" si="6"/>
        <v/>
      </c>
      <c r="AM38" s="668" t="str">
        <f t="shared" si="7"/>
        <v/>
      </c>
      <c r="AN38" s="668" t="str">
        <f t="shared" si="8"/>
        <v/>
      </c>
      <c r="AO38" s="668" t="str">
        <f t="shared" si="9"/>
        <v/>
      </c>
      <c r="AP38" s="668" t="str">
        <f t="shared" si="10"/>
        <v/>
      </c>
      <c r="AQ38" s="668" t="str">
        <f t="shared" si="11"/>
        <v/>
      </c>
      <c r="AR38" s="668" t="str">
        <f t="shared" si="12"/>
        <v/>
      </c>
      <c r="AS38" s="668" t="str">
        <f t="shared" si="13"/>
        <v/>
      </c>
      <c r="AT38" s="668" t="str">
        <f t="shared" si="14"/>
        <v/>
      </c>
      <c r="AU38" s="668" t="str">
        <f t="shared" si="15"/>
        <v/>
      </c>
      <c r="AV38" s="668" t="str">
        <f t="shared" si="16"/>
        <v/>
      </c>
      <c r="AW38" s="668" t="str">
        <f t="shared" si="17"/>
        <v/>
      </c>
      <c r="AX38" s="668" t="str">
        <f t="shared" si="18"/>
        <v/>
      </c>
      <c r="AY38" s="668" t="str">
        <f t="shared" si="19"/>
        <v/>
      </c>
      <c r="AZ38" s="668" t="str">
        <f t="shared" si="20"/>
        <v/>
      </c>
      <c r="BA38" s="668" t="str">
        <f t="shared" si="21"/>
        <v/>
      </c>
      <c r="BB38" s="668" t="str">
        <f t="shared" si="22"/>
        <v/>
      </c>
      <c r="BC38" s="668" t="str">
        <f t="shared" si="23"/>
        <v/>
      </c>
      <c r="BD38"/>
      <c r="BE38"/>
      <c r="BF38"/>
      <c r="BG38"/>
      <c r="BH38"/>
    </row>
    <row r="39" spans="1:60" ht="45.75">
      <c r="A39" s="2257"/>
      <c r="C39" s="160">
        <f>+PP!B57</f>
        <v>34</v>
      </c>
      <c r="D39" s="162" t="str">
        <f>+PP!C57</f>
        <v>REPRODUCTORES SV, PEQUEÑO</v>
      </c>
      <c r="E39" s="2012"/>
      <c r="F39" s="1830"/>
      <c r="G39" s="1830"/>
      <c r="H39" s="1830"/>
      <c r="I39" s="1830"/>
      <c r="J39" s="1830"/>
      <c r="K39" s="1830"/>
      <c r="L39" s="1830"/>
      <c r="M39" s="1830"/>
      <c r="N39" s="1830"/>
      <c r="O39" s="1830"/>
      <c r="P39" s="1830"/>
      <c r="Q39" s="1830"/>
      <c r="R39" s="1830"/>
      <c r="S39" s="1853"/>
      <c r="T39" s="1853"/>
      <c r="U39" s="1853"/>
      <c r="V39" s="1853"/>
      <c r="W39" s="1853"/>
      <c r="X39" s="1155"/>
      <c r="Y39" s="1155"/>
      <c r="Z39" s="1155"/>
      <c r="AA39" s="2995"/>
      <c r="AB39" s="148">
        <f t="shared" si="32"/>
        <v>0</v>
      </c>
      <c r="AC39" s="148">
        <f t="shared" si="0"/>
        <v>0</v>
      </c>
      <c r="AD39" s="152">
        <f t="shared" si="1"/>
        <v>0</v>
      </c>
      <c r="AE39" s="574"/>
      <c r="AF39"/>
      <c r="AG39"/>
      <c r="AH39" s="668" t="str">
        <f t="shared" si="2"/>
        <v/>
      </c>
      <c r="AI39" s="668" t="str">
        <f t="shared" si="3"/>
        <v/>
      </c>
      <c r="AJ39" s="668" t="str">
        <f t="shared" si="4"/>
        <v/>
      </c>
      <c r="AK39" s="668" t="str">
        <f t="shared" si="5"/>
        <v/>
      </c>
      <c r="AL39" s="668" t="str">
        <f t="shared" si="6"/>
        <v/>
      </c>
      <c r="AM39" s="668" t="str">
        <f t="shared" si="7"/>
        <v/>
      </c>
      <c r="AN39" s="668" t="str">
        <f t="shared" si="8"/>
        <v/>
      </c>
      <c r="AO39" s="668" t="str">
        <f t="shared" si="9"/>
        <v/>
      </c>
      <c r="AP39" s="668" t="str">
        <f t="shared" si="10"/>
        <v/>
      </c>
      <c r="AQ39" s="668" t="str">
        <f t="shared" si="11"/>
        <v/>
      </c>
      <c r="AR39" s="668" t="str">
        <f t="shared" si="12"/>
        <v/>
      </c>
      <c r="AS39" s="668" t="str">
        <f t="shared" si="13"/>
        <v/>
      </c>
      <c r="AT39" s="668" t="str">
        <f t="shared" si="14"/>
        <v/>
      </c>
      <c r="AU39" s="668" t="str">
        <f t="shared" si="15"/>
        <v/>
      </c>
      <c r="AV39" s="668" t="str">
        <f t="shared" si="16"/>
        <v/>
      </c>
      <c r="AW39" s="668" t="str">
        <f t="shared" si="17"/>
        <v/>
      </c>
      <c r="AX39" s="668" t="str">
        <f t="shared" si="18"/>
        <v/>
      </c>
      <c r="AY39" s="668" t="str">
        <f t="shared" si="19"/>
        <v/>
      </c>
      <c r="AZ39" s="668" t="str">
        <f t="shared" si="20"/>
        <v/>
      </c>
      <c r="BA39" s="668" t="str">
        <f t="shared" si="21"/>
        <v/>
      </c>
      <c r="BB39" s="668" t="str">
        <f t="shared" si="22"/>
        <v/>
      </c>
      <c r="BC39" s="668" t="str">
        <f t="shared" si="23"/>
        <v/>
      </c>
      <c r="BD39"/>
      <c r="BE39"/>
      <c r="BF39"/>
      <c r="BG39"/>
    </row>
    <row r="40" spans="1:60" ht="46.5" thickBot="1">
      <c r="A40" s="2257"/>
      <c r="C40" s="158">
        <f>+PP!B58</f>
        <v>35</v>
      </c>
      <c r="D40" s="163" t="str">
        <f>+PP!C58</f>
        <v>REPRODUCTOR SV GRANDE</v>
      </c>
      <c r="E40" s="2972"/>
      <c r="F40" s="2973"/>
      <c r="G40" s="2973"/>
      <c r="H40" s="2973"/>
      <c r="I40" s="2973"/>
      <c r="J40" s="2973"/>
      <c r="K40" s="2973"/>
      <c r="L40" s="2973"/>
      <c r="M40" s="2973"/>
      <c r="N40" s="2973"/>
      <c r="O40" s="2973"/>
      <c r="P40" s="2973"/>
      <c r="Q40" s="2973"/>
      <c r="R40" s="2973"/>
      <c r="S40" s="2975"/>
      <c r="T40" s="2975"/>
      <c r="U40" s="2975"/>
      <c r="V40" s="2975"/>
      <c r="W40" s="2975"/>
      <c r="X40" s="1008"/>
      <c r="Y40" s="1008"/>
      <c r="Z40" s="1008"/>
      <c r="AA40" s="216"/>
      <c r="AB40" s="150">
        <f t="shared" si="32"/>
        <v>0</v>
      </c>
      <c r="AC40" s="150">
        <f t="shared" si="0"/>
        <v>0</v>
      </c>
      <c r="AD40" s="147">
        <f t="shared" si="1"/>
        <v>0</v>
      </c>
      <c r="AE40" s="574"/>
      <c r="AF40"/>
      <c r="AG40"/>
      <c r="AH40" s="668" t="str">
        <f t="shared" si="2"/>
        <v/>
      </c>
      <c r="AI40" s="668" t="str">
        <f t="shared" si="3"/>
        <v/>
      </c>
      <c r="AJ40" s="668" t="str">
        <f t="shared" si="4"/>
        <v/>
      </c>
      <c r="AK40" s="668" t="str">
        <f t="shared" si="5"/>
        <v/>
      </c>
      <c r="AL40" s="668" t="str">
        <f t="shared" si="6"/>
        <v/>
      </c>
      <c r="AM40" s="668" t="str">
        <f t="shared" si="7"/>
        <v/>
      </c>
      <c r="AN40" s="668" t="str">
        <f t="shared" si="8"/>
        <v/>
      </c>
      <c r="AO40" s="668" t="str">
        <f t="shared" si="9"/>
        <v/>
      </c>
      <c r="AP40" s="668" t="str">
        <f t="shared" si="10"/>
        <v/>
      </c>
      <c r="AQ40" s="668" t="str">
        <f t="shared" si="11"/>
        <v/>
      </c>
      <c r="AR40" s="668" t="str">
        <f t="shared" si="12"/>
        <v/>
      </c>
      <c r="AS40" s="668" t="str">
        <f t="shared" si="13"/>
        <v/>
      </c>
      <c r="AT40" s="668" t="str">
        <f t="shared" si="14"/>
        <v/>
      </c>
      <c r="AU40" s="668" t="str">
        <f t="shared" si="15"/>
        <v/>
      </c>
      <c r="AV40" s="668" t="str">
        <f t="shared" si="16"/>
        <v/>
      </c>
      <c r="AW40" s="668" t="str">
        <f t="shared" si="17"/>
        <v/>
      </c>
      <c r="AX40" s="668" t="str">
        <f t="shared" si="18"/>
        <v/>
      </c>
      <c r="AY40" s="668" t="str">
        <f t="shared" si="19"/>
        <v/>
      </c>
      <c r="AZ40" s="668" t="str">
        <f t="shared" si="20"/>
        <v/>
      </c>
      <c r="BA40" s="668" t="str">
        <f t="shared" si="21"/>
        <v/>
      </c>
      <c r="BB40" s="668" t="str">
        <f t="shared" si="22"/>
        <v/>
      </c>
      <c r="BC40" s="668" t="str">
        <f t="shared" si="23"/>
        <v/>
      </c>
      <c r="BD40"/>
      <c r="BE40"/>
      <c r="BF40"/>
      <c r="BG40"/>
    </row>
    <row r="41" spans="1:60" ht="45.75">
      <c r="A41" s="2257"/>
      <c r="C41" s="955">
        <f>+PP!B59</f>
        <v>36</v>
      </c>
      <c r="D41" s="166" t="str">
        <f>+PP!C59</f>
        <v>TUBO ALETA 1.0-2.0 Kg/pza</v>
      </c>
      <c r="E41" s="2012"/>
      <c r="F41" s="1830"/>
      <c r="G41" s="1830"/>
      <c r="H41" s="1830"/>
      <c r="I41" s="1830"/>
      <c r="J41" s="1830"/>
      <c r="K41" s="1830"/>
      <c r="L41" s="1830"/>
      <c r="M41" s="1830"/>
      <c r="N41" s="1830"/>
      <c r="O41" s="1830"/>
      <c r="P41" s="1830"/>
      <c r="Q41" s="1830"/>
      <c r="R41" s="1830"/>
      <c r="S41" s="1853"/>
      <c r="T41" s="1853"/>
      <c r="U41" s="1853"/>
      <c r="V41" s="1853"/>
      <c r="W41" s="1853"/>
      <c r="X41" s="1155"/>
      <c r="Y41" s="1155"/>
      <c r="Z41" s="1155"/>
      <c r="AA41" s="2994"/>
      <c r="AB41" s="1822">
        <f t="shared" si="32"/>
        <v>0</v>
      </c>
      <c r="AC41" s="151">
        <f t="shared" si="0"/>
        <v>0</v>
      </c>
      <c r="AD41" s="152">
        <f t="shared" si="1"/>
        <v>0</v>
      </c>
      <c r="AE41" s="574"/>
      <c r="AF41"/>
      <c r="AG41"/>
      <c r="AH41" s="668" t="str">
        <f t="shared" si="2"/>
        <v/>
      </c>
      <c r="AI41" s="668" t="str">
        <f t="shared" si="3"/>
        <v/>
      </c>
      <c r="AJ41" s="668" t="str">
        <f t="shared" si="4"/>
        <v/>
      </c>
      <c r="AK41" s="668" t="str">
        <f t="shared" si="5"/>
        <v/>
      </c>
      <c r="AL41" s="668" t="str">
        <f t="shared" si="6"/>
        <v/>
      </c>
      <c r="AM41" s="668" t="str">
        <f t="shared" si="7"/>
        <v/>
      </c>
      <c r="AN41" s="668" t="str">
        <f t="shared" si="8"/>
        <v/>
      </c>
      <c r="AO41" s="668" t="str">
        <f t="shared" si="9"/>
        <v/>
      </c>
      <c r="AP41" s="668" t="str">
        <f t="shared" si="10"/>
        <v/>
      </c>
      <c r="AQ41" s="668" t="str">
        <f t="shared" si="11"/>
        <v/>
      </c>
      <c r="AR41" s="668" t="str">
        <f t="shared" si="12"/>
        <v/>
      </c>
      <c r="AS41" s="668" t="str">
        <f t="shared" si="13"/>
        <v/>
      </c>
      <c r="AT41" s="668" t="str">
        <f t="shared" si="14"/>
        <v/>
      </c>
      <c r="AU41" s="668" t="str">
        <f t="shared" si="15"/>
        <v/>
      </c>
      <c r="AV41" s="668" t="str">
        <f t="shared" si="16"/>
        <v/>
      </c>
      <c r="AW41" s="668" t="str">
        <f t="shared" si="17"/>
        <v/>
      </c>
      <c r="AX41" s="668" t="str">
        <f t="shared" si="18"/>
        <v/>
      </c>
      <c r="AY41" s="668" t="str">
        <f t="shared" si="19"/>
        <v/>
      </c>
      <c r="AZ41" s="668" t="str">
        <f t="shared" si="20"/>
        <v/>
      </c>
      <c r="BA41" s="668" t="str">
        <f t="shared" si="21"/>
        <v/>
      </c>
      <c r="BB41" s="668" t="str">
        <f t="shared" si="22"/>
        <v/>
      </c>
      <c r="BC41" s="668" t="str">
        <f t="shared" si="23"/>
        <v/>
      </c>
      <c r="BD41"/>
      <c r="BE41"/>
      <c r="BF41"/>
      <c r="BG41"/>
    </row>
    <row r="42" spans="1:60" ht="45.75" customHeight="1">
      <c r="A42" s="2257"/>
      <c r="C42" s="42">
        <f>+PP!B60</f>
        <v>37</v>
      </c>
      <c r="D42" s="164" t="str">
        <f>+PP!C60</f>
        <v>TENTACULO C/B C/V SR 100-300 g/pza (SUCIO)</v>
      </c>
      <c r="E42" s="2013"/>
      <c r="F42" s="1802"/>
      <c r="G42" s="1802"/>
      <c r="H42" s="1802"/>
      <c r="I42" s="1802"/>
      <c r="J42" s="1802"/>
      <c r="K42" s="1802"/>
      <c r="L42" s="1802"/>
      <c r="M42" s="1802"/>
      <c r="N42" s="1802"/>
      <c r="O42" s="1802"/>
      <c r="P42" s="1802"/>
      <c r="Q42" s="1802"/>
      <c r="R42" s="1802"/>
      <c r="S42" s="1847"/>
      <c r="T42" s="1847"/>
      <c r="U42" s="1847"/>
      <c r="V42" s="1847"/>
      <c r="W42" s="1847"/>
      <c r="X42" s="388"/>
      <c r="Y42" s="388"/>
      <c r="Z42" s="388"/>
      <c r="AA42" s="276"/>
      <c r="AB42" s="1392">
        <f t="shared" si="32"/>
        <v>0</v>
      </c>
      <c r="AC42" s="149">
        <f t="shared" si="0"/>
        <v>0</v>
      </c>
      <c r="AD42" s="146">
        <f t="shared" si="1"/>
        <v>0</v>
      </c>
      <c r="AE42" s="574"/>
      <c r="AF42"/>
      <c r="AG42"/>
      <c r="AH42" s="668" t="str">
        <f t="shared" si="2"/>
        <v/>
      </c>
      <c r="AI42" s="668" t="str">
        <f t="shared" si="3"/>
        <v/>
      </c>
      <c r="AJ42" s="668" t="str">
        <f t="shared" si="4"/>
        <v/>
      </c>
      <c r="AK42" s="668" t="str">
        <f t="shared" si="5"/>
        <v/>
      </c>
      <c r="AL42" s="668" t="str">
        <f t="shared" si="6"/>
        <v/>
      </c>
      <c r="AM42" s="668" t="str">
        <f t="shared" si="7"/>
        <v/>
      </c>
      <c r="AN42" s="668" t="str">
        <f t="shared" si="8"/>
        <v/>
      </c>
      <c r="AO42" s="668" t="str">
        <f t="shared" si="9"/>
        <v/>
      </c>
      <c r="AP42" s="668" t="str">
        <f t="shared" si="10"/>
        <v/>
      </c>
      <c r="AQ42" s="668" t="str">
        <f t="shared" si="11"/>
        <v/>
      </c>
      <c r="AR42" s="668" t="str">
        <f t="shared" si="12"/>
        <v/>
      </c>
      <c r="AS42" s="668" t="str">
        <f t="shared" si="13"/>
        <v/>
      </c>
      <c r="AT42" s="668" t="str">
        <f t="shared" si="14"/>
        <v/>
      </c>
      <c r="AU42" s="668" t="str">
        <f t="shared" si="15"/>
        <v/>
      </c>
      <c r="AV42" s="668" t="str">
        <f t="shared" si="16"/>
        <v/>
      </c>
      <c r="AW42" s="668" t="str">
        <f t="shared" si="17"/>
        <v/>
      </c>
      <c r="AX42" s="668" t="str">
        <f t="shared" si="18"/>
        <v/>
      </c>
      <c r="AY42" s="668" t="str">
        <f t="shared" si="19"/>
        <v/>
      </c>
      <c r="AZ42" s="668" t="str">
        <f t="shared" si="20"/>
        <v/>
      </c>
      <c r="BA42" s="668" t="str">
        <f t="shared" si="21"/>
        <v/>
      </c>
      <c r="BB42" s="668" t="str">
        <f t="shared" si="22"/>
        <v/>
      </c>
      <c r="BC42" s="668" t="str">
        <f t="shared" si="23"/>
        <v/>
      </c>
      <c r="BD42"/>
      <c r="BE42"/>
      <c r="BF42"/>
      <c r="BG42"/>
    </row>
    <row r="43" spans="1:60" ht="45.75" customHeight="1">
      <c r="A43" s="2257"/>
      <c r="C43" s="42">
        <f>+PP!B61</f>
        <v>38</v>
      </c>
      <c r="D43" s="164" t="str">
        <f>+PP!C61</f>
        <v>TENTACULO C/B C/V SR 300-500 g/pza (SUCIO)</v>
      </c>
      <c r="E43" s="2013"/>
      <c r="F43" s="1802"/>
      <c r="G43" s="1802"/>
      <c r="H43" s="1802"/>
      <c r="I43" s="1802"/>
      <c r="J43" s="1802"/>
      <c r="K43" s="1802"/>
      <c r="L43" s="1802"/>
      <c r="M43" s="1802"/>
      <c r="N43" s="1802"/>
      <c r="O43" s="1802"/>
      <c r="P43" s="1802"/>
      <c r="Q43" s="1802"/>
      <c r="R43" s="1802"/>
      <c r="S43" s="1847"/>
      <c r="T43" s="1847"/>
      <c r="U43" s="1847"/>
      <c r="V43" s="1847"/>
      <c r="W43" s="1847"/>
      <c r="X43" s="388"/>
      <c r="Y43" s="388"/>
      <c r="Z43" s="388"/>
      <c r="AA43" s="276"/>
      <c r="AB43" s="1392">
        <f t="shared" si="32"/>
        <v>0</v>
      </c>
      <c r="AC43" s="149">
        <f t="shared" si="0"/>
        <v>0</v>
      </c>
      <c r="AD43" s="146">
        <f t="shared" si="1"/>
        <v>0</v>
      </c>
      <c r="AE43" s="574"/>
      <c r="AF43"/>
      <c r="AG43"/>
      <c r="AH43" s="668" t="str">
        <f t="shared" si="2"/>
        <v/>
      </c>
      <c r="AI43" s="668" t="str">
        <f t="shared" si="3"/>
        <v/>
      </c>
      <c r="AJ43" s="668" t="str">
        <f t="shared" si="4"/>
        <v/>
      </c>
      <c r="AK43" s="668" t="str">
        <f t="shared" si="5"/>
        <v/>
      </c>
      <c r="AL43" s="668" t="str">
        <f t="shared" si="6"/>
        <v/>
      </c>
      <c r="AM43" s="668" t="str">
        <f t="shared" si="7"/>
        <v/>
      </c>
      <c r="AN43" s="668" t="str">
        <f t="shared" si="8"/>
        <v/>
      </c>
      <c r="AO43" s="668" t="str">
        <f t="shared" si="9"/>
        <v/>
      </c>
      <c r="AP43" s="668" t="str">
        <f t="shared" si="10"/>
        <v/>
      </c>
      <c r="AQ43" s="668" t="str">
        <f t="shared" si="11"/>
        <v/>
      </c>
      <c r="AR43" s="668" t="str">
        <f t="shared" si="12"/>
        <v/>
      </c>
      <c r="AS43" s="668" t="str">
        <f t="shared" si="13"/>
        <v/>
      </c>
      <c r="AT43" s="668" t="str">
        <f t="shared" si="14"/>
        <v/>
      </c>
      <c r="AU43" s="668" t="str">
        <f t="shared" si="15"/>
        <v/>
      </c>
      <c r="AV43" s="668" t="str">
        <f t="shared" si="16"/>
        <v/>
      </c>
      <c r="AW43" s="668" t="str">
        <f t="shared" si="17"/>
        <v/>
      </c>
      <c r="AX43" s="668" t="str">
        <f t="shared" si="18"/>
        <v/>
      </c>
      <c r="AY43" s="668" t="str">
        <f t="shared" si="19"/>
        <v/>
      </c>
      <c r="AZ43" s="668" t="str">
        <f t="shared" si="20"/>
        <v/>
      </c>
      <c r="BA43" s="668" t="str">
        <f t="shared" si="21"/>
        <v/>
      </c>
      <c r="BB43" s="668" t="str">
        <f t="shared" si="22"/>
        <v/>
      </c>
      <c r="BC43" s="668" t="str">
        <f t="shared" si="23"/>
        <v/>
      </c>
      <c r="BD43"/>
      <c r="BE43"/>
      <c r="BF43"/>
      <c r="BG43"/>
    </row>
    <row r="44" spans="1:60" ht="45.75">
      <c r="A44" s="2257"/>
      <c r="C44" s="42">
        <f>+PP!B62</f>
        <v>39</v>
      </c>
      <c r="D44" s="164" t="str">
        <f>+PP!C62</f>
        <v>TENTACULO C/B S/V SR 100-300 g/pza</v>
      </c>
      <c r="E44" s="2013"/>
      <c r="F44" s="1802"/>
      <c r="G44" s="1802"/>
      <c r="H44" s="1802"/>
      <c r="I44" s="1802"/>
      <c r="J44" s="1802"/>
      <c r="K44" s="1802"/>
      <c r="L44" s="1802"/>
      <c r="M44" s="1802"/>
      <c r="N44" s="1802"/>
      <c r="O44" s="1802"/>
      <c r="P44" s="1802"/>
      <c r="Q44" s="1802"/>
      <c r="R44" s="1802"/>
      <c r="S44" s="1847"/>
      <c r="T44" s="1847"/>
      <c r="U44" s="1847"/>
      <c r="V44" s="1847"/>
      <c r="W44" s="1847"/>
      <c r="X44" s="388"/>
      <c r="Y44" s="388"/>
      <c r="Z44" s="388"/>
      <c r="AA44" s="276"/>
      <c r="AB44" s="1392">
        <f t="shared" si="32"/>
        <v>0</v>
      </c>
      <c r="AC44" s="149">
        <f t="shared" si="0"/>
        <v>0</v>
      </c>
      <c r="AD44" s="146">
        <f t="shared" si="1"/>
        <v>0</v>
      </c>
      <c r="AE44" s="574"/>
      <c r="AF44"/>
      <c r="AG44"/>
      <c r="AH44" s="668" t="str">
        <f t="shared" si="2"/>
        <v/>
      </c>
      <c r="AI44" s="668" t="str">
        <f t="shared" si="3"/>
        <v/>
      </c>
      <c r="AJ44" s="668" t="str">
        <f t="shared" si="4"/>
        <v/>
      </c>
      <c r="AK44" s="668" t="str">
        <f t="shared" si="5"/>
        <v/>
      </c>
      <c r="AL44" s="668" t="str">
        <f t="shared" si="6"/>
        <v/>
      </c>
      <c r="AM44" s="668" t="str">
        <f t="shared" si="7"/>
        <v/>
      </c>
      <c r="AN44" s="668" t="str">
        <f t="shared" si="8"/>
        <v/>
      </c>
      <c r="AO44" s="668" t="str">
        <f t="shared" si="9"/>
        <v/>
      </c>
      <c r="AP44" s="668" t="str">
        <f t="shared" si="10"/>
        <v/>
      </c>
      <c r="AQ44" s="668" t="str">
        <f t="shared" si="11"/>
        <v/>
      </c>
      <c r="AR44" s="668" t="str">
        <f t="shared" si="12"/>
        <v/>
      </c>
      <c r="AS44" s="668" t="str">
        <f t="shared" si="13"/>
        <v/>
      </c>
      <c r="AT44" s="668" t="str">
        <f t="shared" si="14"/>
        <v/>
      </c>
      <c r="AU44" s="668" t="str">
        <f t="shared" si="15"/>
        <v/>
      </c>
      <c r="AV44" s="668" t="str">
        <f t="shared" si="16"/>
        <v/>
      </c>
      <c r="AW44" s="668" t="str">
        <f t="shared" si="17"/>
        <v/>
      </c>
      <c r="AX44" s="668" t="str">
        <f t="shared" si="18"/>
        <v/>
      </c>
      <c r="AY44" s="668" t="str">
        <f t="shared" si="19"/>
        <v/>
      </c>
      <c r="AZ44" s="668" t="str">
        <f t="shared" si="20"/>
        <v/>
      </c>
      <c r="BA44" s="668" t="str">
        <f t="shared" si="21"/>
        <v/>
      </c>
      <c r="BB44" s="668" t="str">
        <f t="shared" si="22"/>
        <v/>
      </c>
      <c r="BC44" s="668" t="str">
        <f t="shared" si="23"/>
        <v/>
      </c>
      <c r="BD44"/>
      <c r="BE44"/>
      <c r="BF44"/>
      <c r="BG44"/>
    </row>
    <row r="45" spans="1:60" ht="45.75" customHeight="1">
      <c r="A45" s="2257"/>
      <c r="C45" s="42">
        <f>+PP!B63</f>
        <v>40</v>
      </c>
      <c r="D45" s="164" t="str">
        <f>+PP!C63</f>
        <v>TENTACULO C/B C/V SR 100-500 g/pza (SUCIO)</v>
      </c>
      <c r="E45" s="2013"/>
      <c r="F45" s="1802"/>
      <c r="G45" s="1802"/>
      <c r="H45" s="1802"/>
      <c r="I45" s="1802"/>
      <c r="J45" s="1802"/>
      <c r="K45" s="1802"/>
      <c r="L45" s="1802"/>
      <c r="M45" s="1802"/>
      <c r="N45" s="1802"/>
      <c r="O45" s="1802"/>
      <c r="P45" s="1802"/>
      <c r="Q45" s="1802"/>
      <c r="R45" s="1802"/>
      <c r="S45" s="1847"/>
      <c r="T45" s="1847"/>
      <c r="U45" s="1847"/>
      <c r="V45" s="1847"/>
      <c r="W45" s="1847"/>
      <c r="X45" s="388"/>
      <c r="Y45" s="388"/>
      <c r="Z45" s="388"/>
      <c r="AA45" s="276"/>
      <c r="AB45" s="1392">
        <f t="shared" si="32"/>
        <v>0</v>
      </c>
      <c r="AC45" s="149">
        <f t="shared" si="0"/>
        <v>0</v>
      </c>
      <c r="AD45" s="146">
        <f t="shared" si="1"/>
        <v>0</v>
      </c>
      <c r="AE45" s="574"/>
      <c r="AF45"/>
      <c r="AG45"/>
      <c r="AH45" s="668" t="str">
        <f t="shared" si="2"/>
        <v/>
      </c>
      <c r="AI45" s="668" t="str">
        <f t="shared" si="3"/>
        <v/>
      </c>
      <c r="AJ45" s="668" t="str">
        <f t="shared" si="4"/>
        <v/>
      </c>
      <c r="AK45" s="668" t="str">
        <f t="shared" si="5"/>
        <v/>
      </c>
      <c r="AL45" s="668" t="str">
        <f t="shared" si="6"/>
        <v/>
      </c>
      <c r="AM45" s="668" t="str">
        <f t="shared" si="7"/>
        <v/>
      </c>
      <c r="AN45" s="668" t="str">
        <f t="shared" si="8"/>
        <v/>
      </c>
      <c r="AO45" s="668" t="str">
        <f t="shared" si="9"/>
        <v/>
      </c>
      <c r="AP45" s="668" t="str">
        <f t="shared" si="10"/>
        <v/>
      </c>
      <c r="AQ45" s="668" t="str">
        <f t="shared" si="11"/>
        <v/>
      </c>
      <c r="AR45" s="668" t="str">
        <f t="shared" si="12"/>
        <v/>
      </c>
      <c r="AS45" s="668" t="str">
        <f t="shared" si="13"/>
        <v/>
      </c>
      <c r="AT45" s="668" t="str">
        <f t="shared" si="14"/>
        <v/>
      </c>
      <c r="AU45" s="668" t="str">
        <f t="shared" si="15"/>
        <v/>
      </c>
      <c r="AV45" s="668" t="str">
        <f t="shared" si="16"/>
        <v/>
      </c>
      <c r="AW45" s="668" t="str">
        <f t="shared" si="17"/>
        <v/>
      </c>
      <c r="AX45" s="668" t="str">
        <f t="shared" si="18"/>
        <v/>
      </c>
      <c r="AY45" s="668" t="str">
        <f t="shared" si="19"/>
        <v/>
      </c>
      <c r="AZ45" s="668" t="str">
        <f t="shared" si="20"/>
        <v/>
      </c>
      <c r="BA45" s="668" t="str">
        <f t="shared" si="21"/>
        <v/>
      </c>
      <c r="BB45" s="668" t="str">
        <f t="shared" si="22"/>
        <v/>
      </c>
      <c r="BC45" s="668" t="str">
        <f t="shared" si="23"/>
        <v/>
      </c>
      <c r="BD45"/>
      <c r="BE45"/>
      <c r="BF45"/>
      <c r="BG45"/>
    </row>
    <row r="46" spans="1:60" ht="45.75">
      <c r="A46" s="2257"/>
      <c r="C46" s="42">
        <f>+PP!B64</f>
        <v>41</v>
      </c>
      <c r="D46" s="164" t="str">
        <f>+PP!C64</f>
        <v>TENTACULO C/B S/V SR 100-500 g/pza</v>
      </c>
      <c r="E46" s="2013"/>
      <c r="F46" s="1802"/>
      <c r="G46" s="1802"/>
      <c r="H46" s="1802"/>
      <c r="I46" s="1802"/>
      <c r="J46" s="1802"/>
      <c r="K46" s="1802"/>
      <c r="L46" s="1802"/>
      <c r="M46" s="1802"/>
      <c r="N46" s="1802"/>
      <c r="O46" s="1802"/>
      <c r="P46" s="1802"/>
      <c r="Q46" s="1802"/>
      <c r="R46" s="1802"/>
      <c r="S46" s="1847"/>
      <c r="T46" s="1847"/>
      <c r="U46" s="1847"/>
      <c r="V46" s="1847"/>
      <c r="W46" s="1847"/>
      <c r="X46" s="388"/>
      <c r="Y46" s="388"/>
      <c r="Z46" s="388"/>
      <c r="AA46" s="276"/>
      <c r="AB46" s="1392">
        <f t="shared" si="32"/>
        <v>0</v>
      </c>
      <c r="AC46" s="149">
        <f t="shared" si="0"/>
        <v>0</v>
      </c>
      <c r="AD46" s="146">
        <f t="shared" si="1"/>
        <v>0</v>
      </c>
      <c r="AE46" s="574"/>
      <c r="AF46"/>
      <c r="AG46"/>
      <c r="AH46" s="668" t="str">
        <f t="shared" si="2"/>
        <v/>
      </c>
      <c r="AI46" s="668" t="str">
        <f t="shared" si="3"/>
        <v/>
      </c>
      <c r="AJ46" s="668" t="str">
        <f t="shared" si="4"/>
        <v/>
      </c>
      <c r="AK46" s="668" t="str">
        <f t="shared" si="5"/>
        <v/>
      </c>
      <c r="AL46" s="668" t="str">
        <f t="shared" si="6"/>
        <v/>
      </c>
      <c r="AM46" s="668" t="str">
        <f t="shared" si="7"/>
        <v/>
      </c>
      <c r="AN46" s="668" t="str">
        <f t="shared" si="8"/>
        <v/>
      </c>
      <c r="AO46" s="668" t="str">
        <f t="shared" si="9"/>
        <v/>
      </c>
      <c r="AP46" s="668" t="str">
        <f t="shared" si="10"/>
        <v/>
      </c>
      <c r="AQ46" s="668" t="str">
        <f t="shared" si="11"/>
        <v/>
      </c>
      <c r="AR46" s="668" t="str">
        <f t="shared" si="12"/>
        <v/>
      </c>
      <c r="AS46" s="668" t="str">
        <f t="shared" si="13"/>
        <v/>
      </c>
      <c r="AT46" s="668" t="str">
        <f t="shared" si="14"/>
        <v/>
      </c>
      <c r="AU46" s="668" t="str">
        <f t="shared" si="15"/>
        <v/>
      </c>
      <c r="AV46" s="668" t="str">
        <f t="shared" si="16"/>
        <v/>
      </c>
      <c r="AW46" s="668" t="str">
        <f t="shared" si="17"/>
        <v/>
      </c>
      <c r="AX46" s="668" t="str">
        <f t="shared" si="18"/>
        <v/>
      </c>
      <c r="AY46" s="668" t="str">
        <f t="shared" si="19"/>
        <v/>
      </c>
      <c r="AZ46" s="668" t="str">
        <f t="shared" si="20"/>
        <v/>
      </c>
      <c r="BA46" s="668" t="str">
        <f t="shared" si="21"/>
        <v/>
      </c>
      <c r="BB46" s="668" t="str">
        <f t="shared" si="22"/>
        <v/>
      </c>
      <c r="BC46" s="668" t="str">
        <f t="shared" si="23"/>
        <v/>
      </c>
      <c r="BD46"/>
      <c r="BE46"/>
      <c r="BF46"/>
      <c r="BG46"/>
    </row>
    <row r="47" spans="1:60" ht="45.75">
      <c r="A47" s="2257"/>
      <c r="C47" s="42">
        <f>+PP!B65</f>
        <v>42</v>
      </c>
      <c r="D47" s="164" t="str">
        <f>+PP!C65</f>
        <v>TENTACULO C/B S/V SR 300-500 g/pza</v>
      </c>
      <c r="E47" s="2013"/>
      <c r="F47" s="1802"/>
      <c r="G47" s="1802"/>
      <c r="H47" s="1802"/>
      <c r="I47" s="1802"/>
      <c r="J47" s="1802"/>
      <c r="K47" s="1802"/>
      <c r="L47" s="1802"/>
      <c r="M47" s="1802"/>
      <c r="N47" s="1802"/>
      <c r="O47" s="1802"/>
      <c r="P47" s="1802"/>
      <c r="Q47" s="1802"/>
      <c r="R47" s="1802"/>
      <c r="S47" s="1847"/>
      <c r="T47" s="1847"/>
      <c r="U47" s="1847"/>
      <c r="V47" s="1847"/>
      <c r="W47" s="1847"/>
      <c r="X47" s="388"/>
      <c r="Y47" s="388"/>
      <c r="Z47" s="388"/>
      <c r="AA47" s="276"/>
      <c r="AB47" s="1392">
        <f t="shared" si="32"/>
        <v>0</v>
      </c>
      <c r="AC47" s="149">
        <f t="shared" si="0"/>
        <v>0</v>
      </c>
      <c r="AD47" s="146">
        <f t="shared" si="1"/>
        <v>0</v>
      </c>
      <c r="AE47" s="574"/>
      <c r="AF47"/>
      <c r="AG47"/>
      <c r="AH47" s="668" t="str">
        <f t="shared" si="2"/>
        <v/>
      </c>
      <c r="AI47" s="668" t="str">
        <f t="shared" si="3"/>
        <v/>
      </c>
      <c r="AJ47" s="668" t="str">
        <f t="shared" si="4"/>
        <v/>
      </c>
      <c r="AK47" s="668" t="str">
        <f t="shared" si="5"/>
        <v/>
      </c>
      <c r="AL47" s="668" t="str">
        <f t="shared" si="6"/>
        <v/>
      </c>
      <c r="AM47" s="668" t="str">
        <f t="shared" si="7"/>
        <v/>
      </c>
      <c r="AN47" s="668" t="str">
        <f t="shared" si="8"/>
        <v/>
      </c>
      <c r="AO47" s="668" t="str">
        <f t="shared" si="9"/>
        <v/>
      </c>
      <c r="AP47" s="668" t="str">
        <f t="shared" si="10"/>
        <v/>
      </c>
      <c r="AQ47" s="668" t="str">
        <f t="shared" si="11"/>
        <v/>
      </c>
      <c r="AR47" s="668" t="str">
        <f t="shared" si="12"/>
        <v/>
      </c>
      <c r="AS47" s="668" t="str">
        <f t="shared" si="13"/>
        <v/>
      </c>
      <c r="AT47" s="668" t="str">
        <f t="shared" si="14"/>
        <v/>
      </c>
      <c r="AU47" s="668" t="str">
        <f t="shared" si="15"/>
        <v/>
      </c>
      <c r="AV47" s="668" t="str">
        <f t="shared" si="16"/>
        <v/>
      </c>
      <c r="AW47" s="668" t="str">
        <f t="shared" si="17"/>
        <v/>
      </c>
      <c r="AX47" s="668" t="str">
        <f t="shared" si="18"/>
        <v/>
      </c>
      <c r="AY47" s="668" t="str">
        <f t="shared" si="19"/>
        <v/>
      </c>
      <c r="AZ47" s="668" t="str">
        <f t="shared" si="20"/>
        <v/>
      </c>
      <c r="BA47" s="668" t="str">
        <f t="shared" si="21"/>
        <v/>
      </c>
      <c r="BB47" s="668" t="str">
        <f t="shared" si="22"/>
        <v/>
      </c>
      <c r="BC47" s="668" t="str">
        <f t="shared" si="23"/>
        <v/>
      </c>
      <c r="BD47"/>
      <c r="BE47"/>
      <c r="BF47"/>
      <c r="BG47"/>
    </row>
    <row r="48" spans="1:60" ht="67.5">
      <c r="A48" s="2257"/>
      <c r="C48" s="42">
        <f>+PP!B66</f>
        <v>43</v>
      </c>
      <c r="D48" s="164" t="str">
        <f>+PP!C66</f>
        <v>TENTACULO C/B C/V SR 500-1000 g/pza (SUCIO)</v>
      </c>
      <c r="E48" s="2013"/>
      <c r="F48" s="1802"/>
      <c r="G48" s="1802"/>
      <c r="H48" s="1802"/>
      <c r="I48" s="1802"/>
      <c r="J48" s="1802"/>
      <c r="K48" s="1802"/>
      <c r="L48" s="1802"/>
      <c r="M48" s="1802"/>
      <c r="N48" s="1802"/>
      <c r="O48" s="1802"/>
      <c r="P48" s="1802"/>
      <c r="Q48" s="1802"/>
      <c r="R48" s="1802"/>
      <c r="S48" s="1847"/>
      <c r="T48" s="1847"/>
      <c r="U48" s="1847"/>
      <c r="V48" s="1847"/>
      <c r="W48" s="1847"/>
      <c r="X48" s="388"/>
      <c r="Y48" s="388"/>
      <c r="Z48" s="388"/>
      <c r="AA48" s="276"/>
      <c r="AB48" s="1392">
        <f t="shared" si="32"/>
        <v>0</v>
      </c>
      <c r="AC48" s="149">
        <f t="shared" si="0"/>
        <v>0</v>
      </c>
      <c r="AD48" s="146">
        <f t="shared" si="1"/>
        <v>0</v>
      </c>
      <c r="AE48" s="574"/>
      <c r="AF48"/>
      <c r="AG48"/>
      <c r="AH48" s="668" t="str">
        <f t="shared" si="2"/>
        <v/>
      </c>
      <c r="AI48" s="668" t="str">
        <f t="shared" si="3"/>
        <v/>
      </c>
      <c r="AJ48" s="668" t="str">
        <f t="shared" si="4"/>
        <v/>
      </c>
      <c r="AK48" s="668" t="str">
        <f t="shared" si="5"/>
        <v/>
      </c>
      <c r="AL48" s="668" t="str">
        <f t="shared" si="6"/>
        <v/>
      </c>
      <c r="AM48" s="668" t="str">
        <f t="shared" si="7"/>
        <v/>
      </c>
      <c r="AN48" s="668" t="str">
        <f t="shared" si="8"/>
        <v/>
      </c>
      <c r="AO48" s="668" t="str">
        <f t="shared" si="9"/>
        <v/>
      </c>
      <c r="AP48" s="668" t="str">
        <f t="shared" si="10"/>
        <v/>
      </c>
      <c r="AQ48" s="668" t="str">
        <f t="shared" si="11"/>
        <v/>
      </c>
      <c r="AR48" s="668" t="str">
        <f t="shared" si="12"/>
        <v/>
      </c>
      <c r="AS48" s="668" t="str">
        <f t="shared" si="13"/>
        <v/>
      </c>
      <c r="AT48" s="668" t="str">
        <f t="shared" si="14"/>
        <v/>
      </c>
      <c r="AU48" s="668" t="str">
        <f t="shared" si="15"/>
        <v/>
      </c>
      <c r="AV48" s="668" t="str">
        <f t="shared" si="16"/>
        <v/>
      </c>
      <c r="AW48" s="668" t="str">
        <f t="shared" si="17"/>
        <v/>
      </c>
      <c r="AX48" s="668" t="str">
        <f t="shared" si="18"/>
        <v/>
      </c>
      <c r="AY48" s="668" t="str">
        <f t="shared" si="19"/>
        <v/>
      </c>
      <c r="AZ48" s="668" t="str">
        <f t="shared" si="20"/>
        <v/>
      </c>
      <c r="BA48" s="668" t="str">
        <f t="shared" si="21"/>
        <v/>
      </c>
      <c r="BB48" s="668" t="str">
        <f t="shared" si="22"/>
        <v/>
      </c>
      <c r="BC48" s="668" t="str">
        <f t="shared" si="23"/>
        <v/>
      </c>
      <c r="BD48"/>
      <c r="BE48"/>
      <c r="BF48"/>
      <c r="BG48"/>
    </row>
    <row r="49" spans="1:93" ht="45.75">
      <c r="A49" s="2257"/>
      <c r="C49" s="42">
        <f>+PP!B67</f>
        <v>44</v>
      </c>
      <c r="D49" s="164" t="str">
        <f>+PP!C67</f>
        <v>TENTACULO C/B S/V SR 500-1000 g/pza</v>
      </c>
      <c r="E49" s="2013"/>
      <c r="F49" s="1802"/>
      <c r="G49" s="1802"/>
      <c r="H49" s="1802"/>
      <c r="I49" s="1802"/>
      <c r="J49" s="1802"/>
      <c r="K49" s="1802"/>
      <c r="L49" s="1802"/>
      <c r="M49" s="1802"/>
      <c r="N49" s="1802"/>
      <c r="O49" s="1802"/>
      <c r="P49" s="1802"/>
      <c r="Q49" s="1802"/>
      <c r="R49" s="1802"/>
      <c r="S49" s="1847"/>
      <c r="T49" s="1847"/>
      <c r="U49" s="1847"/>
      <c r="V49" s="1847"/>
      <c r="W49" s="1847"/>
      <c r="X49" s="388"/>
      <c r="Y49" s="388"/>
      <c r="Z49" s="388"/>
      <c r="AA49" s="276"/>
      <c r="AB49" s="1392">
        <f t="shared" si="32"/>
        <v>0</v>
      </c>
      <c r="AC49" s="149">
        <f t="shared" si="0"/>
        <v>0</v>
      </c>
      <c r="AD49" s="146">
        <f t="shared" si="1"/>
        <v>0</v>
      </c>
      <c r="AE49" s="574"/>
      <c r="AF49"/>
      <c r="AG49"/>
      <c r="AH49" s="668" t="str">
        <f t="shared" si="2"/>
        <v/>
      </c>
      <c r="AI49" s="668" t="str">
        <f t="shared" si="3"/>
        <v/>
      </c>
      <c r="AJ49" s="668" t="str">
        <f t="shared" si="4"/>
        <v/>
      </c>
      <c r="AK49" s="668" t="str">
        <f t="shared" si="5"/>
        <v/>
      </c>
      <c r="AL49" s="668" t="str">
        <f t="shared" si="6"/>
        <v/>
      </c>
      <c r="AM49" s="668" t="str">
        <f t="shared" si="7"/>
        <v/>
      </c>
      <c r="AN49" s="668" t="str">
        <f t="shared" si="8"/>
        <v/>
      </c>
      <c r="AO49" s="668" t="str">
        <f t="shared" si="9"/>
        <v/>
      </c>
      <c r="AP49" s="668" t="str">
        <f t="shared" si="10"/>
        <v/>
      </c>
      <c r="AQ49" s="668" t="str">
        <f t="shared" si="11"/>
        <v/>
      </c>
      <c r="AR49" s="668" t="str">
        <f t="shared" si="12"/>
        <v/>
      </c>
      <c r="AS49" s="668" t="str">
        <f t="shared" si="13"/>
        <v/>
      </c>
      <c r="AT49" s="668" t="str">
        <f t="shared" si="14"/>
        <v/>
      </c>
      <c r="AU49" s="668" t="str">
        <f t="shared" si="15"/>
        <v/>
      </c>
      <c r="AV49" s="668" t="str">
        <f t="shared" si="16"/>
        <v/>
      </c>
      <c r="AW49" s="668" t="str">
        <f t="shared" si="17"/>
        <v/>
      </c>
      <c r="AX49" s="668" t="str">
        <f t="shared" si="18"/>
        <v/>
      </c>
      <c r="AY49" s="668" t="str">
        <f t="shared" si="19"/>
        <v/>
      </c>
      <c r="AZ49" s="668" t="str">
        <f t="shared" si="20"/>
        <v/>
      </c>
      <c r="BA49" s="668" t="str">
        <f t="shared" si="21"/>
        <v/>
      </c>
      <c r="BB49" s="668" t="str">
        <f t="shared" si="22"/>
        <v/>
      </c>
      <c r="BC49" s="668" t="str">
        <f t="shared" si="23"/>
        <v/>
      </c>
      <c r="BD49"/>
      <c r="BE49"/>
      <c r="BF49"/>
      <c r="BG49"/>
    </row>
    <row r="50" spans="1:93" ht="67.5">
      <c r="A50" s="2257"/>
      <c r="C50" s="42">
        <f>+PP!B68</f>
        <v>45</v>
      </c>
      <c r="D50" s="164" t="str">
        <f>+PP!C68</f>
        <v>TENTACULO C/B C/V SR 1.0-2.0 Kg/pza (SUCIO)</v>
      </c>
      <c r="E50" s="2013"/>
      <c r="F50" s="1802"/>
      <c r="G50" s="1802"/>
      <c r="H50" s="1802"/>
      <c r="I50" s="1802"/>
      <c r="J50" s="1802"/>
      <c r="K50" s="1802"/>
      <c r="L50" s="1802"/>
      <c r="M50" s="1802"/>
      <c r="N50" s="1802"/>
      <c r="O50" s="1802"/>
      <c r="P50" s="1802"/>
      <c r="Q50" s="1802"/>
      <c r="R50" s="1802"/>
      <c r="S50" s="1847"/>
      <c r="T50" s="1847"/>
      <c r="U50" s="1847"/>
      <c r="V50" s="1847"/>
      <c r="W50" s="1847"/>
      <c r="X50" s="388"/>
      <c r="Y50" s="388"/>
      <c r="Z50" s="388"/>
      <c r="AA50" s="1873"/>
      <c r="AB50" s="1392">
        <f t="shared" si="32"/>
        <v>0</v>
      </c>
      <c r="AC50" s="149">
        <f t="shared" si="0"/>
        <v>0</v>
      </c>
      <c r="AD50" s="146">
        <f t="shared" si="1"/>
        <v>0</v>
      </c>
      <c r="AE50" s="574"/>
      <c r="AF50"/>
      <c r="AG50"/>
      <c r="AH50" s="668" t="str">
        <f t="shared" si="2"/>
        <v/>
      </c>
      <c r="AI50" s="668" t="str">
        <f t="shared" si="3"/>
        <v/>
      </c>
      <c r="AJ50" s="668" t="str">
        <f t="shared" si="4"/>
        <v/>
      </c>
      <c r="AK50" s="668" t="str">
        <f t="shared" si="5"/>
        <v/>
      </c>
      <c r="AL50" s="668" t="str">
        <f t="shared" si="6"/>
        <v/>
      </c>
      <c r="AM50" s="668" t="str">
        <f t="shared" si="7"/>
        <v/>
      </c>
      <c r="AN50" s="668" t="str">
        <f t="shared" si="8"/>
        <v/>
      </c>
      <c r="AO50" s="668" t="str">
        <f t="shared" si="9"/>
        <v/>
      </c>
      <c r="AP50" s="668" t="str">
        <f t="shared" si="10"/>
        <v/>
      </c>
      <c r="AQ50" s="668" t="str">
        <f t="shared" si="11"/>
        <v/>
      </c>
      <c r="AR50" s="668" t="str">
        <f t="shared" si="12"/>
        <v/>
      </c>
      <c r="AS50" s="668" t="str">
        <f t="shared" si="13"/>
        <v/>
      </c>
      <c r="AT50" s="668" t="str">
        <f t="shared" si="14"/>
        <v/>
      </c>
      <c r="AU50" s="668" t="str">
        <f t="shared" si="15"/>
        <v/>
      </c>
      <c r="AV50" s="668" t="str">
        <f t="shared" si="16"/>
        <v/>
      </c>
      <c r="AW50" s="668" t="str">
        <f t="shared" si="17"/>
        <v/>
      </c>
      <c r="AX50" s="668" t="str">
        <f t="shared" si="18"/>
        <v/>
      </c>
      <c r="AY50" s="668" t="str">
        <f t="shared" si="19"/>
        <v/>
      </c>
      <c r="AZ50" s="668" t="str">
        <f t="shared" si="20"/>
        <v/>
      </c>
      <c r="BA50" s="668" t="str">
        <f t="shared" si="21"/>
        <v/>
      </c>
      <c r="BB50" s="668" t="str">
        <f t="shared" si="22"/>
        <v/>
      </c>
      <c r="BC50" s="668" t="str">
        <f t="shared" si="23"/>
        <v/>
      </c>
      <c r="BD50"/>
      <c r="BE50"/>
      <c r="BF50"/>
      <c r="BG50"/>
    </row>
    <row r="51" spans="1:93" ht="45.75">
      <c r="A51" s="2257"/>
      <c r="C51" s="42">
        <f>+PP!B69</f>
        <v>46</v>
      </c>
      <c r="D51" s="164" t="str">
        <f>+PP!C69</f>
        <v>TENTACULO C/B S/V SR 1.0-2.0 Kg/pza</v>
      </c>
      <c r="E51" s="2013"/>
      <c r="F51" s="1802"/>
      <c r="G51" s="1802"/>
      <c r="H51" s="1802"/>
      <c r="I51" s="1802"/>
      <c r="J51" s="1802"/>
      <c r="K51" s="1802"/>
      <c r="L51" s="1802"/>
      <c r="M51" s="1802"/>
      <c r="N51" s="1802"/>
      <c r="O51" s="1802"/>
      <c r="P51" s="1802"/>
      <c r="Q51" s="1802"/>
      <c r="R51" s="1802"/>
      <c r="S51" s="1847"/>
      <c r="T51" s="1847"/>
      <c r="U51" s="1847"/>
      <c r="V51" s="1847"/>
      <c r="W51" s="1847"/>
      <c r="X51" s="388"/>
      <c r="Y51" s="388"/>
      <c r="Z51" s="388"/>
      <c r="AA51" s="1873"/>
      <c r="AB51" s="1392">
        <f t="shared" si="32"/>
        <v>0</v>
      </c>
      <c r="AC51" s="149">
        <f t="shared" si="0"/>
        <v>0</v>
      </c>
      <c r="AD51" s="146">
        <f t="shared" si="1"/>
        <v>0</v>
      </c>
      <c r="AE51" s="574"/>
      <c r="AF51"/>
      <c r="AG51"/>
      <c r="AH51" s="668" t="str">
        <f t="shared" si="2"/>
        <v/>
      </c>
      <c r="AI51" s="668" t="str">
        <f t="shared" si="3"/>
        <v/>
      </c>
      <c r="AJ51" s="668" t="str">
        <f t="shared" si="4"/>
        <v/>
      </c>
      <c r="AK51" s="668" t="str">
        <f t="shared" si="5"/>
        <v/>
      </c>
      <c r="AL51" s="668" t="str">
        <f t="shared" si="6"/>
        <v/>
      </c>
      <c r="AM51" s="668" t="str">
        <f t="shared" si="7"/>
        <v/>
      </c>
      <c r="AN51" s="668" t="str">
        <f t="shared" si="8"/>
        <v/>
      </c>
      <c r="AO51" s="668" t="str">
        <f t="shared" si="9"/>
        <v/>
      </c>
      <c r="AP51" s="668" t="str">
        <f t="shared" si="10"/>
        <v/>
      </c>
      <c r="AQ51" s="668" t="str">
        <f t="shared" si="11"/>
        <v/>
      </c>
      <c r="AR51" s="668" t="str">
        <f t="shared" si="12"/>
        <v/>
      </c>
      <c r="AS51" s="668" t="str">
        <f t="shared" si="13"/>
        <v/>
      </c>
      <c r="AT51" s="668" t="str">
        <f t="shared" si="14"/>
        <v/>
      </c>
      <c r="AU51" s="668" t="str">
        <f t="shared" si="15"/>
        <v/>
      </c>
      <c r="AV51" s="668" t="str">
        <f t="shared" si="16"/>
        <v/>
      </c>
      <c r="AW51" s="668" t="str">
        <f t="shared" si="17"/>
        <v/>
      </c>
      <c r="AX51" s="668" t="str">
        <f t="shared" si="18"/>
        <v/>
      </c>
      <c r="AY51" s="668" t="str">
        <f t="shared" si="19"/>
        <v/>
      </c>
      <c r="AZ51" s="668" t="str">
        <f t="shared" si="20"/>
        <v/>
      </c>
      <c r="BA51" s="668" t="str">
        <f t="shared" si="21"/>
        <v/>
      </c>
      <c r="BB51" s="668" t="str">
        <f t="shared" si="22"/>
        <v/>
      </c>
      <c r="BC51" s="668" t="str">
        <f t="shared" si="23"/>
        <v/>
      </c>
      <c r="BD51"/>
      <c r="BE51"/>
      <c r="BF51"/>
      <c r="BG51"/>
    </row>
    <row r="52" spans="1:93" ht="46.5" thickBot="1">
      <c r="A52" s="2257"/>
      <c r="C52" s="42">
        <f>+PP!B70</f>
        <v>47</v>
      </c>
      <c r="D52" s="167" t="str">
        <f>+PP!C70</f>
        <v>TENTACULO C/B S/V SR 2 UP Kg/pza</v>
      </c>
      <c r="E52" s="2014"/>
      <c r="F52" s="1829"/>
      <c r="G52" s="1829"/>
      <c r="H52" s="1829"/>
      <c r="I52" s="1829"/>
      <c r="J52" s="1829"/>
      <c r="K52" s="1829"/>
      <c r="L52" s="1829"/>
      <c r="M52" s="1829"/>
      <c r="N52" s="1829"/>
      <c r="O52" s="1829"/>
      <c r="P52" s="1829"/>
      <c r="Q52" s="1829"/>
      <c r="R52" s="1829"/>
      <c r="S52" s="1850"/>
      <c r="T52" s="1850"/>
      <c r="U52" s="1850"/>
      <c r="V52" s="1850"/>
      <c r="W52" s="1850"/>
      <c r="X52" s="1154"/>
      <c r="Y52" s="1154"/>
      <c r="Z52" s="1154"/>
      <c r="AA52" s="2992"/>
      <c r="AB52" s="1821">
        <f t="shared" si="32"/>
        <v>0</v>
      </c>
      <c r="AC52" s="155">
        <f t="shared" si="0"/>
        <v>0</v>
      </c>
      <c r="AD52" s="156">
        <f t="shared" si="1"/>
        <v>0</v>
      </c>
      <c r="AE52" s="574"/>
      <c r="AF52"/>
      <c r="AG52"/>
      <c r="AH52" s="668" t="str">
        <f t="shared" si="2"/>
        <v/>
      </c>
      <c r="AI52" s="668" t="str">
        <f t="shared" si="3"/>
        <v/>
      </c>
      <c r="AJ52" s="668" t="str">
        <f t="shared" si="4"/>
        <v/>
      </c>
      <c r="AK52" s="668" t="str">
        <f t="shared" si="5"/>
        <v/>
      </c>
      <c r="AL52" s="668" t="str">
        <f t="shared" si="6"/>
        <v/>
      </c>
      <c r="AM52" s="668" t="str">
        <f t="shared" si="7"/>
        <v/>
      </c>
      <c r="AN52" s="668" t="str">
        <f t="shared" si="8"/>
        <v/>
      </c>
      <c r="AO52" s="668" t="str">
        <f t="shared" si="9"/>
        <v/>
      </c>
      <c r="AP52" s="668" t="str">
        <f t="shared" si="10"/>
        <v/>
      </c>
      <c r="AQ52" s="668" t="str">
        <f t="shared" si="11"/>
        <v/>
      </c>
      <c r="AR52" s="668" t="str">
        <f t="shared" si="12"/>
        <v/>
      </c>
      <c r="AS52" s="668" t="str">
        <f t="shared" si="13"/>
        <v/>
      </c>
      <c r="AT52" s="668" t="str">
        <f t="shared" si="14"/>
        <v/>
      </c>
      <c r="AU52" s="668" t="str">
        <f t="shared" si="15"/>
        <v/>
      </c>
      <c r="AV52" s="668" t="str">
        <f t="shared" si="16"/>
        <v/>
      </c>
      <c r="AW52" s="668" t="str">
        <f t="shared" si="17"/>
        <v/>
      </c>
      <c r="AX52" s="668" t="str">
        <f t="shared" si="18"/>
        <v/>
      </c>
      <c r="AY52" s="668" t="str">
        <f t="shared" si="19"/>
        <v/>
      </c>
      <c r="AZ52" s="668" t="str">
        <f t="shared" si="20"/>
        <v/>
      </c>
      <c r="BA52" s="668" t="str">
        <f t="shared" si="21"/>
        <v/>
      </c>
      <c r="BB52" s="668" t="str">
        <f t="shared" si="22"/>
        <v/>
      </c>
      <c r="BC52" s="668" t="str">
        <f t="shared" si="23"/>
        <v/>
      </c>
      <c r="BD52"/>
      <c r="BE52"/>
      <c r="BF52"/>
      <c r="BG52"/>
    </row>
    <row r="53" spans="1:93" ht="46.5" thickBot="1">
      <c r="A53" s="2257"/>
      <c r="C53" s="40">
        <f>+PP!B71</f>
        <v>48</v>
      </c>
      <c r="D53" s="165" t="str">
        <f>+PP!C71</f>
        <v>TUBO ALETA 500-1000 g/pza</v>
      </c>
      <c r="E53" s="2979"/>
      <c r="F53" s="2980"/>
      <c r="G53" s="2980"/>
      <c r="H53" s="2980"/>
      <c r="I53" s="2980"/>
      <c r="J53" s="2980"/>
      <c r="K53" s="2980"/>
      <c r="L53" s="2980"/>
      <c r="M53" s="2980"/>
      <c r="N53" s="2980"/>
      <c r="O53" s="2980"/>
      <c r="P53" s="2980"/>
      <c r="Q53" s="2980"/>
      <c r="R53" s="2981"/>
      <c r="S53" s="2981"/>
      <c r="T53" s="2981"/>
      <c r="U53" s="2981"/>
      <c r="V53" s="2981"/>
      <c r="W53" s="2981"/>
      <c r="X53" s="1156"/>
      <c r="Y53" s="1156"/>
      <c r="Z53" s="1156"/>
      <c r="AA53" s="2996"/>
      <c r="AB53" s="1697">
        <f t="shared" si="32"/>
        <v>0</v>
      </c>
      <c r="AC53" s="153">
        <f t="shared" si="0"/>
        <v>0</v>
      </c>
      <c r="AD53" s="154">
        <f t="shared" si="1"/>
        <v>0</v>
      </c>
      <c r="AE53" s="574"/>
      <c r="AF53"/>
      <c r="AG53"/>
      <c r="AH53" s="668" t="str">
        <f t="shared" si="2"/>
        <v/>
      </c>
      <c r="AI53" s="668" t="str">
        <f t="shared" si="3"/>
        <v/>
      </c>
      <c r="AJ53" s="668" t="str">
        <f t="shared" si="4"/>
        <v/>
      </c>
      <c r="AK53" s="668" t="str">
        <f t="shared" si="5"/>
        <v/>
      </c>
      <c r="AL53" s="668" t="str">
        <f t="shared" si="6"/>
        <v/>
      </c>
      <c r="AM53" s="668" t="str">
        <f t="shared" si="7"/>
        <v/>
      </c>
      <c r="AN53" s="668" t="str">
        <f t="shared" si="8"/>
        <v/>
      </c>
      <c r="AO53" s="668" t="str">
        <f t="shared" si="9"/>
        <v/>
      </c>
      <c r="AP53" s="668" t="str">
        <f t="shared" si="10"/>
        <v/>
      </c>
      <c r="AQ53" s="668" t="str">
        <f t="shared" si="11"/>
        <v/>
      </c>
      <c r="AR53" s="668" t="str">
        <f t="shared" si="12"/>
        <v/>
      </c>
      <c r="AS53" s="668" t="str">
        <f t="shared" si="13"/>
        <v/>
      </c>
      <c r="AT53" s="668" t="str">
        <f t="shared" si="14"/>
        <v/>
      </c>
      <c r="AU53" s="668" t="str">
        <f t="shared" si="15"/>
        <v/>
      </c>
      <c r="AV53" s="668" t="str">
        <f t="shared" si="16"/>
        <v/>
      </c>
      <c r="AW53" s="668" t="str">
        <f t="shared" si="17"/>
        <v/>
      </c>
      <c r="AX53" s="668" t="str">
        <f t="shared" si="18"/>
        <v/>
      </c>
      <c r="AY53" s="668" t="str">
        <f t="shared" si="19"/>
        <v/>
      </c>
      <c r="AZ53" s="668" t="str">
        <f t="shared" si="20"/>
        <v/>
      </c>
      <c r="BA53" s="668" t="str">
        <f t="shared" si="21"/>
        <v/>
      </c>
      <c r="BB53" s="668" t="str">
        <f t="shared" si="22"/>
        <v/>
      </c>
      <c r="BC53" s="668" t="str">
        <f t="shared" si="23"/>
        <v/>
      </c>
      <c r="BD53"/>
      <c r="BE53"/>
      <c r="BF53"/>
      <c r="BG53"/>
    </row>
    <row r="54" spans="1:93" ht="70.150000000000006" customHeight="1" thickBot="1">
      <c r="A54" s="2257"/>
      <c r="D54" s="1791" t="s">
        <v>38</v>
      </c>
      <c r="E54" s="1832">
        <f t="shared" ref="E54:AD54" si="34">SUM(E6:E53)</f>
        <v>0</v>
      </c>
      <c r="F54" s="1832">
        <f t="shared" si="34"/>
        <v>0</v>
      </c>
      <c r="G54" s="1832">
        <f t="shared" si="34"/>
        <v>0</v>
      </c>
      <c r="H54" s="1832">
        <f t="shared" si="34"/>
        <v>0</v>
      </c>
      <c r="I54" s="1832">
        <f t="shared" si="34"/>
        <v>0</v>
      </c>
      <c r="J54" s="1832">
        <f t="shared" si="34"/>
        <v>0</v>
      </c>
      <c r="K54" s="1832">
        <f t="shared" si="34"/>
        <v>0</v>
      </c>
      <c r="L54" s="1832">
        <f t="shared" si="34"/>
        <v>0</v>
      </c>
      <c r="M54" s="1832">
        <f t="shared" si="34"/>
        <v>0</v>
      </c>
      <c r="N54" s="1832">
        <f t="shared" si="34"/>
        <v>0</v>
      </c>
      <c r="O54" s="1832">
        <f t="shared" si="34"/>
        <v>0</v>
      </c>
      <c r="P54" s="1832">
        <f t="shared" si="34"/>
        <v>0</v>
      </c>
      <c r="Q54" s="1832">
        <f t="shared" si="34"/>
        <v>0</v>
      </c>
      <c r="R54" s="1832">
        <f t="shared" si="34"/>
        <v>0</v>
      </c>
      <c r="S54" s="1832">
        <f t="shared" si="34"/>
        <v>0</v>
      </c>
      <c r="T54" s="1832">
        <f t="shared" si="34"/>
        <v>0</v>
      </c>
      <c r="U54" s="1832">
        <f t="shared" si="34"/>
        <v>0</v>
      </c>
      <c r="V54" s="1832">
        <f t="shared" si="34"/>
        <v>0</v>
      </c>
      <c r="W54" s="1832">
        <f t="shared" si="34"/>
        <v>0</v>
      </c>
      <c r="X54" s="1832">
        <f t="shared" si="34"/>
        <v>0</v>
      </c>
      <c r="Y54" s="1832">
        <f t="shared" si="34"/>
        <v>0</v>
      </c>
      <c r="Z54" s="1832">
        <f t="shared" si="34"/>
        <v>0</v>
      </c>
      <c r="AA54" s="2997">
        <f t="shared" si="34"/>
        <v>0</v>
      </c>
      <c r="AB54" s="540">
        <f t="shared" si="34"/>
        <v>0</v>
      </c>
      <c r="AC54" s="2998">
        <f t="shared" si="34"/>
        <v>0</v>
      </c>
      <c r="AD54" s="59">
        <f t="shared" si="34"/>
        <v>0</v>
      </c>
      <c r="AE54" s="592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93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1718"/>
      <c r="V55" s="1718"/>
      <c r="W55" s="1718"/>
      <c r="X55" s="1718"/>
      <c r="Y55" s="30"/>
      <c r="Z55" s="30"/>
    </row>
    <row r="56" spans="1:93" ht="46.5" customHeight="1" thickBot="1">
      <c r="D56" s="46" t="s">
        <v>120</v>
      </c>
      <c r="E56" s="2258" t="s">
        <v>121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60"/>
      <c r="S56" s="2260"/>
      <c r="T56" s="2260"/>
      <c r="U56" s="2260"/>
      <c r="V56" s="2260"/>
      <c r="W56" s="2260"/>
      <c r="X56" s="2260"/>
      <c r="Y56" s="2259"/>
      <c r="Z56" s="2259"/>
      <c r="AA56" s="2535"/>
      <c r="CN56" s="33" t="s">
        <v>77</v>
      </c>
      <c r="CO56" s="31" t="str">
        <f>IF(PP!K20=0,"",AD54/PP!K20*100)</f>
        <v/>
      </c>
    </row>
    <row r="57" spans="1:93" ht="88.5">
      <c r="J57" s="30"/>
      <c r="K57" s="30"/>
      <c r="L57" s="30"/>
      <c r="M57" s="30"/>
      <c r="N57" s="30"/>
      <c r="O57" s="30"/>
      <c r="P57" s="30"/>
      <c r="Q57" s="30"/>
      <c r="R57" s="452"/>
      <c r="S57" s="452"/>
      <c r="T57" s="452"/>
      <c r="U57" s="452"/>
      <c r="V57" s="1584"/>
      <c r="W57" s="452"/>
      <c r="X57" s="452"/>
    </row>
    <row r="58" spans="1:93" ht="88.5">
      <c r="E58" s="1194"/>
      <c r="F58" s="1194"/>
      <c r="G58" s="1194"/>
      <c r="H58" s="1194"/>
      <c r="I58" s="1194"/>
      <c r="J58" s="1194"/>
      <c r="K58" s="1194"/>
      <c r="L58" s="1194"/>
      <c r="M58" s="1194"/>
      <c r="N58" s="1194"/>
      <c r="O58" s="1194"/>
      <c r="P58" s="1194"/>
      <c r="Q58" s="1194"/>
      <c r="R58" s="1584"/>
      <c r="S58" s="1584"/>
      <c r="T58" s="1584"/>
      <c r="U58" s="1584"/>
      <c r="V58" s="452"/>
      <c r="W58" s="1584"/>
      <c r="X58" s="1584"/>
      <c r="Y58" s="1194"/>
      <c r="Z58" s="1194"/>
      <c r="AA58" s="1194"/>
      <c r="AB58" s="1194"/>
      <c r="AC58" s="1194"/>
      <c r="AD58" s="1194"/>
    </row>
    <row r="59" spans="1:93" ht="89.25" thickBot="1">
      <c r="E59" s="1194"/>
      <c r="F59" s="1194"/>
      <c r="G59" s="1194"/>
      <c r="H59" s="1194"/>
      <c r="I59" s="1194"/>
      <c r="J59" s="1194"/>
      <c r="K59" s="1194"/>
      <c r="L59" s="1194"/>
      <c r="M59" s="1194"/>
      <c r="N59" s="1194"/>
      <c r="O59" s="1194"/>
      <c r="P59" s="1194"/>
      <c r="Q59" s="1194"/>
      <c r="R59" s="1584"/>
      <c r="S59" s="1584"/>
      <c r="T59" s="1584"/>
      <c r="U59" s="1584"/>
      <c r="V59" s="1584"/>
      <c r="W59" s="1584"/>
      <c r="X59" s="1584"/>
      <c r="Y59" s="1194"/>
      <c r="Z59" s="1194"/>
      <c r="AA59" s="1194"/>
      <c r="AB59" s="1194"/>
      <c r="AC59" s="1194"/>
      <c r="AD59" s="1194"/>
    </row>
    <row r="60" spans="1:93" ht="33.950000000000003" customHeight="1" thickTop="1" thickBot="1">
      <c r="D60" s="2526" t="s">
        <v>657</v>
      </c>
      <c r="E60" s="2527"/>
      <c r="F60" s="2527"/>
      <c r="G60" s="2527"/>
      <c r="H60" s="2527"/>
      <c r="I60" s="2527"/>
      <c r="J60" s="2528"/>
      <c r="K60" s="28"/>
      <c r="O60" s="1194"/>
      <c r="P60" s="1194"/>
      <c r="Q60" s="2595" t="s">
        <v>604</v>
      </c>
      <c r="R60" s="2596"/>
      <c r="S60" s="2597"/>
      <c r="T60" s="1584"/>
      <c r="U60" s="1584"/>
      <c r="V60" s="1584"/>
      <c r="W60" s="1584"/>
      <c r="X60" s="1584"/>
      <c r="Y60" s="1194"/>
      <c r="Z60" s="1194"/>
      <c r="AA60" s="1194"/>
      <c r="AB60" s="1194"/>
      <c r="AC60" s="1194"/>
      <c r="AD60" s="1194"/>
    </row>
    <row r="61" spans="1:93" ht="30.95" customHeight="1">
      <c r="D61" s="2532" t="s">
        <v>15</v>
      </c>
      <c r="E61" s="2533"/>
      <c r="F61" s="2533"/>
      <c r="G61" s="2533"/>
      <c r="H61" s="1466" t="s">
        <v>186</v>
      </c>
      <c r="I61" s="1466" t="s">
        <v>674</v>
      </c>
      <c r="J61" s="1466" t="s">
        <v>667</v>
      </c>
      <c r="K61" s="1466" t="s">
        <v>671</v>
      </c>
      <c r="L61" s="1466" t="s">
        <v>672</v>
      </c>
      <c r="M61" s="1469" t="s">
        <v>3</v>
      </c>
      <c r="N61" s="1463"/>
      <c r="P61" s="1194"/>
      <c r="Q61" s="2591" t="s">
        <v>658</v>
      </c>
      <c r="R61" s="2598"/>
      <c r="S61" s="1912">
        <f>+AD54</f>
        <v>0</v>
      </c>
      <c r="T61" s="1584"/>
      <c r="U61" s="1584"/>
      <c r="V61" s="1584"/>
      <c r="W61" s="1584"/>
      <c r="X61" s="1584"/>
      <c r="Y61" s="1194"/>
      <c r="Z61" s="1194"/>
      <c r="AA61" s="1194"/>
      <c r="AB61" s="1194"/>
      <c r="AC61" s="1194"/>
      <c r="AD61" s="1194"/>
    </row>
    <row r="62" spans="1:93" ht="30.95" customHeight="1">
      <c r="D62" s="2521">
        <v>1</v>
      </c>
      <c r="E62" s="2522"/>
      <c r="F62" s="2522"/>
      <c r="G62" s="2522"/>
      <c r="H62" s="1449" t="str">
        <f>+'T1'!E62</f>
        <v xml:space="preserve">ANDRES </v>
      </c>
      <c r="I62" s="1443"/>
      <c r="J62" s="1443"/>
      <c r="K62" s="1443"/>
      <c r="L62" s="1443"/>
      <c r="M62" s="1468">
        <f>SUM(I62+J62+K62+L62)</f>
        <v>0</v>
      </c>
      <c r="N62" s="1464"/>
      <c r="P62" s="1194"/>
      <c r="Q62" s="2591" t="s">
        <v>8</v>
      </c>
      <c r="R62" s="2598"/>
      <c r="S62" s="1912">
        <f>M73</f>
        <v>0</v>
      </c>
      <c r="T62" s="1584"/>
      <c r="U62" s="1584"/>
      <c r="V62" s="1584"/>
      <c r="W62" s="1584"/>
      <c r="X62" s="1584"/>
      <c r="Y62" s="1194"/>
      <c r="Z62" s="1194"/>
      <c r="AA62" s="1194"/>
      <c r="AB62" s="1194"/>
      <c r="AC62" s="1194"/>
      <c r="AD62" s="1194"/>
    </row>
    <row r="63" spans="1:93" ht="30.95" customHeight="1">
      <c r="D63" s="2521">
        <v>2</v>
      </c>
      <c r="E63" s="2522"/>
      <c r="F63" s="2522"/>
      <c r="G63" s="2522"/>
      <c r="H63" s="1449" t="str">
        <f>+'T1'!E63</f>
        <v xml:space="preserve">FLOR </v>
      </c>
      <c r="I63" s="1444"/>
      <c r="J63" s="1444"/>
      <c r="K63" s="1444"/>
      <c r="L63" s="1444"/>
      <c r="M63" s="1468">
        <f t="shared" ref="M63:M72" si="35">SUM(I63+J63+K63+L63)</f>
        <v>0</v>
      </c>
      <c r="N63" s="1464"/>
      <c r="P63" s="1194"/>
      <c r="Q63" s="2591" t="s">
        <v>659</v>
      </c>
      <c r="R63" s="2592"/>
      <c r="S63" s="1913">
        <f>S61-S62</f>
        <v>0</v>
      </c>
      <c r="T63" s="1194"/>
      <c r="U63" s="1194"/>
      <c r="V63" s="1194"/>
      <c r="W63" s="1194"/>
      <c r="X63" s="1194"/>
      <c r="Y63" s="1194"/>
      <c r="Z63" s="1194"/>
      <c r="AA63" s="1194"/>
      <c r="AB63" s="1194"/>
      <c r="AC63" s="1194"/>
      <c r="AD63" s="1194"/>
    </row>
    <row r="64" spans="1:93" ht="30.95" customHeight="1" thickBot="1">
      <c r="D64" s="2521">
        <v>3</v>
      </c>
      <c r="E64" s="2522"/>
      <c r="F64" s="2522"/>
      <c r="G64" s="2522"/>
      <c r="H64" s="1449" t="str">
        <f>+'T1'!E64</f>
        <v>HANNOY</v>
      </c>
      <c r="I64" s="1443"/>
      <c r="J64" s="1443"/>
      <c r="K64" s="1443"/>
      <c r="L64" s="1443"/>
      <c r="M64" s="1468">
        <f t="shared" si="35"/>
        <v>0</v>
      </c>
      <c r="N64" s="1464"/>
      <c r="P64" s="1194"/>
      <c r="Q64" s="2593" t="s">
        <v>449</v>
      </c>
      <c r="R64" s="2594"/>
      <c r="S64" s="1914" t="str">
        <f>IF(S63&lt;0,"SOBRA",IF(S63&gt;0,"FALTA","OK"))</f>
        <v>OK</v>
      </c>
      <c r="T64" s="1194"/>
      <c r="U64" s="1194"/>
      <c r="V64" s="1194"/>
      <c r="W64" s="1194"/>
      <c r="X64" s="1194"/>
      <c r="Y64" s="1194"/>
      <c r="Z64" s="1194"/>
      <c r="AA64" s="1194"/>
      <c r="AB64" s="1194"/>
      <c r="AC64" s="1194"/>
      <c r="AD64" s="1194"/>
    </row>
    <row r="65" spans="4:30" ht="30.95" customHeight="1">
      <c r="D65" s="2521">
        <v>4</v>
      </c>
      <c r="E65" s="2522"/>
      <c r="F65" s="2522"/>
      <c r="G65" s="2522"/>
      <c r="H65" s="1449" t="str">
        <f>+'T1'!E65</f>
        <v>CHERLITA</v>
      </c>
      <c r="I65" s="1443"/>
      <c r="J65" s="1443"/>
      <c r="K65" s="1443"/>
      <c r="L65" s="1443"/>
      <c r="M65" s="1468">
        <f t="shared" si="35"/>
        <v>0</v>
      </c>
      <c r="N65" s="1464"/>
      <c r="P65" s="1194"/>
      <c r="Q65" s="28"/>
      <c r="R65" s="28"/>
      <c r="S65" s="28"/>
      <c r="T65" s="1194"/>
      <c r="U65" s="1194"/>
      <c r="V65" s="1194"/>
      <c r="W65" s="1194"/>
      <c r="X65" s="1194"/>
      <c r="Y65" s="1194"/>
      <c r="Z65" s="1194"/>
      <c r="AA65" s="1194"/>
      <c r="AB65" s="1194"/>
      <c r="AC65" s="1194"/>
      <c r="AD65" s="1194"/>
    </row>
    <row r="66" spans="4:30" ht="33.950000000000003" customHeight="1">
      <c r="D66" s="2521">
        <v>5</v>
      </c>
      <c r="E66" s="2522"/>
      <c r="F66" s="2522"/>
      <c r="G66" s="2522"/>
      <c r="H66" s="1449" t="str">
        <f>+'T1'!E66</f>
        <v>CHARLY</v>
      </c>
      <c r="I66" s="1443"/>
      <c r="J66" s="1443"/>
      <c r="K66" s="1443"/>
      <c r="L66" s="1443"/>
      <c r="M66" s="1468">
        <f t="shared" si="35"/>
        <v>0</v>
      </c>
      <c r="N66" s="1464"/>
      <c r="P66" s="1194"/>
      <c r="Q66" s="2249" t="s">
        <v>660</v>
      </c>
      <c r="R66" s="2250"/>
      <c r="S66" s="2250"/>
      <c r="T66" s="1194"/>
      <c r="U66" s="1194"/>
      <c r="V66" s="1194"/>
      <c r="W66" s="1194"/>
      <c r="X66" s="1194"/>
      <c r="Y66" s="1194"/>
      <c r="Z66" s="1194"/>
      <c r="AA66" s="1194"/>
      <c r="AB66" s="1194"/>
      <c r="AC66" s="1194"/>
      <c r="AD66" s="1194"/>
    </row>
    <row r="67" spans="4:30" ht="33.950000000000003" customHeight="1">
      <c r="D67" s="2521">
        <v>6</v>
      </c>
      <c r="E67" s="2522"/>
      <c r="F67" s="2522"/>
      <c r="G67" s="2522"/>
      <c r="H67" s="1449" t="str">
        <f>+'T1'!E67</f>
        <v>POLANCO</v>
      </c>
      <c r="I67" s="1443"/>
      <c r="J67" s="1443"/>
      <c r="K67" s="1443"/>
      <c r="L67" s="1443"/>
      <c r="M67" s="1468">
        <f t="shared" si="35"/>
        <v>0</v>
      </c>
      <c r="N67" s="1464"/>
      <c r="P67" s="1194"/>
      <c r="Q67" s="2250" t="s">
        <v>662</v>
      </c>
      <c r="R67" s="2250"/>
      <c r="S67" s="2250"/>
      <c r="T67" s="1194"/>
      <c r="U67" s="1194"/>
      <c r="V67" s="1194"/>
      <c r="W67" s="1194"/>
      <c r="X67" s="1194"/>
      <c r="Y67" s="1194"/>
      <c r="Z67" s="1194"/>
      <c r="AA67" s="1194"/>
      <c r="AB67" s="1194"/>
      <c r="AC67" s="1194"/>
      <c r="AD67" s="1194"/>
    </row>
    <row r="68" spans="4:30" ht="33.950000000000003" customHeight="1">
      <c r="D68" s="2521">
        <v>7</v>
      </c>
      <c r="E68" s="2522"/>
      <c r="F68" s="2522"/>
      <c r="G68" s="2522"/>
      <c r="H68" s="1449" t="str">
        <f>+'T1'!E68</f>
        <v>ELIANA</v>
      </c>
      <c r="I68" s="1443"/>
      <c r="J68" s="1443"/>
      <c r="K68" s="1443"/>
      <c r="L68" s="1443"/>
      <c r="M68" s="1468">
        <f t="shared" si="35"/>
        <v>0</v>
      </c>
      <c r="N68" s="1464"/>
      <c r="P68" s="1194"/>
      <c r="Q68" s="1194"/>
      <c r="R68" s="1194"/>
      <c r="S68" s="1194"/>
      <c r="T68" s="1194"/>
      <c r="U68" s="1194"/>
      <c r="V68" s="1194"/>
      <c r="W68" s="1194"/>
      <c r="X68" s="1194"/>
      <c r="Y68" s="1194"/>
      <c r="Z68" s="1194"/>
      <c r="AA68" s="1194"/>
      <c r="AB68" s="1194"/>
      <c r="AC68" s="1194"/>
      <c r="AD68" s="1194"/>
    </row>
    <row r="69" spans="4:30" ht="33.950000000000003" customHeight="1">
      <c r="D69" s="2521">
        <v>8</v>
      </c>
      <c r="E69" s="2522"/>
      <c r="F69" s="2522"/>
      <c r="G69" s="2522"/>
      <c r="H69" s="1449" t="str">
        <f>+'T1'!E69</f>
        <v>ALENET</v>
      </c>
      <c r="I69" s="1443"/>
      <c r="J69" s="1443"/>
      <c r="K69" s="1443"/>
      <c r="L69" s="1443"/>
      <c r="M69" s="1468">
        <f t="shared" si="35"/>
        <v>0</v>
      </c>
      <c r="N69" s="1464"/>
      <c r="P69" s="1194"/>
      <c r="Q69" s="1194"/>
      <c r="R69" s="1194"/>
      <c r="S69" s="1194"/>
      <c r="T69" s="1194"/>
      <c r="U69" s="1194"/>
      <c r="V69" s="1194"/>
      <c r="W69" s="1194"/>
      <c r="X69" s="1194"/>
      <c r="Y69" s="1194"/>
      <c r="Z69" s="1194"/>
      <c r="AA69" s="1194"/>
      <c r="AB69" s="1194"/>
      <c r="AC69" s="1194"/>
      <c r="AD69" s="1194"/>
    </row>
    <row r="70" spans="4:30" ht="33.950000000000003" customHeight="1">
      <c r="D70" s="2521">
        <v>9</v>
      </c>
      <c r="E70" s="2522"/>
      <c r="F70" s="2522"/>
      <c r="G70" s="2522"/>
      <c r="H70" s="1449" t="str">
        <f>+'T1'!E70</f>
        <v>ERIKA</v>
      </c>
      <c r="I70" s="1443"/>
      <c r="J70" s="1443"/>
      <c r="K70" s="1443"/>
      <c r="L70" s="1443"/>
      <c r="M70" s="1468">
        <f t="shared" si="35"/>
        <v>0</v>
      </c>
      <c r="N70" s="1464"/>
      <c r="P70" s="1194"/>
      <c r="Q70" s="1194"/>
      <c r="R70" s="1194"/>
      <c r="S70" s="1194"/>
      <c r="T70" s="1194"/>
      <c r="U70" s="1194"/>
      <c r="V70" s="1194"/>
      <c r="W70" s="1194"/>
      <c r="X70" s="1194"/>
      <c r="Y70" s="1194"/>
      <c r="Z70" s="1194"/>
      <c r="AA70" s="1194"/>
      <c r="AB70" s="1194"/>
      <c r="AC70" s="1194"/>
      <c r="AD70" s="1194"/>
    </row>
    <row r="71" spans="4:30" ht="30.95" customHeight="1">
      <c r="D71" s="2521">
        <v>10</v>
      </c>
      <c r="E71" s="2522"/>
      <c r="F71" s="2522"/>
      <c r="G71" s="2522"/>
      <c r="H71" s="1449" t="str">
        <f>+'T1'!E71</f>
        <v>MARILU</v>
      </c>
      <c r="I71" s="1443"/>
      <c r="J71" s="1443"/>
      <c r="K71" s="1443"/>
      <c r="L71" s="1443"/>
      <c r="M71" s="1468">
        <f t="shared" si="35"/>
        <v>0</v>
      </c>
      <c r="N71" s="1464"/>
      <c r="P71" s="1194"/>
      <c r="Q71" s="1194"/>
      <c r="R71" s="1194"/>
      <c r="S71" s="1194"/>
      <c r="T71" s="1194"/>
      <c r="U71" s="1194"/>
      <c r="V71" s="1194"/>
      <c r="W71" s="1194"/>
      <c r="X71" s="1194"/>
      <c r="Y71" s="1194"/>
      <c r="Z71" s="1194"/>
      <c r="AA71" s="1194"/>
      <c r="AB71" s="1194"/>
      <c r="AC71" s="1194"/>
      <c r="AD71" s="1194"/>
    </row>
    <row r="72" spans="4:30" ht="30.95" customHeight="1">
      <c r="D72" s="2521">
        <v>11</v>
      </c>
      <c r="E72" s="2522"/>
      <c r="F72" s="2522"/>
      <c r="G72" s="2522"/>
      <c r="H72" s="1449" t="str">
        <f>+'T1'!E72</f>
        <v>WALLDO</v>
      </c>
      <c r="I72" s="1443"/>
      <c r="J72" s="1443"/>
      <c r="K72" s="1443"/>
      <c r="L72" s="1443"/>
      <c r="M72" s="1468">
        <f t="shared" si="35"/>
        <v>0</v>
      </c>
      <c r="N72" s="1464"/>
      <c r="P72" s="1194"/>
      <c r="Q72" s="1194"/>
      <c r="R72" s="1194"/>
      <c r="S72" s="1194"/>
      <c r="T72" s="1194"/>
      <c r="U72" s="1194"/>
      <c r="V72" s="1194"/>
      <c r="W72" s="1194"/>
      <c r="X72" s="1194"/>
      <c r="Y72" s="1194"/>
      <c r="Z72" s="1194"/>
      <c r="AA72" s="1194"/>
      <c r="AB72" s="1194"/>
      <c r="AC72" s="1194"/>
      <c r="AD72" s="1194"/>
    </row>
    <row r="73" spans="4:30" ht="30.95" customHeight="1" thickBot="1">
      <c r="D73" s="2523" t="s">
        <v>3</v>
      </c>
      <c r="E73" s="2524"/>
      <c r="F73" s="2524"/>
      <c r="G73" s="2524"/>
      <c r="H73" s="252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  <c r="P73" s="1194"/>
      <c r="Q73" s="1194"/>
      <c r="R73" s="1194"/>
      <c r="S73" s="1194"/>
      <c r="T73" s="1194"/>
      <c r="U73" s="1194"/>
      <c r="V73" s="1194"/>
      <c r="W73" s="1194"/>
      <c r="X73" s="1194"/>
      <c r="Y73" s="1194"/>
      <c r="Z73" s="1194"/>
      <c r="AA73" s="1194"/>
      <c r="AB73" s="1194"/>
      <c r="AC73" s="1194"/>
      <c r="AD73" s="1194"/>
    </row>
    <row r="74" spans="4:30" ht="88.5">
      <c r="D74"/>
      <c r="E74"/>
      <c r="F74"/>
      <c r="G74"/>
      <c r="H74"/>
      <c r="I74"/>
      <c r="J74"/>
      <c r="K74"/>
      <c r="L74"/>
      <c r="M74"/>
      <c r="N74"/>
      <c r="O74" s="1194"/>
      <c r="P74" s="1194"/>
      <c r="Q74" s="1194"/>
      <c r="R74" s="1194"/>
      <c r="S74" s="1194"/>
      <c r="T74" s="1194"/>
      <c r="U74" s="1194"/>
      <c r="V74" s="1194"/>
      <c r="W74" s="1194"/>
      <c r="X74" s="1194"/>
      <c r="Y74" s="1194"/>
      <c r="Z74" s="1194"/>
      <c r="AA74" s="1194"/>
      <c r="AB74" s="1194"/>
      <c r="AC74" s="1194"/>
      <c r="AD74" s="1194"/>
    </row>
    <row r="75" spans="4:30">
      <c r="D75"/>
      <c r="E75"/>
      <c r="F75"/>
      <c r="G75"/>
      <c r="H75"/>
      <c r="I75"/>
      <c r="J75"/>
      <c r="K75"/>
      <c r="L75"/>
      <c r="M75"/>
      <c r="N75"/>
    </row>
    <row r="76" spans="4:30">
      <c r="D76"/>
      <c r="E76"/>
      <c r="F76"/>
      <c r="G76"/>
      <c r="H76"/>
      <c r="I76"/>
      <c r="J76"/>
      <c r="K76"/>
      <c r="L76"/>
      <c r="M76"/>
      <c r="N76"/>
    </row>
    <row r="77" spans="4:30">
      <c r="D77"/>
      <c r="E77"/>
      <c r="F77"/>
      <c r="G77"/>
      <c r="H77"/>
      <c r="I77"/>
      <c r="J77"/>
      <c r="K77"/>
      <c r="L77"/>
      <c r="M77"/>
      <c r="N77"/>
    </row>
  </sheetData>
  <sheetProtection autoFilter="0"/>
  <mergeCells count="29">
    <mergeCell ref="D72:G72"/>
    <mergeCell ref="D73:H73"/>
    <mergeCell ref="E4:AA4"/>
    <mergeCell ref="D67:G67"/>
    <mergeCell ref="Q67:S67"/>
    <mergeCell ref="D68:G68"/>
    <mergeCell ref="D69:G69"/>
    <mergeCell ref="D70:G70"/>
    <mergeCell ref="D71:G71"/>
    <mergeCell ref="D63:G63"/>
    <mergeCell ref="Q63:R63"/>
    <mergeCell ref="D64:G64"/>
    <mergeCell ref="Q64:R64"/>
    <mergeCell ref="D65:G65"/>
    <mergeCell ref="D66:G66"/>
    <mergeCell ref="Q66:S66"/>
    <mergeCell ref="E56:AA56"/>
    <mergeCell ref="D60:J60"/>
    <mergeCell ref="Q60:S60"/>
    <mergeCell ref="D61:G61"/>
    <mergeCell ref="Q61:R61"/>
    <mergeCell ref="D62:G62"/>
    <mergeCell ref="Q62:R62"/>
    <mergeCell ref="C2:D2"/>
    <mergeCell ref="E2:R2"/>
    <mergeCell ref="AF4:BH4"/>
    <mergeCell ref="BK4:BN4"/>
    <mergeCell ref="A5:A54"/>
    <mergeCell ref="BK28:BL28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21B42-56CE-49E7-AB34-22D2A6174BC8}">
  <sheetPr codeName="Hoja11">
    <pageSetUpPr fitToPage="1"/>
  </sheetPr>
  <dimension ref="A1:CI88"/>
  <sheetViews>
    <sheetView zoomScale="55" zoomScaleNormal="55" workbookViewId="0">
      <pane ySplit="1" topLeftCell="A2" activePane="bottomLeft" state="frozen"/>
      <selection activeCell="C32" sqref="C32"/>
      <selection pane="bottomLeft" activeCell="R14" sqref="R14"/>
    </sheetView>
  </sheetViews>
  <sheetFormatPr baseColWidth="10" defaultRowHeight="16.5"/>
  <cols>
    <col min="1" max="1" width="14" style="26" customWidth="1"/>
    <col min="2" max="2" width="9.28515625" style="26" bestFit="1" customWidth="1"/>
    <col min="3" max="3" width="100.42578125" style="26" bestFit="1" customWidth="1"/>
    <col min="4" max="4" width="9.28515625" style="26" customWidth="1"/>
    <col min="5" max="5" width="8.7109375" style="26" customWidth="1"/>
    <col min="6" max="7" width="8.7109375" style="26" bestFit="1" customWidth="1"/>
    <col min="8" max="8" width="15" style="26" bestFit="1" customWidth="1"/>
    <col min="9" max="9" width="15.5703125" style="26" customWidth="1"/>
    <col min="10" max="10" width="13.28515625" style="26" customWidth="1"/>
    <col min="11" max="11" width="13.5703125" style="26" customWidth="1"/>
    <col min="12" max="12" width="15.5703125" style="26" customWidth="1"/>
    <col min="13" max="13" width="12.140625" style="26" customWidth="1"/>
    <col min="14" max="14" width="13.7109375" style="26" customWidth="1"/>
    <col min="15" max="18" width="9.42578125" style="26" customWidth="1"/>
    <col min="19" max="22" width="9.42578125" style="26" bestFit="1" customWidth="1"/>
    <col min="23" max="24" width="23.42578125" style="26" bestFit="1" customWidth="1"/>
    <col min="25" max="25" width="30.85546875" style="26" customWidth="1"/>
    <col min="26" max="26" width="25.28515625" style="26" customWidth="1"/>
    <col min="27" max="27" width="8" style="26" customWidth="1"/>
    <col min="28" max="28" width="76.5703125" style="26" customWidth="1"/>
    <col min="29" max="33" width="7.28515625" style="26" customWidth="1"/>
    <col min="34" max="34" width="6.5703125" style="26" customWidth="1"/>
    <col min="35" max="35" width="7.28515625" style="26" customWidth="1"/>
    <col min="36" max="36" width="6.5703125" style="26" customWidth="1"/>
    <col min="37" max="37" width="7.28515625" style="26" customWidth="1"/>
    <col min="38" max="38" width="8.7109375" style="26" customWidth="1"/>
    <col min="39" max="47" width="8.42578125" style="26" customWidth="1"/>
    <col min="48" max="48" width="23.42578125" style="26" customWidth="1"/>
    <col min="49" max="49" width="24.42578125" style="26" customWidth="1"/>
    <col min="50" max="52" width="20.140625" style="26" customWidth="1"/>
    <col min="53" max="53" width="17.7109375" style="26" customWidth="1"/>
    <col min="54" max="54" width="13.85546875" style="26" customWidth="1"/>
    <col min="55" max="55" width="23" style="26" customWidth="1"/>
    <col min="56" max="56" width="108" style="26" customWidth="1"/>
    <col min="57" max="58" width="23" style="26" customWidth="1"/>
    <col min="59" max="83" width="13.85546875" style="26" customWidth="1"/>
    <col min="84" max="84" width="12.140625" style="26" bestFit="1" customWidth="1"/>
    <col min="85" max="87" width="28.28515625" style="26" customWidth="1"/>
    <col min="88" max="16384" width="11.42578125" style="26"/>
  </cols>
  <sheetData>
    <row r="1" spans="1:58" ht="45.75" customHeight="1" thickBot="1">
      <c r="B1" s="37"/>
      <c r="C1" s="43"/>
      <c r="D1" s="32"/>
      <c r="E1" s="32"/>
      <c r="F1" s="32"/>
      <c r="G1" s="32"/>
      <c r="H1" s="32"/>
      <c r="I1" s="32"/>
      <c r="J1" s="32"/>
      <c r="K1" s="32"/>
      <c r="L1" s="32"/>
      <c r="M1" s="32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</row>
    <row r="2" spans="1:58" ht="46.5" thickBot="1">
      <c r="B2" s="2266" t="s">
        <v>41</v>
      </c>
      <c r="C2" s="2267"/>
      <c r="D2" s="2268" t="str">
        <f>+PP!E13</f>
        <v>1055PPF26062026</v>
      </c>
      <c r="E2" s="2269"/>
      <c r="F2" s="2269"/>
      <c r="G2" s="2269"/>
      <c r="H2" s="2269"/>
      <c r="I2" s="2269"/>
      <c r="J2" s="2269"/>
      <c r="K2" s="2269"/>
      <c r="L2" s="2269"/>
      <c r="M2" s="2270"/>
      <c r="N2" s="62"/>
      <c r="O2" s="62"/>
      <c r="P2" s="62"/>
      <c r="Q2" s="62"/>
      <c r="R2" s="1721"/>
      <c r="S2" s="1716"/>
      <c r="T2" s="1716"/>
      <c r="U2" s="1716"/>
      <c r="V2" s="1716"/>
      <c r="W2" s="1716"/>
      <c r="X2" s="1716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</row>
    <row r="3" spans="1:58" ht="17.25" thickBot="1">
      <c r="B3" s="28"/>
      <c r="R3" s="452"/>
      <c r="S3" s="452"/>
      <c r="T3" s="452"/>
      <c r="U3" s="452"/>
      <c r="V3" s="452"/>
      <c r="W3" s="452"/>
      <c r="X3" s="452"/>
      <c r="BC3" s="28"/>
      <c r="BD3" s="28"/>
      <c r="BE3" s="28"/>
    </row>
    <row r="4" spans="1:58" ht="39" customHeight="1" thickBot="1">
      <c r="B4" s="28"/>
      <c r="D4" s="2271" t="s">
        <v>404</v>
      </c>
      <c r="E4" s="2272"/>
      <c r="F4" s="2272"/>
      <c r="G4" s="2272"/>
      <c r="H4" s="2272"/>
      <c r="I4" s="2272"/>
      <c r="J4" s="2272"/>
      <c r="K4" s="2272"/>
      <c r="L4" s="2272"/>
      <c r="M4" s="2272"/>
      <c r="N4" s="2272"/>
      <c r="O4" s="2272"/>
      <c r="P4" s="2272"/>
      <c r="Q4" s="2272"/>
      <c r="R4" s="2273"/>
      <c r="S4" s="2273"/>
      <c r="T4" s="2273"/>
      <c r="U4" s="2273"/>
      <c r="V4" s="2273"/>
      <c r="W4" s="452"/>
      <c r="X4" s="452"/>
      <c r="AA4" s="2263" t="s">
        <v>508</v>
      </c>
      <c r="AB4" s="2264"/>
      <c r="AC4" s="2264"/>
      <c r="AD4" s="2264"/>
      <c r="AE4" s="2264"/>
      <c r="AF4" s="2264"/>
      <c r="AG4" s="2264"/>
      <c r="AH4" s="2264"/>
      <c r="AI4" s="2264"/>
      <c r="AJ4" s="2264"/>
      <c r="AK4" s="2264"/>
      <c r="AL4" s="2264"/>
      <c r="AM4" s="2264"/>
      <c r="AN4" s="2264"/>
      <c r="AO4" s="2264"/>
      <c r="AP4" s="2264"/>
      <c r="AQ4" s="2264"/>
      <c r="AR4" s="2264"/>
      <c r="AS4" s="2264"/>
      <c r="AT4" s="2264"/>
      <c r="AU4" s="2264"/>
      <c r="AV4" s="2264"/>
      <c r="AW4" s="2264"/>
      <c r="AX4" s="2264"/>
      <c r="AY4" s="2264"/>
      <c r="AZ4" s="2265"/>
      <c r="BC4" s="2262" t="s">
        <v>511</v>
      </c>
      <c r="BD4" s="2262"/>
      <c r="BE4" s="2262"/>
      <c r="BF4" s="2262"/>
    </row>
    <row r="5" spans="1:58" ht="64.5" customHeight="1" thickBot="1">
      <c r="A5" s="2257"/>
      <c r="B5" s="543" t="s">
        <v>15</v>
      </c>
      <c r="C5" s="954" t="s">
        <v>6</v>
      </c>
      <c r="D5" s="35" t="s">
        <v>316</v>
      </c>
      <c r="E5" s="36" t="s">
        <v>317</v>
      </c>
      <c r="F5" s="36" t="s">
        <v>318</v>
      </c>
      <c r="G5" s="36" t="s">
        <v>319</v>
      </c>
      <c r="H5" s="36" t="s">
        <v>320</v>
      </c>
      <c r="I5" s="36" t="s">
        <v>321</v>
      </c>
      <c r="J5" s="36" t="s">
        <v>322</v>
      </c>
      <c r="K5" s="36" t="s">
        <v>323</v>
      </c>
      <c r="L5" s="36" t="s">
        <v>324</v>
      </c>
      <c r="M5" s="36" t="s">
        <v>325</v>
      </c>
      <c r="N5" s="36" t="s">
        <v>326</v>
      </c>
      <c r="O5" s="36" t="s">
        <v>327</v>
      </c>
      <c r="P5" s="36" t="s">
        <v>328</v>
      </c>
      <c r="Q5" s="36" t="s">
        <v>329</v>
      </c>
      <c r="R5" s="36" t="s">
        <v>330</v>
      </c>
      <c r="S5" s="36" t="s">
        <v>331</v>
      </c>
      <c r="T5" s="36" t="s">
        <v>332</v>
      </c>
      <c r="U5" s="36" t="s">
        <v>333</v>
      </c>
      <c r="V5" s="3011" t="s">
        <v>334</v>
      </c>
      <c r="W5" s="49" t="s">
        <v>108</v>
      </c>
      <c r="X5" s="49" t="s">
        <v>107</v>
      </c>
      <c r="Y5" s="47" t="s">
        <v>3</v>
      </c>
      <c r="AA5" s="1378" t="s">
        <v>15</v>
      </c>
      <c r="AB5" s="1379" t="s">
        <v>6</v>
      </c>
      <c r="AC5" s="1379" t="s">
        <v>316</v>
      </c>
      <c r="AD5" s="1379" t="s">
        <v>317</v>
      </c>
      <c r="AE5" s="1379" t="s">
        <v>318</v>
      </c>
      <c r="AF5" s="1379" t="s">
        <v>319</v>
      </c>
      <c r="AG5" s="1379" t="s">
        <v>320</v>
      </c>
      <c r="AH5" s="1379" t="s">
        <v>321</v>
      </c>
      <c r="AI5" s="1379" t="s">
        <v>322</v>
      </c>
      <c r="AJ5" s="1379" t="s">
        <v>323</v>
      </c>
      <c r="AK5" s="1379" t="s">
        <v>324</v>
      </c>
      <c r="AL5" s="1379" t="s">
        <v>325</v>
      </c>
      <c r="AM5" s="1379" t="s">
        <v>326</v>
      </c>
      <c r="AN5" s="1379" t="s">
        <v>327</v>
      </c>
      <c r="AO5" s="1379" t="s">
        <v>328</v>
      </c>
      <c r="AP5" s="1379" t="s">
        <v>329</v>
      </c>
      <c r="AQ5" s="1379" t="s">
        <v>330</v>
      </c>
      <c r="AR5" s="1379" t="s">
        <v>331</v>
      </c>
      <c r="AS5" s="1379" t="s">
        <v>332</v>
      </c>
      <c r="AT5" s="1379" t="s">
        <v>333</v>
      </c>
      <c r="AU5" s="1379" t="s">
        <v>334</v>
      </c>
      <c r="AV5" s="1387" t="s">
        <v>502</v>
      </c>
      <c r="AW5" s="1387" t="s">
        <v>503</v>
      </c>
      <c r="AX5" s="1387" t="s">
        <v>8</v>
      </c>
      <c r="AY5" s="1387" t="s">
        <v>505</v>
      </c>
      <c r="AZ5" s="1387" t="s">
        <v>511</v>
      </c>
      <c r="BC5" s="535" t="s">
        <v>15</v>
      </c>
      <c r="BD5" s="535" t="s">
        <v>6</v>
      </c>
      <c r="BE5" s="535" t="s">
        <v>8</v>
      </c>
      <c r="BF5" s="535" t="s">
        <v>513</v>
      </c>
    </row>
    <row r="6" spans="1:58" ht="45.75" customHeight="1">
      <c r="A6" s="2257"/>
      <c r="B6" s="41">
        <f>+PP!B24</f>
        <v>1</v>
      </c>
      <c r="C6" s="1023" t="str">
        <f>+PP!C24</f>
        <v>ANILLAS BLANCAS SM ST</v>
      </c>
      <c r="D6" s="211"/>
      <c r="E6" s="1836"/>
      <c r="F6" s="1836"/>
      <c r="G6" s="1836"/>
      <c r="H6" s="1836"/>
      <c r="I6" s="1836"/>
      <c r="J6" s="1836"/>
      <c r="K6" s="1836"/>
      <c r="L6" s="1836"/>
      <c r="M6" s="212"/>
      <c r="N6" s="212"/>
      <c r="O6" s="212"/>
      <c r="P6" s="212"/>
      <c r="Q6" s="212"/>
      <c r="R6" s="1007"/>
      <c r="S6" s="1007"/>
      <c r="T6" s="1007"/>
      <c r="U6" s="1007"/>
      <c r="V6" s="1497"/>
      <c r="W6" s="548">
        <f t="shared" ref="W6:W53" si="0">SUM(D6:V6)</f>
        <v>0</v>
      </c>
      <c r="X6" s="148">
        <f t="shared" ref="X6:X53" si="1">W6/2</f>
        <v>0</v>
      </c>
      <c r="Y6" s="145">
        <f>+W6*10</f>
        <v>0</v>
      </c>
      <c r="AA6" s="1381" t="str">
        <f>IFERROR(INDEX($B$6:$B$53,_xlfn.AGGREGATE(15,6,(ROW($B$6:$B$53)-ROW($B$6)+1)/($W$6:$W$53&gt;0),ROWS($AA$6:AA6))),"")</f>
        <v/>
      </c>
      <c r="AB6" s="1382" t="str">
        <f t="shared" ref="AB6:AB34" si="2">IF($AA6="","",INDEX($C$6:$C$53,MATCH($AA6,$B$6:$B$53,0)))</f>
        <v/>
      </c>
      <c r="AC6" s="1854" t="str">
        <f t="shared" ref="AC6:AC53" si="3">IF($AA6="","",IFERROR(IF(INDEX($D$6:$D$53,MATCH($AA6,$B$6:$B$53,0))&gt;0,INDEX($D$6:$D$53,MATCH($AA6,$B$6:$B$53,0)),""),""))</f>
        <v/>
      </c>
      <c r="AD6" s="1854" t="str">
        <f t="shared" ref="AD6:AD53" si="4">IF($AA6="","",IFERROR(IF(INDEX($E$6:$E$53,MATCH($AA6,$B$6:$B$53,0))&gt;0,INDEX($E$6:$E$53,MATCH($AA6,$B$6:$B$53,0)),""),""))</f>
        <v/>
      </c>
      <c r="AE6" s="1854" t="str">
        <f t="shared" ref="AE6:AE53" si="5">IF($AA6="","",IFERROR(IF(INDEX($F$6:$F$53,MATCH($AA6,$B$6:$B$53,0))&gt;0,INDEX($F$6:$F$53,MATCH($AA6,$B$6:$B$53,0)),""),""))</f>
        <v/>
      </c>
      <c r="AF6" s="1854" t="str">
        <f t="shared" ref="AF6:AF53" si="6">IF($AA6="","",IFERROR(IF(INDEX($G$6:$G$53,MATCH($AA6,$B$6:$B$53,0))&gt;0,INDEX($G$6:$G$53,MATCH($AA6,$B$6:$B$53,0)),""),""))</f>
        <v/>
      </c>
      <c r="AG6" s="1854" t="str">
        <f t="shared" ref="AG6:AG53" si="7">IF($AA6="","",IFERROR(IF(INDEX($H$6:$H$53,MATCH($AA6,$B$6:$B$53,0))&gt;0,INDEX($H$6:$H$53,MATCH($AA6,$B$6:$B$53,0)),""),""))</f>
        <v/>
      </c>
      <c r="AH6" s="1854" t="str">
        <f t="shared" ref="AH6:AH53" si="8">IF($AA6="","",IFERROR(IF(INDEX($I$6:$I$53,MATCH($AA6,$B$6:$B$53,0))&gt;0,INDEX($I$6:$I$53,MATCH($AA6,$B$6:$B$53,0)),""),""))</f>
        <v/>
      </c>
      <c r="AI6" s="1854" t="str">
        <f t="shared" ref="AI6:AI53" si="9">IF($AA6="","",IFERROR(IF(INDEX($J$6:$J$53,MATCH($AA6,$B$6:$B$53,0))&gt;0,INDEX($J$6:$J$53,MATCH($AA6,$B$6:$B$53,0)),""),""))</f>
        <v/>
      </c>
      <c r="AJ6" s="1854" t="str">
        <f t="shared" ref="AJ6:AJ53" si="10">IF($AA6="","",IFERROR(IF(INDEX($K$6:$K$53,MATCH($AA6,$B$6:$B$53,0))&gt;0,INDEX($K$6:$K$53,MATCH($AA6,$B$6:$B$53,0)),""),""))</f>
        <v/>
      </c>
      <c r="AK6" s="1854" t="str">
        <f t="shared" ref="AK6:AK53" si="11">IF($AA6="","",IFERROR(IF(INDEX($L$6:$L$53,MATCH($AA6,$B$6:$B$53,0))&gt;0,INDEX($L$6:$L$53,MATCH($AA6,$B$6:$B$53,0)),""),""))</f>
        <v/>
      </c>
      <c r="AL6" s="1854" t="str">
        <f t="shared" ref="AL6:AL53" si="12">IF($AA6="","",IFERROR(IF(INDEX($M$6:$M$53,MATCH($AA6,$B$6:$B$53,0))&gt;0,INDEX($M$6:$M$53,MATCH($AA6,$B$6:$B$53,0)),""),""))</f>
        <v/>
      </c>
      <c r="AM6" s="1854" t="str">
        <f t="shared" ref="AM6:AM53" si="13">IF($AA6="","",IFERROR(IF(INDEX($N$6:$N$53,MATCH($AA6,$B$6:$B$53,0))&gt;0,INDEX($N$6:$N$53,MATCH($AA6,$B$6:$B$53,0)),""),""))</f>
        <v/>
      </c>
      <c r="AN6" s="1854" t="str">
        <f t="shared" ref="AN6:AN53" si="14">IF($AA6="","",IFERROR(IF(INDEX($O$6:$O$53,MATCH($AA6,$B$6:$B$53,0))&gt;0,INDEX($O$6:$O$53,MATCH($AA6,$B$6:$B$53,0)),""),""))</f>
        <v/>
      </c>
      <c r="AO6" s="1854" t="str">
        <f t="shared" ref="AO6:AO53" si="15">IF($AA6="","",IFERROR(IF(INDEX($P$6:$P$53,MATCH($AA6,$B$6:$B$53,0))&gt;0,INDEX($P$6:$P$53,MATCH($AA6,$B$6:$B$53,0)),""),""))</f>
        <v/>
      </c>
      <c r="AP6" s="1854" t="str">
        <f t="shared" ref="AP6:AP53" si="16">IF($AA6="","",IFERROR(IF(INDEX($Q$6:$Q$53,MATCH($AA6,$B$6:$B$53,0))&gt;0,INDEX($Q$6:$Q$53,MATCH($AA6,$B$6:$B$53,0)),""),""))</f>
        <v/>
      </c>
      <c r="AQ6" s="1854" t="str">
        <f t="shared" ref="AQ6:AQ53" si="17">IF($AA6="","",IFERROR(IF(INDEX($R$6:$R$53,MATCH($AA6,$B$6:$B$53,0))&gt;0,INDEX($R$6:$R$53,MATCH($AA6,$B$6:$B$53,0)),""),""))</f>
        <v/>
      </c>
      <c r="AR6" s="1854" t="str">
        <f t="shared" ref="AR6:AR53" si="18">IF($AA6="","",IFERROR(IF(INDEX($S$6:$S$53,MATCH($AA6,$B$6:$B$53,0))&gt;0,INDEX($S$6:$S$53,MATCH($AA6,$B$6:$B$53,0)),""),""))</f>
        <v/>
      </c>
      <c r="AS6" s="1854" t="str">
        <f t="shared" ref="AS6:AS53" si="19">IF($AA6="","",IFERROR(IF(INDEX($T$6:$T$53,MATCH($AA6,$B$6:$B$53,0))&gt;0,INDEX($T$6:$T$53,MATCH($AA6,$B$6:$B$53,0)),""),""))</f>
        <v/>
      </c>
      <c r="AT6" s="1854" t="str">
        <f t="shared" ref="AT6:AT53" si="20">IF($AA6="","",IFERROR(IF(INDEX($U$6:$U$53,MATCH($AA6,$B$6:$B$53,0))&gt;0,INDEX($U$6:$U$53,MATCH($AA6,$B$6:$B$53,0)),""),""))</f>
        <v/>
      </c>
      <c r="AU6" s="1854" t="str">
        <f t="shared" ref="AU6:AU53" si="21">IF($AA6="","",IFERROR(IF(INDEX($V$6:$V$53,MATCH($AA6,$B$6:$B$53,0))&gt;0,INDEX($V$6:$V$53,MATCH($AA6,$B$6:$B$53,0)),""),""))</f>
        <v/>
      </c>
      <c r="AV6" s="1383" t="str">
        <f t="shared" ref="AV6:AV34" si="22">IF($AA6="","",SUM($AC6:$AU6))</f>
        <v/>
      </c>
      <c r="AW6" s="1384" t="str">
        <f t="shared" ref="AW6:AW34" si="23">IF($AA6="","",$AV6/2)</f>
        <v/>
      </c>
      <c r="AX6" s="1383" t="str">
        <f t="shared" ref="AX6:AX34" si="24">IF($AA6="","",$AV6*10)</f>
        <v/>
      </c>
      <c r="AY6" s="1385" t="str">
        <f t="shared" ref="AY6:AY34" si="25">IF($AA6="","",IF($AV6=INDEX($W$6:$W$53,MATCH($AA6,$B$6:$B$53,0)),"OK","REVISAR"))</f>
        <v/>
      </c>
      <c r="AZ6" s="1385" t="str">
        <f t="shared" ref="AZ6:AZ34" si="26">IF($AA6="","",IF(MOD($AX6,20)=10,"SÍ","NO"))</f>
        <v/>
      </c>
      <c r="BC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6))),"")</f>
        <v/>
      </c>
      <c r="BD6" s="500" t="str">
        <f t="shared" ref="BD6:BD27" si="27">IF($BC6="","",IFERROR(INDEX($C$6:$C$53,MATCH($BC6,$B$6:$B$53,0)),""))</f>
        <v/>
      </c>
      <c r="BE6" s="458" t="str">
        <f t="shared" ref="BE6:BE27" si="28">IF($BC6="","",SUMPRODUCT(($B$6:$B$53=$BC6)*$D$6:$V$53)*10)</f>
        <v/>
      </c>
      <c r="BF6" s="458" t="str">
        <f t="shared" ref="BF6:BF27" si="29">IF($BC6="","","10 KG")</f>
        <v/>
      </c>
    </row>
    <row r="7" spans="1:58" ht="45.75" customHeight="1">
      <c r="A7" s="2257"/>
      <c r="B7" s="42">
        <f>+PP!B25</f>
        <v>2</v>
      </c>
      <c r="C7" s="1024" t="str">
        <f>+PP!C25</f>
        <v>ANILLAS AMARILLAS SM ST</v>
      </c>
      <c r="D7" s="1837"/>
      <c r="E7" s="1831"/>
      <c r="F7" s="1831"/>
      <c r="G7" s="1831"/>
      <c r="H7" s="1831"/>
      <c r="I7" s="1831"/>
      <c r="J7" s="1831"/>
      <c r="K7" s="1831"/>
      <c r="L7" s="1831"/>
      <c r="M7" s="218"/>
      <c r="N7" s="218"/>
      <c r="O7" s="218"/>
      <c r="P7" s="218"/>
      <c r="Q7" s="218"/>
      <c r="R7" s="218"/>
      <c r="S7" s="218"/>
      <c r="T7" s="218"/>
      <c r="U7" s="218"/>
      <c r="V7" s="276"/>
      <c r="W7" s="551">
        <f t="shared" si="0"/>
        <v>0</v>
      </c>
      <c r="X7" s="149">
        <f t="shared" si="1"/>
        <v>0</v>
      </c>
      <c r="Y7" s="156">
        <f t="shared" ref="Y7:Y53" si="30">+W7*10</f>
        <v>0</v>
      </c>
      <c r="AA7" s="1381" t="str">
        <f>IFERROR(INDEX($B$6:$B$53,_xlfn.AGGREGATE(15,6,(ROW($B$6:$B$53)-ROW($B$6)+1)/($W$6:$W$53&gt;0),ROWS($AA$6:AA7))),"")</f>
        <v/>
      </c>
      <c r="AB7" s="1382" t="str">
        <f t="shared" si="2"/>
        <v/>
      </c>
      <c r="AC7" s="1854" t="str">
        <f t="shared" si="3"/>
        <v/>
      </c>
      <c r="AD7" s="1854" t="str">
        <f t="shared" si="4"/>
        <v/>
      </c>
      <c r="AE7" s="1854" t="str">
        <f t="shared" si="5"/>
        <v/>
      </c>
      <c r="AF7" s="1854" t="str">
        <f t="shared" si="6"/>
        <v/>
      </c>
      <c r="AG7" s="1854" t="str">
        <f t="shared" si="7"/>
        <v/>
      </c>
      <c r="AH7" s="1854" t="str">
        <f t="shared" si="8"/>
        <v/>
      </c>
      <c r="AI7" s="1854" t="str">
        <f t="shared" si="9"/>
        <v/>
      </c>
      <c r="AJ7" s="1854" t="str">
        <f t="shared" si="10"/>
        <v/>
      </c>
      <c r="AK7" s="1854" t="str">
        <f t="shared" si="11"/>
        <v/>
      </c>
      <c r="AL7" s="1854" t="str">
        <f t="shared" si="12"/>
        <v/>
      </c>
      <c r="AM7" s="1854" t="str">
        <f t="shared" si="13"/>
        <v/>
      </c>
      <c r="AN7" s="1854" t="str">
        <f t="shared" si="14"/>
        <v/>
      </c>
      <c r="AO7" s="1854" t="str">
        <f t="shared" si="15"/>
        <v/>
      </c>
      <c r="AP7" s="1854" t="str">
        <f t="shared" si="16"/>
        <v/>
      </c>
      <c r="AQ7" s="1854" t="str">
        <f t="shared" si="17"/>
        <v/>
      </c>
      <c r="AR7" s="1854" t="str">
        <f t="shared" si="18"/>
        <v/>
      </c>
      <c r="AS7" s="1854" t="str">
        <f t="shared" si="19"/>
        <v/>
      </c>
      <c r="AT7" s="1854" t="str">
        <f t="shared" si="20"/>
        <v/>
      </c>
      <c r="AU7" s="1854" t="str">
        <f t="shared" si="21"/>
        <v/>
      </c>
      <c r="AV7" s="1383" t="str">
        <f t="shared" si="22"/>
        <v/>
      </c>
      <c r="AW7" s="1384" t="str">
        <f t="shared" si="23"/>
        <v/>
      </c>
      <c r="AX7" s="1383" t="str">
        <f t="shared" si="24"/>
        <v/>
      </c>
      <c r="AY7" s="1385" t="str">
        <f t="shared" si="25"/>
        <v/>
      </c>
      <c r="AZ7" s="1385" t="str">
        <f t="shared" si="26"/>
        <v/>
      </c>
      <c r="BC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7))),"")</f>
        <v/>
      </c>
      <c r="BD7" s="500" t="str">
        <f t="shared" si="27"/>
        <v/>
      </c>
      <c r="BE7" s="458" t="str">
        <f t="shared" si="28"/>
        <v/>
      </c>
      <c r="BF7" s="458" t="str">
        <f t="shared" si="29"/>
        <v/>
      </c>
    </row>
    <row r="8" spans="1:58" ht="45.75" customHeight="1" thickBot="1">
      <c r="A8" s="2257"/>
      <c r="B8" s="40">
        <f>+PP!B26</f>
        <v>3</v>
      </c>
      <c r="C8" s="1025" t="str">
        <f>+PP!C26</f>
        <v>ANILLAS BLANCAS SM ST MEDIANA</v>
      </c>
      <c r="D8" s="214"/>
      <c r="E8" s="215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73"/>
      <c r="W8" s="2988">
        <f t="shared" si="0"/>
        <v>0</v>
      </c>
      <c r="X8" s="150">
        <f t="shared" si="1"/>
        <v>0</v>
      </c>
      <c r="Y8" s="147">
        <f t="shared" si="30"/>
        <v>0</v>
      </c>
      <c r="AA8" s="1381" t="str">
        <f>IFERROR(INDEX($B$6:$B$53,_xlfn.AGGREGATE(15,6,(ROW($B$6:$B$53)-ROW($B$6)+1)/($W$6:$W$53&gt;0),ROWS($AA$6:AA8))),"")</f>
        <v/>
      </c>
      <c r="AB8" s="1382" t="str">
        <f t="shared" si="2"/>
        <v/>
      </c>
      <c r="AC8" s="1854" t="str">
        <f t="shared" si="3"/>
        <v/>
      </c>
      <c r="AD8" s="1854" t="str">
        <f t="shared" si="4"/>
        <v/>
      </c>
      <c r="AE8" s="1854" t="str">
        <f t="shared" si="5"/>
        <v/>
      </c>
      <c r="AF8" s="1854" t="str">
        <f t="shared" si="6"/>
        <v/>
      </c>
      <c r="AG8" s="1854" t="str">
        <f t="shared" si="7"/>
        <v/>
      </c>
      <c r="AH8" s="1854" t="str">
        <f t="shared" si="8"/>
        <v/>
      </c>
      <c r="AI8" s="1854" t="str">
        <f t="shared" si="9"/>
        <v/>
      </c>
      <c r="AJ8" s="1854" t="str">
        <f t="shared" si="10"/>
        <v/>
      </c>
      <c r="AK8" s="1854" t="str">
        <f t="shared" si="11"/>
        <v/>
      </c>
      <c r="AL8" s="1854" t="str">
        <f t="shared" si="12"/>
        <v/>
      </c>
      <c r="AM8" s="1854" t="str">
        <f t="shared" si="13"/>
        <v/>
      </c>
      <c r="AN8" s="1854" t="str">
        <f t="shared" si="14"/>
        <v/>
      </c>
      <c r="AO8" s="1854" t="str">
        <f t="shared" si="15"/>
        <v/>
      </c>
      <c r="AP8" s="1854" t="str">
        <f t="shared" si="16"/>
        <v/>
      </c>
      <c r="AQ8" s="1854" t="str">
        <f t="shared" si="17"/>
        <v/>
      </c>
      <c r="AR8" s="1854" t="str">
        <f t="shared" si="18"/>
        <v/>
      </c>
      <c r="AS8" s="1854" t="str">
        <f t="shared" si="19"/>
        <v/>
      </c>
      <c r="AT8" s="1854" t="str">
        <f t="shared" si="20"/>
        <v/>
      </c>
      <c r="AU8" s="1854" t="str">
        <f t="shared" si="21"/>
        <v/>
      </c>
      <c r="AV8" s="1383" t="str">
        <f t="shared" si="22"/>
        <v/>
      </c>
      <c r="AW8" s="1384" t="str">
        <f t="shared" si="23"/>
        <v/>
      </c>
      <c r="AX8" s="1383" t="str">
        <f t="shared" si="24"/>
        <v/>
      </c>
      <c r="AY8" s="1385" t="str">
        <f t="shared" si="25"/>
        <v/>
      </c>
      <c r="AZ8" s="1385" t="str">
        <f t="shared" si="26"/>
        <v/>
      </c>
      <c r="BC8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8))),"")</f>
        <v/>
      </c>
      <c r="BD8" s="500" t="str">
        <f t="shared" si="27"/>
        <v/>
      </c>
      <c r="BE8" s="458" t="str">
        <f t="shared" si="28"/>
        <v/>
      </c>
      <c r="BF8" s="458" t="str">
        <f t="shared" si="29"/>
        <v/>
      </c>
    </row>
    <row r="9" spans="1:58" ht="45.75" customHeight="1">
      <c r="A9" s="2257"/>
      <c r="B9" s="41">
        <f>+PP!B27</f>
        <v>4</v>
      </c>
      <c r="C9" s="1023" t="str">
        <f>+PP!C27</f>
        <v>ALETA FRESCA CORTE CRUZ</v>
      </c>
      <c r="D9" s="211"/>
      <c r="E9" s="212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31"/>
      <c r="W9" s="548">
        <f t="shared" si="0"/>
        <v>0</v>
      </c>
      <c r="X9" s="148">
        <f t="shared" si="1"/>
        <v>0</v>
      </c>
      <c r="Y9" s="145">
        <f t="shared" si="30"/>
        <v>0</v>
      </c>
      <c r="AA9" s="1381" t="str">
        <f>IFERROR(INDEX($B$6:$B$53,_xlfn.AGGREGATE(15,6,(ROW($B$6:$B$53)-ROW($B$6)+1)/($W$6:$W$53&gt;0),ROWS($AA$6:AA9))),"")</f>
        <v/>
      </c>
      <c r="AB9" s="1382" t="str">
        <f t="shared" si="2"/>
        <v/>
      </c>
      <c r="AC9" s="1854" t="str">
        <f t="shared" si="3"/>
        <v/>
      </c>
      <c r="AD9" s="1854" t="str">
        <f t="shared" si="4"/>
        <v/>
      </c>
      <c r="AE9" s="1854" t="str">
        <f t="shared" si="5"/>
        <v/>
      </c>
      <c r="AF9" s="1854" t="str">
        <f t="shared" si="6"/>
        <v/>
      </c>
      <c r="AG9" s="1854" t="str">
        <f t="shared" si="7"/>
        <v/>
      </c>
      <c r="AH9" s="1854" t="str">
        <f t="shared" si="8"/>
        <v/>
      </c>
      <c r="AI9" s="1854" t="str">
        <f t="shared" si="9"/>
        <v/>
      </c>
      <c r="AJ9" s="1854" t="str">
        <f t="shared" si="10"/>
        <v/>
      </c>
      <c r="AK9" s="1854" t="str">
        <f t="shared" si="11"/>
        <v/>
      </c>
      <c r="AL9" s="1854" t="str">
        <f t="shared" si="12"/>
        <v/>
      </c>
      <c r="AM9" s="1854" t="str">
        <f t="shared" si="13"/>
        <v/>
      </c>
      <c r="AN9" s="1854" t="str">
        <f t="shared" si="14"/>
        <v/>
      </c>
      <c r="AO9" s="1854" t="str">
        <f t="shared" si="15"/>
        <v/>
      </c>
      <c r="AP9" s="1854" t="str">
        <f t="shared" si="16"/>
        <v/>
      </c>
      <c r="AQ9" s="1854" t="str">
        <f t="shared" si="17"/>
        <v/>
      </c>
      <c r="AR9" s="1854" t="str">
        <f t="shared" si="18"/>
        <v/>
      </c>
      <c r="AS9" s="1854" t="str">
        <f t="shared" si="19"/>
        <v/>
      </c>
      <c r="AT9" s="1854" t="str">
        <f t="shared" si="20"/>
        <v/>
      </c>
      <c r="AU9" s="1854" t="str">
        <f t="shared" si="21"/>
        <v/>
      </c>
      <c r="AV9" s="1383" t="str">
        <f t="shared" si="22"/>
        <v/>
      </c>
      <c r="AW9" s="1384" t="str">
        <f t="shared" si="23"/>
        <v/>
      </c>
      <c r="AX9" s="1383" t="str">
        <f t="shared" si="24"/>
        <v/>
      </c>
      <c r="AY9" s="1385" t="str">
        <f t="shared" si="25"/>
        <v/>
      </c>
      <c r="AZ9" s="1385" t="str">
        <f t="shared" si="26"/>
        <v/>
      </c>
      <c r="BC9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9))),"")</f>
        <v/>
      </c>
      <c r="BD9" s="500" t="str">
        <f t="shared" si="27"/>
        <v/>
      </c>
      <c r="BE9" s="458" t="str">
        <f t="shared" si="28"/>
        <v/>
      </c>
      <c r="BF9" s="458" t="str">
        <f t="shared" si="29"/>
        <v/>
      </c>
    </row>
    <row r="10" spans="1:58" ht="45.75" customHeight="1">
      <c r="A10" s="2257"/>
      <c r="B10" s="42">
        <f>+PP!B28</f>
        <v>5</v>
      </c>
      <c r="C10" s="1024" t="str">
        <f>+PP!C28</f>
        <v>ALETA ENTERA 100-500 g/pza</v>
      </c>
      <c r="D10" s="217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76"/>
      <c r="W10" s="551">
        <f t="shared" ref="W10:W51" si="31">SUM(D10:V10)</f>
        <v>0</v>
      </c>
      <c r="X10" s="149">
        <f t="shared" si="1"/>
        <v>0</v>
      </c>
      <c r="Y10" s="146">
        <f t="shared" si="30"/>
        <v>0</v>
      </c>
      <c r="AA10" s="1381" t="str">
        <f>IFERROR(INDEX($B$6:$B$53,_xlfn.AGGREGATE(15,6,(ROW($B$6:$B$53)-ROW($B$6)+1)/($W$6:$W$53&gt;0),ROWS($AA$6:AA10))),"")</f>
        <v/>
      </c>
      <c r="AB10" s="1382" t="str">
        <f t="shared" si="2"/>
        <v/>
      </c>
      <c r="AC10" s="1854" t="str">
        <f t="shared" si="3"/>
        <v/>
      </c>
      <c r="AD10" s="1854" t="str">
        <f t="shared" si="4"/>
        <v/>
      </c>
      <c r="AE10" s="1854" t="str">
        <f t="shared" si="5"/>
        <v/>
      </c>
      <c r="AF10" s="1854" t="str">
        <f t="shared" si="6"/>
        <v/>
      </c>
      <c r="AG10" s="1854" t="str">
        <f t="shared" si="7"/>
        <v/>
      </c>
      <c r="AH10" s="1854" t="str">
        <f t="shared" si="8"/>
        <v/>
      </c>
      <c r="AI10" s="1854" t="str">
        <f t="shared" si="9"/>
        <v/>
      </c>
      <c r="AJ10" s="1854" t="str">
        <f t="shared" si="10"/>
        <v/>
      </c>
      <c r="AK10" s="1854" t="str">
        <f t="shared" si="11"/>
        <v/>
      </c>
      <c r="AL10" s="1854" t="str">
        <f t="shared" si="12"/>
        <v/>
      </c>
      <c r="AM10" s="1854" t="str">
        <f t="shared" si="13"/>
        <v/>
      </c>
      <c r="AN10" s="1854" t="str">
        <f t="shared" si="14"/>
        <v/>
      </c>
      <c r="AO10" s="1854" t="str">
        <f t="shared" si="15"/>
        <v/>
      </c>
      <c r="AP10" s="1854" t="str">
        <f t="shared" si="16"/>
        <v/>
      </c>
      <c r="AQ10" s="1854" t="str">
        <f t="shared" si="17"/>
        <v/>
      </c>
      <c r="AR10" s="1854" t="str">
        <f t="shared" si="18"/>
        <v/>
      </c>
      <c r="AS10" s="1854" t="str">
        <f t="shared" si="19"/>
        <v/>
      </c>
      <c r="AT10" s="1854" t="str">
        <f t="shared" si="20"/>
        <v/>
      </c>
      <c r="AU10" s="1854" t="str">
        <f t="shared" si="21"/>
        <v/>
      </c>
      <c r="AV10" s="1383" t="str">
        <f t="shared" si="22"/>
        <v/>
      </c>
      <c r="AW10" s="1384" t="str">
        <f t="shared" si="23"/>
        <v/>
      </c>
      <c r="AX10" s="1383" t="str">
        <f t="shared" si="24"/>
        <v/>
      </c>
      <c r="AY10" s="1385" t="str">
        <f t="shared" si="25"/>
        <v/>
      </c>
      <c r="AZ10" s="1385" t="str">
        <f t="shared" si="26"/>
        <v/>
      </c>
      <c r="BC10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10))),"")</f>
        <v/>
      </c>
      <c r="BD10" s="500" t="str">
        <f t="shared" si="27"/>
        <v/>
      </c>
      <c r="BE10" s="458" t="str">
        <f t="shared" si="28"/>
        <v/>
      </c>
      <c r="BF10" s="458" t="str">
        <f t="shared" si="29"/>
        <v/>
      </c>
    </row>
    <row r="11" spans="1:58" ht="45.75" customHeight="1">
      <c r="A11" s="2257"/>
      <c r="B11" s="42">
        <f>+PP!B29</f>
        <v>6</v>
      </c>
      <c r="C11" s="1024" t="str">
        <f>+PP!C29</f>
        <v>ALETA ENTERA 500-1000 g/pza</v>
      </c>
      <c r="D11" s="217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76"/>
      <c r="W11" s="551">
        <f t="shared" si="31"/>
        <v>0</v>
      </c>
      <c r="X11" s="149">
        <f t="shared" si="1"/>
        <v>0</v>
      </c>
      <c r="Y11" s="146">
        <f t="shared" si="30"/>
        <v>0</v>
      </c>
      <c r="AA11" s="1381" t="str">
        <f>IFERROR(INDEX($B$6:$B$53,_xlfn.AGGREGATE(15,6,(ROW($B$6:$B$53)-ROW($B$6)+1)/($W$6:$W$53&gt;0),ROWS($AA$6:AA11))),"")</f>
        <v/>
      </c>
      <c r="AB11" s="1382" t="str">
        <f t="shared" si="2"/>
        <v/>
      </c>
      <c r="AC11" s="1854" t="str">
        <f t="shared" si="3"/>
        <v/>
      </c>
      <c r="AD11" s="1854" t="str">
        <f t="shared" si="4"/>
        <v/>
      </c>
      <c r="AE11" s="1854" t="str">
        <f t="shared" si="5"/>
        <v/>
      </c>
      <c r="AF11" s="1854" t="str">
        <f t="shared" si="6"/>
        <v/>
      </c>
      <c r="AG11" s="1854" t="str">
        <f t="shared" si="7"/>
        <v/>
      </c>
      <c r="AH11" s="1854" t="str">
        <f t="shared" si="8"/>
        <v/>
      </c>
      <c r="AI11" s="1854" t="str">
        <f t="shared" si="9"/>
        <v/>
      </c>
      <c r="AJ11" s="1854" t="str">
        <f t="shared" si="10"/>
        <v/>
      </c>
      <c r="AK11" s="1854" t="str">
        <f t="shared" si="11"/>
        <v/>
      </c>
      <c r="AL11" s="1854" t="str">
        <f t="shared" si="12"/>
        <v/>
      </c>
      <c r="AM11" s="1854" t="str">
        <f t="shared" si="13"/>
        <v/>
      </c>
      <c r="AN11" s="1854" t="str">
        <f t="shared" si="14"/>
        <v/>
      </c>
      <c r="AO11" s="1854" t="str">
        <f t="shared" si="15"/>
        <v/>
      </c>
      <c r="AP11" s="1854" t="str">
        <f t="shared" si="16"/>
        <v/>
      </c>
      <c r="AQ11" s="1854" t="str">
        <f t="shared" si="17"/>
        <v/>
      </c>
      <c r="AR11" s="1854" t="str">
        <f t="shared" si="18"/>
        <v/>
      </c>
      <c r="AS11" s="1854" t="str">
        <f t="shared" si="19"/>
        <v/>
      </c>
      <c r="AT11" s="1854" t="str">
        <f t="shared" si="20"/>
        <v/>
      </c>
      <c r="AU11" s="1854" t="str">
        <f t="shared" si="21"/>
        <v/>
      </c>
      <c r="AV11" s="1383" t="str">
        <f t="shared" si="22"/>
        <v/>
      </c>
      <c r="AW11" s="1384" t="str">
        <f t="shared" si="23"/>
        <v/>
      </c>
      <c r="AX11" s="1383" t="str">
        <f t="shared" si="24"/>
        <v/>
      </c>
      <c r="AY11" s="1385" t="str">
        <f t="shared" si="25"/>
        <v/>
      </c>
      <c r="AZ11" s="1385" t="str">
        <f t="shared" si="26"/>
        <v/>
      </c>
      <c r="BC11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11))),"")</f>
        <v/>
      </c>
      <c r="BD11" s="500" t="str">
        <f t="shared" si="27"/>
        <v/>
      </c>
      <c r="BE11" s="458" t="str">
        <f t="shared" si="28"/>
        <v/>
      </c>
      <c r="BF11" s="458" t="str">
        <f t="shared" si="29"/>
        <v/>
      </c>
    </row>
    <row r="12" spans="1:58" ht="45.75" customHeight="1">
      <c r="A12" s="2257"/>
      <c r="B12" s="42">
        <f>+PP!B30</f>
        <v>7</v>
      </c>
      <c r="C12" s="1024" t="str">
        <f>+PP!C30</f>
        <v>ALETA ENTERA 1.0-2.0 kg/pza</v>
      </c>
      <c r="D12" s="217"/>
      <c r="E12" s="218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76"/>
      <c r="W12" s="551">
        <f t="shared" si="31"/>
        <v>0</v>
      </c>
      <c r="X12" s="149">
        <f t="shared" si="1"/>
        <v>0</v>
      </c>
      <c r="Y12" s="146">
        <f t="shared" si="30"/>
        <v>0</v>
      </c>
      <c r="AA12" s="1381" t="str">
        <f>IFERROR(INDEX($B$6:$B$53,_xlfn.AGGREGATE(15,6,(ROW($B$6:$B$53)-ROW($B$6)+1)/($W$6:$W$53&gt;0),ROWS($AA$6:AA12))),"")</f>
        <v/>
      </c>
      <c r="AB12" s="1382" t="str">
        <f t="shared" si="2"/>
        <v/>
      </c>
      <c r="AC12" s="1854" t="str">
        <f t="shared" si="3"/>
        <v/>
      </c>
      <c r="AD12" s="1854" t="str">
        <f t="shared" si="4"/>
        <v/>
      </c>
      <c r="AE12" s="1854" t="str">
        <f t="shared" si="5"/>
        <v/>
      </c>
      <c r="AF12" s="1854" t="str">
        <f t="shared" si="6"/>
        <v/>
      </c>
      <c r="AG12" s="1854" t="str">
        <f t="shared" si="7"/>
        <v/>
      </c>
      <c r="AH12" s="1854" t="str">
        <f t="shared" si="8"/>
        <v/>
      </c>
      <c r="AI12" s="1854" t="str">
        <f t="shared" si="9"/>
        <v/>
      </c>
      <c r="AJ12" s="1854" t="str">
        <f t="shared" si="10"/>
        <v/>
      </c>
      <c r="AK12" s="1854" t="str">
        <f t="shared" si="11"/>
        <v/>
      </c>
      <c r="AL12" s="1854" t="str">
        <f t="shared" si="12"/>
        <v/>
      </c>
      <c r="AM12" s="1854" t="str">
        <f t="shared" si="13"/>
        <v/>
      </c>
      <c r="AN12" s="1854" t="str">
        <f t="shared" si="14"/>
        <v/>
      </c>
      <c r="AO12" s="1854" t="str">
        <f t="shared" si="15"/>
        <v/>
      </c>
      <c r="AP12" s="1854" t="str">
        <f t="shared" si="16"/>
        <v/>
      </c>
      <c r="AQ12" s="1854" t="str">
        <f t="shared" si="17"/>
        <v/>
      </c>
      <c r="AR12" s="1854" t="str">
        <f t="shared" si="18"/>
        <v/>
      </c>
      <c r="AS12" s="1854" t="str">
        <f t="shared" si="19"/>
        <v/>
      </c>
      <c r="AT12" s="1854" t="str">
        <f t="shared" si="20"/>
        <v/>
      </c>
      <c r="AU12" s="1854" t="str">
        <f t="shared" si="21"/>
        <v/>
      </c>
      <c r="AV12" s="1383" t="str">
        <f t="shared" si="22"/>
        <v/>
      </c>
      <c r="AW12" s="1384" t="str">
        <f t="shared" si="23"/>
        <v/>
      </c>
      <c r="AX12" s="1383" t="str">
        <f t="shared" si="24"/>
        <v/>
      </c>
      <c r="AY12" s="1385" t="str">
        <f t="shared" si="25"/>
        <v/>
      </c>
      <c r="AZ12" s="1385" t="str">
        <f t="shared" si="26"/>
        <v/>
      </c>
      <c r="BC12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12))),"")</f>
        <v/>
      </c>
      <c r="BD12" s="500" t="str">
        <f t="shared" si="27"/>
        <v/>
      </c>
      <c r="BE12" s="458" t="str">
        <f t="shared" si="28"/>
        <v/>
      </c>
      <c r="BF12" s="458" t="str">
        <f t="shared" si="29"/>
        <v/>
      </c>
    </row>
    <row r="13" spans="1:58" ht="45.75" customHeight="1">
      <c r="A13" s="2257"/>
      <c r="B13" s="42">
        <f>+PP!B31</f>
        <v>8</v>
      </c>
      <c r="C13" s="1024" t="str">
        <f>+PP!C31</f>
        <v>ALETA FRESCA PARTIDA 2.0-4.0 kg/pza</v>
      </c>
      <c r="D13" s="217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76"/>
      <c r="W13" s="551">
        <f t="shared" si="31"/>
        <v>0</v>
      </c>
      <c r="X13" s="149">
        <f t="shared" si="1"/>
        <v>0</v>
      </c>
      <c r="Y13" s="146">
        <f t="shared" si="30"/>
        <v>0</v>
      </c>
      <c r="AA13" s="1381" t="str">
        <f>IFERROR(INDEX($B$6:$B$53,_xlfn.AGGREGATE(15,6,(ROW($B$6:$B$53)-ROW($B$6)+1)/($W$6:$W$53&gt;0),ROWS($AA$6:AA13))),"")</f>
        <v/>
      </c>
      <c r="AB13" s="1382" t="str">
        <f t="shared" si="2"/>
        <v/>
      </c>
      <c r="AC13" s="1854" t="str">
        <f t="shared" si="3"/>
        <v/>
      </c>
      <c r="AD13" s="1854" t="str">
        <f t="shared" si="4"/>
        <v/>
      </c>
      <c r="AE13" s="1854" t="str">
        <f t="shared" si="5"/>
        <v/>
      </c>
      <c r="AF13" s="1854" t="str">
        <f t="shared" si="6"/>
        <v/>
      </c>
      <c r="AG13" s="1854" t="str">
        <f t="shared" si="7"/>
        <v/>
      </c>
      <c r="AH13" s="1854" t="str">
        <f t="shared" si="8"/>
        <v/>
      </c>
      <c r="AI13" s="1854" t="str">
        <f t="shared" si="9"/>
        <v/>
      </c>
      <c r="AJ13" s="1854" t="str">
        <f t="shared" si="10"/>
        <v/>
      </c>
      <c r="AK13" s="1854" t="str">
        <f t="shared" si="11"/>
        <v/>
      </c>
      <c r="AL13" s="1854" t="str">
        <f t="shared" si="12"/>
        <v/>
      </c>
      <c r="AM13" s="1854" t="str">
        <f t="shared" si="13"/>
        <v/>
      </c>
      <c r="AN13" s="1854" t="str">
        <f t="shared" si="14"/>
        <v/>
      </c>
      <c r="AO13" s="1854" t="str">
        <f t="shared" si="15"/>
        <v/>
      </c>
      <c r="AP13" s="1854" t="str">
        <f t="shared" si="16"/>
        <v/>
      </c>
      <c r="AQ13" s="1854" t="str">
        <f t="shared" si="17"/>
        <v/>
      </c>
      <c r="AR13" s="1854" t="str">
        <f t="shared" si="18"/>
        <v/>
      </c>
      <c r="AS13" s="1854" t="str">
        <f t="shared" si="19"/>
        <v/>
      </c>
      <c r="AT13" s="1854" t="str">
        <f t="shared" si="20"/>
        <v/>
      </c>
      <c r="AU13" s="1854" t="str">
        <f t="shared" si="21"/>
        <v/>
      </c>
      <c r="AV13" s="1383" t="str">
        <f t="shared" si="22"/>
        <v/>
      </c>
      <c r="AW13" s="1384" t="str">
        <f t="shared" si="23"/>
        <v/>
      </c>
      <c r="AX13" s="1383" t="str">
        <f t="shared" si="24"/>
        <v/>
      </c>
      <c r="AY13" s="1385" t="str">
        <f t="shared" si="25"/>
        <v/>
      </c>
      <c r="AZ13" s="1385" t="str">
        <f t="shared" si="26"/>
        <v/>
      </c>
      <c r="BC13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13))),"")</f>
        <v/>
      </c>
      <c r="BD13" s="500" t="str">
        <f t="shared" si="27"/>
        <v/>
      </c>
      <c r="BE13" s="458" t="str">
        <f t="shared" si="28"/>
        <v/>
      </c>
      <c r="BF13" s="458" t="str">
        <f t="shared" si="29"/>
        <v/>
      </c>
    </row>
    <row r="14" spans="1:58" ht="45.75" customHeight="1">
      <c r="A14" s="2257"/>
      <c r="B14" s="42">
        <f>+PP!B32</f>
        <v>9</v>
      </c>
      <c r="C14" s="1024" t="str">
        <f>+PP!C32</f>
        <v>ALETA PRECOCIDA ENTERA 300-UP g/pza</v>
      </c>
      <c r="D14" s="217"/>
      <c r="E14" s="218"/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76"/>
      <c r="W14" s="551">
        <f t="shared" si="31"/>
        <v>0</v>
      </c>
      <c r="X14" s="149">
        <f t="shared" si="1"/>
        <v>0</v>
      </c>
      <c r="Y14" s="146">
        <f t="shared" si="30"/>
        <v>0</v>
      </c>
      <c r="AA14" s="1381" t="str">
        <f>IFERROR(INDEX($B$6:$B$53,_xlfn.AGGREGATE(15,6,(ROW($B$6:$B$53)-ROW($B$6)+1)/($W$6:$W$53&gt;0),ROWS($AA$6:AA14))),"")</f>
        <v/>
      </c>
      <c r="AB14" s="1382" t="str">
        <f t="shared" si="2"/>
        <v/>
      </c>
      <c r="AC14" s="1854" t="str">
        <f t="shared" si="3"/>
        <v/>
      </c>
      <c r="AD14" s="1854" t="str">
        <f t="shared" si="4"/>
        <v/>
      </c>
      <c r="AE14" s="1854" t="str">
        <f t="shared" si="5"/>
        <v/>
      </c>
      <c r="AF14" s="1854" t="str">
        <f t="shared" si="6"/>
        <v/>
      </c>
      <c r="AG14" s="1854" t="str">
        <f t="shared" si="7"/>
        <v/>
      </c>
      <c r="AH14" s="1854" t="str">
        <f t="shared" si="8"/>
        <v/>
      </c>
      <c r="AI14" s="1854" t="str">
        <f t="shared" si="9"/>
        <v/>
      </c>
      <c r="AJ14" s="1854" t="str">
        <f t="shared" si="10"/>
        <v/>
      </c>
      <c r="AK14" s="1854" t="str">
        <f t="shared" si="11"/>
        <v/>
      </c>
      <c r="AL14" s="1854" t="str">
        <f t="shared" si="12"/>
        <v/>
      </c>
      <c r="AM14" s="1854" t="str">
        <f t="shared" si="13"/>
        <v/>
      </c>
      <c r="AN14" s="1854" t="str">
        <f t="shared" si="14"/>
        <v/>
      </c>
      <c r="AO14" s="1854" t="str">
        <f t="shared" si="15"/>
        <v/>
      </c>
      <c r="AP14" s="1854" t="str">
        <f t="shared" si="16"/>
        <v/>
      </c>
      <c r="AQ14" s="1854" t="str">
        <f t="shared" si="17"/>
        <v/>
      </c>
      <c r="AR14" s="1854" t="str">
        <f t="shared" si="18"/>
        <v/>
      </c>
      <c r="AS14" s="1854" t="str">
        <f t="shared" si="19"/>
        <v/>
      </c>
      <c r="AT14" s="1854" t="str">
        <f t="shared" si="20"/>
        <v/>
      </c>
      <c r="AU14" s="1854" t="str">
        <f t="shared" si="21"/>
        <v/>
      </c>
      <c r="AV14" s="1383" t="str">
        <f t="shared" si="22"/>
        <v/>
      </c>
      <c r="AW14" s="1384" t="str">
        <f t="shared" si="23"/>
        <v/>
      </c>
      <c r="AX14" s="1383" t="str">
        <f t="shared" si="24"/>
        <v/>
      </c>
      <c r="AY14" s="1385" t="str">
        <f t="shared" si="25"/>
        <v/>
      </c>
      <c r="AZ14" s="1385" t="str">
        <f t="shared" si="26"/>
        <v/>
      </c>
      <c r="BC14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14))),"")</f>
        <v/>
      </c>
      <c r="BD14" s="500" t="str">
        <f t="shared" si="27"/>
        <v/>
      </c>
      <c r="BE14" s="458" t="str">
        <f t="shared" si="28"/>
        <v/>
      </c>
      <c r="BF14" s="458" t="str">
        <f t="shared" si="29"/>
        <v/>
      </c>
    </row>
    <row r="15" spans="1:58" ht="45.75" customHeight="1" thickBot="1">
      <c r="A15" s="2257"/>
      <c r="B15" s="40">
        <f>+PP!B33</f>
        <v>10</v>
      </c>
      <c r="C15" s="1025" t="str">
        <f>+PP!C33</f>
        <v>ALETA PRECOCIDA PARTIDA 300-UP g/pza</v>
      </c>
      <c r="D15" s="214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73"/>
      <c r="W15" s="2988">
        <f t="shared" si="31"/>
        <v>0</v>
      </c>
      <c r="X15" s="150">
        <f t="shared" si="1"/>
        <v>0</v>
      </c>
      <c r="Y15" s="147">
        <f t="shared" si="30"/>
        <v>0</v>
      </c>
      <c r="AA15" s="1381" t="str">
        <f>IFERROR(INDEX($B$6:$B$53,_xlfn.AGGREGATE(15,6,(ROW($B$6:$B$53)-ROW($B$6)+1)/($W$6:$W$53&gt;0),ROWS($AA$6:AA15))),"")</f>
        <v/>
      </c>
      <c r="AB15" s="1382" t="str">
        <f t="shared" si="2"/>
        <v/>
      </c>
      <c r="AC15" s="1854" t="str">
        <f t="shared" si="3"/>
        <v/>
      </c>
      <c r="AD15" s="1854" t="str">
        <f t="shared" si="4"/>
        <v/>
      </c>
      <c r="AE15" s="1854" t="str">
        <f t="shared" si="5"/>
        <v/>
      </c>
      <c r="AF15" s="1854" t="str">
        <f t="shared" si="6"/>
        <v/>
      </c>
      <c r="AG15" s="1854" t="str">
        <f t="shared" si="7"/>
        <v/>
      </c>
      <c r="AH15" s="1854" t="str">
        <f t="shared" si="8"/>
        <v/>
      </c>
      <c r="AI15" s="1854" t="str">
        <f t="shared" si="9"/>
        <v/>
      </c>
      <c r="AJ15" s="1854" t="str">
        <f t="shared" si="10"/>
        <v/>
      </c>
      <c r="AK15" s="1854" t="str">
        <f t="shared" si="11"/>
        <v/>
      </c>
      <c r="AL15" s="1854" t="str">
        <f t="shared" si="12"/>
        <v/>
      </c>
      <c r="AM15" s="1854" t="str">
        <f t="shared" si="13"/>
        <v/>
      </c>
      <c r="AN15" s="1854" t="str">
        <f t="shared" si="14"/>
        <v/>
      </c>
      <c r="AO15" s="1854" t="str">
        <f t="shared" si="15"/>
        <v/>
      </c>
      <c r="AP15" s="1854" t="str">
        <f t="shared" si="16"/>
        <v/>
      </c>
      <c r="AQ15" s="1854" t="str">
        <f t="shared" si="17"/>
        <v/>
      </c>
      <c r="AR15" s="1854" t="str">
        <f t="shared" si="18"/>
        <v/>
      </c>
      <c r="AS15" s="1854" t="str">
        <f t="shared" si="19"/>
        <v/>
      </c>
      <c r="AT15" s="1854" t="str">
        <f t="shared" si="20"/>
        <v/>
      </c>
      <c r="AU15" s="1854" t="str">
        <f t="shared" si="21"/>
        <v/>
      </c>
      <c r="AV15" s="1383" t="str">
        <f t="shared" si="22"/>
        <v/>
      </c>
      <c r="AW15" s="1384" t="str">
        <f t="shared" si="23"/>
        <v/>
      </c>
      <c r="AX15" s="1383" t="str">
        <f t="shared" si="24"/>
        <v/>
      </c>
      <c r="AY15" s="1385" t="str">
        <f t="shared" si="25"/>
        <v/>
      </c>
      <c r="AZ15" s="1385" t="str">
        <f t="shared" si="26"/>
        <v/>
      </c>
      <c r="BC15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15))),"")</f>
        <v/>
      </c>
      <c r="BD15" s="500" t="str">
        <f t="shared" si="27"/>
        <v/>
      </c>
      <c r="BE15" s="458" t="str">
        <f t="shared" si="28"/>
        <v/>
      </c>
      <c r="BF15" s="458" t="str">
        <f t="shared" si="29"/>
        <v/>
      </c>
    </row>
    <row r="16" spans="1:58" ht="45.75" customHeight="1">
      <c r="A16" s="2257"/>
      <c r="B16" s="41">
        <f>+PP!B34</f>
        <v>11</v>
      </c>
      <c r="C16" s="1023" t="str">
        <f>+PP!C34</f>
        <v>BOTON BLANCO SM ST</v>
      </c>
      <c r="D16" s="2999"/>
      <c r="E16" s="1836"/>
      <c r="F16" s="1836"/>
      <c r="G16" s="1836"/>
      <c r="H16" s="1836"/>
      <c r="I16" s="1836"/>
      <c r="J16" s="1836"/>
      <c r="K16" s="1836"/>
      <c r="L16" s="1836"/>
      <c r="M16" s="212"/>
      <c r="N16" s="212"/>
      <c r="O16" s="212"/>
      <c r="P16" s="212"/>
      <c r="Q16" s="212"/>
      <c r="R16" s="212"/>
      <c r="S16" s="212"/>
      <c r="T16" s="212"/>
      <c r="U16" s="212"/>
      <c r="V16" s="231"/>
      <c r="W16" s="548">
        <f t="shared" si="31"/>
        <v>0</v>
      </c>
      <c r="X16" s="148">
        <f t="shared" si="1"/>
        <v>0</v>
      </c>
      <c r="Y16" s="145">
        <f t="shared" si="30"/>
        <v>0</v>
      </c>
      <c r="AA16" s="1381" t="str">
        <f>IFERROR(INDEX($B$6:$B$53,_xlfn.AGGREGATE(15,6,(ROW($B$6:$B$53)-ROW($B$6)+1)/($W$6:$W$53&gt;0),ROWS($AA$6:AA16))),"")</f>
        <v/>
      </c>
      <c r="AB16" s="1382" t="str">
        <f t="shared" si="2"/>
        <v/>
      </c>
      <c r="AC16" s="1854" t="str">
        <f t="shared" si="3"/>
        <v/>
      </c>
      <c r="AD16" s="1854" t="str">
        <f t="shared" si="4"/>
        <v/>
      </c>
      <c r="AE16" s="1854" t="str">
        <f t="shared" si="5"/>
        <v/>
      </c>
      <c r="AF16" s="1854" t="str">
        <f t="shared" si="6"/>
        <v/>
      </c>
      <c r="AG16" s="1854" t="str">
        <f t="shared" si="7"/>
        <v/>
      </c>
      <c r="AH16" s="1854" t="str">
        <f t="shared" si="8"/>
        <v/>
      </c>
      <c r="AI16" s="1854" t="str">
        <f t="shared" si="9"/>
        <v/>
      </c>
      <c r="AJ16" s="1854" t="str">
        <f t="shared" si="10"/>
        <v/>
      </c>
      <c r="AK16" s="1854" t="str">
        <f t="shared" si="11"/>
        <v/>
      </c>
      <c r="AL16" s="1854" t="str">
        <f t="shared" si="12"/>
        <v/>
      </c>
      <c r="AM16" s="1854" t="str">
        <f t="shared" si="13"/>
        <v/>
      </c>
      <c r="AN16" s="1854" t="str">
        <f t="shared" si="14"/>
        <v/>
      </c>
      <c r="AO16" s="1854" t="str">
        <f t="shared" si="15"/>
        <v/>
      </c>
      <c r="AP16" s="1854" t="str">
        <f t="shared" si="16"/>
        <v/>
      </c>
      <c r="AQ16" s="1854" t="str">
        <f t="shared" si="17"/>
        <v/>
      </c>
      <c r="AR16" s="1854" t="str">
        <f t="shared" si="18"/>
        <v/>
      </c>
      <c r="AS16" s="1854" t="str">
        <f t="shared" si="19"/>
        <v/>
      </c>
      <c r="AT16" s="1854" t="str">
        <f t="shared" si="20"/>
        <v/>
      </c>
      <c r="AU16" s="1854" t="str">
        <f t="shared" si="21"/>
        <v/>
      </c>
      <c r="AV16" s="1383" t="str">
        <f t="shared" si="22"/>
        <v/>
      </c>
      <c r="AW16" s="1384" t="str">
        <f t="shared" si="23"/>
        <v/>
      </c>
      <c r="AX16" s="1383" t="str">
        <f t="shared" si="24"/>
        <v/>
      </c>
      <c r="AY16" s="1385" t="str">
        <f t="shared" si="25"/>
        <v/>
      </c>
      <c r="AZ16" s="1385" t="str">
        <f t="shared" si="26"/>
        <v/>
      </c>
      <c r="BC1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16))),"")</f>
        <v/>
      </c>
      <c r="BD16" s="500" t="str">
        <f t="shared" si="27"/>
        <v/>
      </c>
      <c r="BE16" s="458" t="str">
        <f t="shared" si="28"/>
        <v/>
      </c>
      <c r="BF16" s="458" t="str">
        <f t="shared" si="29"/>
        <v/>
      </c>
    </row>
    <row r="17" spans="1:58" ht="45.75" customHeight="1" thickBot="1">
      <c r="A17" s="2257"/>
      <c r="B17" s="40">
        <f>+PP!B35</f>
        <v>12</v>
      </c>
      <c r="C17" s="1025" t="str">
        <f>+PP!C35</f>
        <v>BOTON AMARILLO SM ST</v>
      </c>
      <c r="D17" s="3000"/>
      <c r="E17" s="3001"/>
      <c r="F17" s="3001"/>
      <c r="G17" s="3001"/>
      <c r="H17" s="3001"/>
      <c r="I17" s="3001"/>
      <c r="J17" s="3001"/>
      <c r="K17" s="3001"/>
      <c r="L17" s="3001"/>
      <c r="M17" s="3001"/>
      <c r="N17" s="215"/>
      <c r="O17" s="215"/>
      <c r="P17" s="215"/>
      <c r="Q17" s="215"/>
      <c r="R17" s="215"/>
      <c r="S17" s="215"/>
      <c r="T17" s="215"/>
      <c r="U17" s="215"/>
      <c r="V17" s="273"/>
      <c r="W17" s="2988">
        <f t="shared" si="31"/>
        <v>0</v>
      </c>
      <c r="X17" s="150">
        <f t="shared" si="1"/>
        <v>0</v>
      </c>
      <c r="Y17" s="147">
        <f t="shared" si="30"/>
        <v>0</v>
      </c>
      <c r="AA17" s="1381" t="str">
        <f>IFERROR(INDEX($B$6:$B$53,_xlfn.AGGREGATE(15,6,(ROW($B$6:$B$53)-ROW($B$6)+1)/($W$6:$W$53&gt;0),ROWS($AA$6:AA17))),"")</f>
        <v/>
      </c>
      <c r="AB17" s="1382" t="str">
        <f t="shared" si="2"/>
        <v/>
      </c>
      <c r="AC17" s="1854" t="str">
        <f t="shared" si="3"/>
        <v/>
      </c>
      <c r="AD17" s="1854" t="str">
        <f t="shared" si="4"/>
        <v/>
      </c>
      <c r="AE17" s="1854" t="str">
        <f t="shared" si="5"/>
        <v/>
      </c>
      <c r="AF17" s="1854" t="str">
        <f t="shared" si="6"/>
        <v/>
      </c>
      <c r="AG17" s="1854" t="str">
        <f t="shared" si="7"/>
        <v/>
      </c>
      <c r="AH17" s="1854" t="str">
        <f t="shared" si="8"/>
        <v/>
      </c>
      <c r="AI17" s="1854" t="str">
        <f t="shared" si="9"/>
        <v/>
      </c>
      <c r="AJ17" s="1854" t="str">
        <f t="shared" si="10"/>
        <v/>
      </c>
      <c r="AK17" s="1854" t="str">
        <f t="shared" si="11"/>
        <v/>
      </c>
      <c r="AL17" s="1854" t="str">
        <f t="shared" si="12"/>
        <v/>
      </c>
      <c r="AM17" s="1854" t="str">
        <f t="shared" si="13"/>
        <v/>
      </c>
      <c r="AN17" s="1854" t="str">
        <f t="shared" si="14"/>
        <v/>
      </c>
      <c r="AO17" s="1854" t="str">
        <f t="shared" si="15"/>
        <v/>
      </c>
      <c r="AP17" s="1854" t="str">
        <f t="shared" si="16"/>
        <v/>
      </c>
      <c r="AQ17" s="1854" t="str">
        <f t="shared" si="17"/>
        <v/>
      </c>
      <c r="AR17" s="1854" t="str">
        <f t="shared" si="18"/>
        <v/>
      </c>
      <c r="AS17" s="1854" t="str">
        <f t="shared" si="19"/>
        <v/>
      </c>
      <c r="AT17" s="1854" t="str">
        <f t="shared" si="20"/>
        <v/>
      </c>
      <c r="AU17" s="1854" t="str">
        <f t="shared" si="21"/>
        <v/>
      </c>
      <c r="AV17" s="1383" t="str">
        <f t="shared" si="22"/>
        <v/>
      </c>
      <c r="AW17" s="1384" t="str">
        <f t="shared" si="23"/>
        <v/>
      </c>
      <c r="AX17" s="1383" t="str">
        <f t="shared" si="24"/>
        <v/>
      </c>
      <c r="AY17" s="1385" t="str">
        <f t="shared" si="25"/>
        <v/>
      </c>
      <c r="AZ17" s="1385" t="str">
        <f t="shared" si="26"/>
        <v/>
      </c>
      <c r="BC1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17))),"")</f>
        <v/>
      </c>
      <c r="BD17" s="500" t="str">
        <f t="shared" si="27"/>
        <v/>
      </c>
      <c r="BE17" s="458" t="str">
        <f t="shared" si="28"/>
        <v/>
      </c>
      <c r="BF17" s="458" t="str">
        <f t="shared" si="29"/>
        <v/>
      </c>
    </row>
    <row r="18" spans="1:58" ht="43.5" customHeight="1" thickBot="1">
      <c r="A18" s="2257"/>
      <c r="B18" s="526">
        <f>+PP!B36</f>
        <v>13</v>
      </c>
      <c r="C18" s="1196" t="str">
        <f>+PP!C36</f>
        <v>CONOS DE POTA</v>
      </c>
      <c r="D18" s="220"/>
      <c r="E18" s="221"/>
      <c r="F18" s="22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996"/>
      <c r="W18" s="1793">
        <f t="shared" si="31"/>
        <v>0</v>
      </c>
      <c r="X18" s="153">
        <f t="shared" si="1"/>
        <v>0</v>
      </c>
      <c r="Y18" s="154">
        <f t="shared" si="30"/>
        <v>0</v>
      </c>
      <c r="AA18" s="1381" t="str">
        <f>IFERROR(INDEX($B$6:$B$53,_xlfn.AGGREGATE(15,6,(ROW($B$6:$B$53)-ROW($B$6)+1)/($W$6:$W$53&gt;0),ROWS($AA$6:AA18))),"")</f>
        <v/>
      </c>
      <c r="AB18" s="1382" t="str">
        <f t="shared" si="2"/>
        <v/>
      </c>
      <c r="AC18" s="1854" t="str">
        <f t="shared" si="3"/>
        <v/>
      </c>
      <c r="AD18" s="1854" t="str">
        <f t="shared" si="4"/>
        <v/>
      </c>
      <c r="AE18" s="1854" t="str">
        <f t="shared" si="5"/>
        <v/>
      </c>
      <c r="AF18" s="1854" t="str">
        <f t="shared" si="6"/>
        <v/>
      </c>
      <c r="AG18" s="1854" t="str">
        <f t="shared" si="7"/>
        <v/>
      </c>
      <c r="AH18" s="1854" t="str">
        <f t="shared" si="8"/>
        <v/>
      </c>
      <c r="AI18" s="1854" t="str">
        <f t="shared" si="9"/>
        <v/>
      </c>
      <c r="AJ18" s="1854" t="str">
        <f t="shared" si="10"/>
        <v/>
      </c>
      <c r="AK18" s="1854" t="str">
        <f t="shared" si="11"/>
        <v/>
      </c>
      <c r="AL18" s="1854" t="str">
        <f t="shared" si="12"/>
        <v/>
      </c>
      <c r="AM18" s="1854" t="str">
        <f t="shared" si="13"/>
        <v/>
      </c>
      <c r="AN18" s="1854" t="str">
        <f t="shared" si="14"/>
        <v/>
      </c>
      <c r="AO18" s="1854" t="str">
        <f t="shared" si="15"/>
        <v/>
      </c>
      <c r="AP18" s="1854" t="str">
        <f t="shared" si="16"/>
        <v/>
      </c>
      <c r="AQ18" s="1854" t="str">
        <f t="shared" si="17"/>
        <v/>
      </c>
      <c r="AR18" s="1854" t="str">
        <f t="shared" si="18"/>
        <v/>
      </c>
      <c r="AS18" s="1854" t="str">
        <f t="shared" si="19"/>
        <v/>
      </c>
      <c r="AT18" s="1854" t="str">
        <f t="shared" si="20"/>
        <v/>
      </c>
      <c r="AU18" s="1854" t="str">
        <f t="shared" si="21"/>
        <v/>
      </c>
      <c r="AV18" s="1383" t="str">
        <f t="shared" si="22"/>
        <v/>
      </c>
      <c r="AW18" s="1384" t="str">
        <f t="shared" si="23"/>
        <v/>
      </c>
      <c r="AX18" s="1383" t="str">
        <f t="shared" si="24"/>
        <v/>
      </c>
      <c r="AY18" s="1385" t="str">
        <f t="shared" si="25"/>
        <v/>
      </c>
      <c r="AZ18" s="1385" t="str">
        <f t="shared" si="26"/>
        <v/>
      </c>
      <c r="BC18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18))),"")</f>
        <v/>
      </c>
      <c r="BD18" s="500" t="str">
        <f t="shared" si="27"/>
        <v/>
      </c>
      <c r="BE18" s="458" t="str">
        <f t="shared" si="28"/>
        <v/>
      </c>
      <c r="BF18" s="458" t="str">
        <f t="shared" si="29"/>
        <v/>
      </c>
    </row>
    <row r="19" spans="1:58" ht="43.5" customHeight="1">
      <c r="A19" s="2257"/>
      <c r="B19" s="41">
        <f>+PP!B37</f>
        <v>14</v>
      </c>
      <c r="C19" s="1023" t="str">
        <f>+PP!C37</f>
        <v>FILETE C/TT DARUMA</v>
      </c>
      <c r="D19" s="211"/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2"/>
      <c r="P19" s="212"/>
      <c r="Q19" s="212"/>
      <c r="R19" s="212"/>
      <c r="S19" s="212"/>
      <c r="T19" s="212"/>
      <c r="U19" s="212"/>
      <c r="V19" s="231"/>
      <c r="W19" s="548">
        <f t="shared" si="31"/>
        <v>0</v>
      </c>
      <c r="X19" s="148">
        <f t="shared" si="1"/>
        <v>0</v>
      </c>
      <c r="Y19" s="145">
        <f t="shared" si="30"/>
        <v>0</v>
      </c>
      <c r="AA19" s="1381" t="str">
        <f>IFERROR(INDEX($B$6:$B$53,_xlfn.AGGREGATE(15,6,(ROW($B$6:$B$53)-ROW($B$6)+1)/($W$6:$W$53&gt;0),ROWS($AA$6:AA19))),"")</f>
        <v/>
      </c>
      <c r="AB19" s="1382" t="str">
        <f t="shared" si="2"/>
        <v/>
      </c>
      <c r="AC19" s="1854" t="str">
        <f t="shared" si="3"/>
        <v/>
      </c>
      <c r="AD19" s="1854" t="str">
        <f t="shared" si="4"/>
        <v/>
      </c>
      <c r="AE19" s="1854" t="str">
        <f t="shared" si="5"/>
        <v/>
      </c>
      <c r="AF19" s="1854" t="str">
        <f t="shared" si="6"/>
        <v/>
      </c>
      <c r="AG19" s="1854" t="str">
        <f t="shared" si="7"/>
        <v/>
      </c>
      <c r="AH19" s="1854" t="str">
        <f t="shared" si="8"/>
        <v/>
      </c>
      <c r="AI19" s="1854" t="str">
        <f t="shared" si="9"/>
        <v/>
      </c>
      <c r="AJ19" s="1854" t="str">
        <f t="shared" si="10"/>
        <v/>
      </c>
      <c r="AK19" s="1854" t="str">
        <f t="shared" si="11"/>
        <v/>
      </c>
      <c r="AL19" s="1854" t="str">
        <f t="shared" si="12"/>
        <v/>
      </c>
      <c r="AM19" s="1854" t="str">
        <f t="shared" si="13"/>
        <v/>
      </c>
      <c r="AN19" s="1854" t="str">
        <f t="shared" si="14"/>
        <v/>
      </c>
      <c r="AO19" s="1854" t="str">
        <f t="shared" si="15"/>
        <v/>
      </c>
      <c r="AP19" s="1854" t="str">
        <f t="shared" si="16"/>
        <v/>
      </c>
      <c r="AQ19" s="1854" t="str">
        <f t="shared" si="17"/>
        <v/>
      </c>
      <c r="AR19" s="1854" t="str">
        <f t="shared" si="18"/>
        <v/>
      </c>
      <c r="AS19" s="1854" t="str">
        <f t="shared" si="19"/>
        <v/>
      </c>
      <c r="AT19" s="1854" t="str">
        <f t="shared" si="20"/>
        <v/>
      </c>
      <c r="AU19" s="1854" t="str">
        <f t="shared" si="21"/>
        <v/>
      </c>
      <c r="AV19" s="1383" t="str">
        <f t="shared" si="22"/>
        <v/>
      </c>
      <c r="AW19" s="1384" t="str">
        <f t="shared" si="23"/>
        <v/>
      </c>
      <c r="AX19" s="1383" t="str">
        <f t="shared" si="24"/>
        <v/>
      </c>
      <c r="AY19" s="1385" t="str">
        <f t="shared" si="25"/>
        <v/>
      </c>
      <c r="AZ19" s="1385" t="str">
        <f t="shared" si="26"/>
        <v/>
      </c>
      <c r="BC19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19))),"")</f>
        <v/>
      </c>
      <c r="BD19" s="500" t="str">
        <f t="shared" si="27"/>
        <v/>
      </c>
      <c r="BE19" s="458" t="str">
        <f t="shared" si="28"/>
        <v/>
      </c>
      <c r="BF19" s="458" t="str">
        <f t="shared" si="29"/>
        <v/>
      </c>
    </row>
    <row r="20" spans="1:58" ht="43.5" customHeight="1">
      <c r="A20" s="2257"/>
      <c r="B20" s="42">
        <f>+PP!B38</f>
        <v>15</v>
      </c>
      <c r="C20" s="1024" t="str">
        <f>+PP!C38</f>
        <v>FILETE C/M C/T TRES PIELES 1.0-2.0 kg/pza</v>
      </c>
      <c r="D20" s="217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76"/>
      <c r="W20" s="551">
        <f t="shared" si="31"/>
        <v>0</v>
      </c>
      <c r="X20" s="149">
        <f t="shared" si="1"/>
        <v>0</v>
      </c>
      <c r="Y20" s="146">
        <f t="shared" si="30"/>
        <v>0</v>
      </c>
      <c r="AA20" s="1381" t="str">
        <f>IFERROR(INDEX($B$6:$B$53,_xlfn.AGGREGATE(15,6,(ROW($B$6:$B$53)-ROW($B$6)+1)/($W$6:$W$53&gt;0),ROWS($AA$6:AA20))),"")</f>
        <v/>
      </c>
      <c r="AB20" s="1382" t="str">
        <f t="shared" si="2"/>
        <v/>
      </c>
      <c r="AC20" s="1854" t="str">
        <f t="shared" si="3"/>
        <v/>
      </c>
      <c r="AD20" s="1854" t="str">
        <f t="shared" si="4"/>
        <v/>
      </c>
      <c r="AE20" s="1854" t="str">
        <f t="shared" si="5"/>
        <v/>
      </c>
      <c r="AF20" s="1854" t="str">
        <f t="shared" si="6"/>
        <v/>
      </c>
      <c r="AG20" s="1854" t="str">
        <f t="shared" si="7"/>
        <v/>
      </c>
      <c r="AH20" s="1854" t="str">
        <f t="shared" si="8"/>
        <v/>
      </c>
      <c r="AI20" s="1854" t="str">
        <f t="shared" si="9"/>
        <v/>
      </c>
      <c r="AJ20" s="1854" t="str">
        <f t="shared" si="10"/>
        <v/>
      </c>
      <c r="AK20" s="1854" t="str">
        <f t="shared" si="11"/>
        <v/>
      </c>
      <c r="AL20" s="1854" t="str">
        <f t="shared" si="12"/>
        <v/>
      </c>
      <c r="AM20" s="1854" t="str">
        <f t="shared" si="13"/>
        <v/>
      </c>
      <c r="AN20" s="1854" t="str">
        <f t="shared" si="14"/>
        <v/>
      </c>
      <c r="AO20" s="1854" t="str">
        <f t="shared" si="15"/>
        <v/>
      </c>
      <c r="AP20" s="1854" t="str">
        <f t="shared" si="16"/>
        <v/>
      </c>
      <c r="AQ20" s="1854" t="str">
        <f t="shared" si="17"/>
        <v/>
      </c>
      <c r="AR20" s="1854" t="str">
        <f t="shared" si="18"/>
        <v/>
      </c>
      <c r="AS20" s="1854" t="str">
        <f t="shared" si="19"/>
        <v/>
      </c>
      <c r="AT20" s="1854" t="str">
        <f t="shared" si="20"/>
        <v/>
      </c>
      <c r="AU20" s="1854" t="str">
        <f t="shared" si="21"/>
        <v/>
      </c>
      <c r="AV20" s="1383" t="str">
        <f t="shared" si="22"/>
        <v/>
      </c>
      <c r="AW20" s="1384" t="str">
        <f t="shared" si="23"/>
        <v/>
      </c>
      <c r="AX20" s="1383" t="str">
        <f t="shared" si="24"/>
        <v/>
      </c>
      <c r="AY20" s="1385" t="str">
        <f t="shared" si="25"/>
        <v/>
      </c>
      <c r="AZ20" s="1385" t="str">
        <f t="shared" si="26"/>
        <v/>
      </c>
      <c r="BC20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20))),"")</f>
        <v/>
      </c>
      <c r="BD20" s="500" t="str">
        <f t="shared" si="27"/>
        <v/>
      </c>
      <c r="BE20" s="458" t="str">
        <f t="shared" si="28"/>
        <v/>
      </c>
      <c r="BF20" s="458" t="str">
        <f t="shared" si="29"/>
        <v/>
      </c>
    </row>
    <row r="21" spans="1:58" ht="43.5" customHeight="1">
      <c r="A21" s="2257"/>
      <c r="B21" s="42">
        <f>+PP!B39</f>
        <v>16</v>
      </c>
      <c r="C21" s="1024" t="str">
        <f>+PP!C39</f>
        <v>FILETE C/M C/T TRES PIELES 2.0-4.0 kg/pza</v>
      </c>
      <c r="D21" s="217"/>
      <c r="E21" s="218"/>
      <c r="F21" s="218"/>
      <c r="G21" s="218"/>
      <c r="H21" s="218"/>
      <c r="I21" s="218"/>
      <c r="J21" s="218"/>
      <c r="K21" s="218"/>
      <c r="L21" s="218"/>
      <c r="M21" s="218"/>
      <c r="N21" s="218"/>
      <c r="O21" s="218"/>
      <c r="P21" s="218"/>
      <c r="Q21" s="218"/>
      <c r="R21" s="218"/>
      <c r="S21" s="218"/>
      <c r="T21" s="218"/>
      <c r="U21" s="218"/>
      <c r="V21" s="276"/>
      <c r="W21" s="551">
        <f t="shared" si="31"/>
        <v>0</v>
      </c>
      <c r="X21" s="149">
        <f t="shared" si="1"/>
        <v>0</v>
      </c>
      <c r="Y21" s="146">
        <f t="shared" si="30"/>
        <v>0</v>
      </c>
      <c r="AA21" s="1381" t="str">
        <f>IFERROR(INDEX($B$6:$B$53,_xlfn.AGGREGATE(15,6,(ROW($B$6:$B$53)-ROW($B$6)+1)/($W$6:$W$53&gt;0),ROWS($AA$6:AA21))),"")</f>
        <v/>
      </c>
      <c r="AB21" s="1382" t="str">
        <f t="shared" si="2"/>
        <v/>
      </c>
      <c r="AC21" s="1380" t="str">
        <f t="shared" si="3"/>
        <v/>
      </c>
      <c r="AD21" s="1380" t="str">
        <f t="shared" si="4"/>
        <v/>
      </c>
      <c r="AE21" s="1380" t="str">
        <f t="shared" si="5"/>
        <v/>
      </c>
      <c r="AF21" s="1380" t="str">
        <f t="shared" si="6"/>
        <v/>
      </c>
      <c r="AG21" s="1380" t="str">
        <f t="shared" si="7"/>
        <v/>
      </c>
      <c r="AH21" s="1380" t="str">
        <f t="shared" si="8"/>
        <v/>
      </c>
      <c r="AI21" s="1380" t="str">
        <f t="shared" si="9"/>
        <v/>
      </c>
      <c r="AJ21" s="1380" t="str">
        <f t="shared" si="10"/>
        <v/>
      </c>
      <c r="AK21" s="1380" t="str">
        <f t="shared" si="11"/>
        <v/>
      </c>
      <c r="AL21" s="1380" t="str">
        <f t="shared" si="12"/>
        <v/>
      </c>
      <c r="AM21" s="1380" t="str">
        <f t="shared" si="13"/>
        <v/>
      </c>
      <c r="AN21" s="1380" t="str">
        <f t="shared" si="14"/>
        <v/>
      </c>
      <c r="AO21" s="1380" t="str">
        <f t="shared" si="15"/>
        <v/>
      </c>
      <c r="AP21" s="1380" t="str">
        <f t="shared" si="16"/>
        <v/>
      </c>
      <c r="AQ21" s="1380" t="str">
        <f t="shared" si="17"/>
        <v/>
      </c>
      <c r="AR21" s="1380" t="str">
        <f t="shared" si="18"/>
        <v/>
      </c>
      <c r="AS21" s="1380" t="str">
        <f t="shared" si="19"/>
        <v/>
      </c>
      <c r="AT21" s="1380" t="str">
        <f t="shared" si="20"/>
        <v/>
      </c>
      <c r="AU21" s="1380" t="str">
        <f t="shared" si="21"/>
        <v/>
      </c>
      <c r="AV21" s="1383" t="str">
        <f t="shared" si="22"/>
        <v/>
      </c>
      <c r="AW21" s="1384" t="str">
        <f t="shared" si="23"/>
        <v/>
      </c>
      <c r="AX21" s="1383" t="str">
        <f t="shared" si="24"/>
        <v/>
      </c>
      <c r="AY21" s="1385" t="str">
        <f t="shared" si="25"/>
        <v/>
      </c>
      <c r="AZ21" s="1385" t="str">
        <f t="shared" si="26"/>
        <v/>
      </c>
      <c r="BC21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21))),"")</f>
        <v/>
      </c>
      <c r="BD21" s="500" t="str">
        <f t="shared" si="27"/>
        <v/>
      </c>
      <c r="BE21" s="458" t="str">
        <f t="shared" si="28"/>
        <v/>
      </c>
      <c r="BF21" s="458" t="str">
        <f t="shared" si="29"/>
        <v/>
      </c>
    </row>
    <row r="22" spans="1:58" ht="43.5" customHeight="1">
      <c r="A22" s="2257"/>
      <c r="B22" s="42">
        <f>+PP!B40</f>
        <v>17</v>
      </c>
      <c r="C22" s="1024" t="str">
        <f>+PP!C40</f>
        <v>FILETE C/M C/T ENTERO BLANCO 1.0-2.0 kg/pza</v>
      </c>
      <c r="D22" s="217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218"/>
      <c r="Q22" s="1198"/>
      <c r="R22" s="388"/>
      <c r="S22" s="388"/>
      <c r="T22" s="388"/>
      <c r="U22" s="388"/>
      <c r="V22" s="1502"/>
      <c r="W22" s="551">
        <f t="shared" si="31"/>
        <v>0</v>
      </c>
      <c r="X22" s="149">
        <f t="shared" si="1"/>
        <v>0</v>
      </c>
      <c r="Y22" s="146">
        <f t="shared" si="30"/>
        <v>0</v>
      </c>
      <c r="AA22" s="1388" t="str">
        <f>IFERROR(INDEX($B$6:$B$53,_xlfn.AGGREGATE(15,6,(ROW($B$6:$B$53)-ROW($B$6)+1)/($W$6:$W$53&gt;0),ROWS($AA$6:AA22))),"")</f>
        <v/>
      </c>
      <c r="AB22" s="1390" t="str">
        <f t="shared" si="2"/>
        <v/>
      </c>
      <c r="AC22" s="1190" t="str">
        <f t="shared" si="3"/>
        <v/>
      </c>
      <c r="AD22" s="1190" t="str">
        <f t="shared" si="4"/>
        <v/>
      </c>
      <c r="AE22" s="1190" t="str">
        <f t="shared" si="5"/>
        <v/>
      </c>
      <c r="AF22" s="1190" t="str">
        <f t="shared" si="6"/>
        <v/>
      </c>
      <c r="AG22" s="1190" t="str">
        <f t="shared" si="7"/>
        <v/>
      </c>
      <c r="AH22" s="1190" t="str">
        <f t="shared" si="8"/>
        <v/>
      </c>
      <c r="AI22" s="1190" t="str">
        <f t="shared" si="9"/>
        <v/>
      </c>
      <c r="AJ22" s="1190" t="str">
        <f t="shared" si="10"/>
        <v/>
      </c>
      <c r="AK22" s="1190" t="str">
        <f t="shared" si="11"/>
        <v/>
      </c>
      <c r="AL22" s="1190" t="str">
        <f t="shared" si="12"/>
        <v/>
      </c>
      <c r="AM22" s="1190" t="str">
        <f t="shared" si="13"/>
        <v/>
      </c>
      <c r="AN22" s="1190" t="str">
        <f t="shared" si="14"/>
        <v/>
      </c>
      <c r="AO22" s="1190" t="str">
        <f t="shared" si="15"/>
        <v/>
      </c>
      <c r="AP22" s="1190" t="str">
        <f t="shared" si="16"/>
        <v/>
      </c>
      <c r="AQ22" s="1190" t="str">
        <f t="shared" si="17"/>
        <v/>
      </c>
      <c r="AR22" s="1190" t="str">
        <f t="shared" si="18"/>
        <v/>
      </c>
      <c r="AS22" s="1190" t="str">
        <f t="shared" si="19"/>
        <v/>
      </c>
      <c r="AT22" s="1190" t="str">
        <f t="shared" si="20"/>
        <v/>
      </c>
      <c r="AU22" s="1190" t="str">
        <f t="shared" si="21"/>
        <v/>
      </c>
      <c r="AV22" s="1389" t="str">
        <f t="shared" si="22"/>
        <v/>
      </c>
      <c r="AW22" s="1176" t="str">
        <f t="shared" si="23"/>
        <v/>
      </c>
      <c r="AX22" s="1175" t="str">
        <f t="shared" si="24"/>
        <v/>
      </c>
      <c r="AY22" s="1172" t="str">
        <f t="shared" si="25"/>
        <v/>
      </c>
      <c r="AZ22" s="1172" t="str">
        <f t="shared" si="26"/>
        <v/>
      </c>
      <c r="BC22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22))),"")</f>
        <v/>
      </c>
      <c r="BD22" s="500" t="str">
        <f t="shared" si="27"/>
        <v/>
      </c>
      <c r="BE22" s="458" t="str">
        <f t="shared" si="28"/>
        <v/>
      </c>
      <c r="BF22" s="458" t="str">
        <f t="shared" si="29"/>
        <v/>
      </c>
    </row>
    <row r="23" spans="1:58" ht="43.5" customHeight="1">
      <c r="A23" s="2257"/>
      <c r="B23" s="42">
        <f>+PP!B41</f>
        <v>18</v>
      </c>
      <c r="C23" s="1024" t="str">
        <f>+PP!C41</f>
        <v>FILETE C/M C/T ENTERO BLANCO 2.0-4.0 kg/pza</v>
      </c>
      <c r="D23" s="217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218"/>
      <c r="Q23" s="1198"/>
      <c r="R23" s="388"/>
      <c r="S23" s="388"/>
      <c r="T23" s="388"/>
      <c r="U23" s="388"/>
      <c r="V23" s="1502"/>
      <c r="W23" s="551">
        <f t="shared" si="31"/>
        <v>0</v>
      </c>
      <c r="X23" s="149">
        <f t="shared" si="1"/>
        <v>0</v>
      </c>
      <c r="Y23" s="146">
        <f t="shared" si="30"/>
        <v>0</v>
      </c>
      <c r="AA23" s="1173" t="str">
        <f>IFERROR(INDEX($B$6:$B$53,_xlfn.AGGREGATE(15,6,(ROW($B$6:$B$53)-ROW($B$6)+1)/($W$6:$W$53&gt;0),ROWS($AA$6:AA23))),"")</f>
        <v/>
      </c>
      <c r="AB23" s="1179" t="str">
        <f t="shared" si="2"/>
        <v/>
      </c>
      <c r="AC23" s="1174" t="str">
        <f t="shared" si="3"/>
        <v/>
      </c>
      <c r="AD23" s="1174" t="str">
        <f t="shared" si="4"/>
        <v/>
      </c>
      <c r="AE23" s="1174" t="str">
        <f t="shared" si="5"/>
        <v/>
      </c>
      <c r="AF23" s="1174" t="str">
        <f t="shared" si="6"/>
        <v/>
      </c>
      <c r="AG23" s="1174" t="str">
        <f t="shared" si="7"/>
        <v/>
      </c>
      <c r="AH23" s="1174" t="str">
        <f t="shared" si="8"/>
        <v/>
      </c>
      <c r="AI23" s="1174" t="str">
        <f t="shared" si="9"/>
        <v/>
      </c>
      <c r="AJ23" s="1174" t="str">
        <f t="shared" si="10"/>
        <v/>
      </c>
      <c r="AK23" s="1174" t="str">
        <f t="shared" si="11"/>
        <v/>
      </c>
      <c r="AL23" s="1174" t="str">
        <f t="shared" si="12"/>
        <v/>
      </c>
      <c r="AM23" s="1174" t="str">
        <f t="shared" si="13"/>
        <v/>
      </c>
      <c r="AN23" s="1174" t="str">
        <f t="shared" si="14"/>
        <v/>
      </c>
      <c r="AO23" s="1174" t="str">
        <f t="shared" si="15"/>
        <v/>
      </c>
      <c r="AP23" s="1174" t="str">
        <f t="shared" si="16"/>
        <v/>
      </c>
      <c r="AQ23" s="1174" t="str">
        <f t="shared" si="17"/>
        <v/>
      </c>
      <c r="AR23" s="1174" t="str">
        <f t="shared" si="18"/>
        <v/>
      </c>
      <c r="AS23" s="1174" t="str">
        <f t="shared" si="19"/>
        <v/>
      </c>
      <c r="AT23" s="1174" t="str">
        <f t="shared" si="20"/>
        <v/>
      </c>
      <c r="AU23" s="1174" t="str">
        <f t="shared" si="21"/>
        <v/>
      </c>
      <c r="AV23" s="1175" t="str">
        <f t="shared" si="22"/>
        <v/>
      </c>
      <c r="AW23" s="1176" t="str">
        <f t="shared" si="23"/>
        <v/>
      </c>
      <c r="AX23" s="1175" t="str">
        <f t="shared" si="24"/>
        <v/>
      </c>
      <c r="AY23" s="1172" t="str">
        <f t="shared" si="25"/>
        <v/>
      </c>
      <c r="AZ23" s="1172" t="str">
        <f t="shared" si="26"/>
        <v/>
      </c>
      <c r="BC23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23))),"")</f>
        <v/>
      </c>
      <c r="BD23" s="500" t="str">
        <f t="shared" si="27"/>
        <v/>
      </c>
      <c r="BE23" s="458" t="str">
        <f t="shared" si="28"/>
        <v/>
      </c>
      <c r="BF23" s="458" t="str">
        <f t="shared" si="29"/>
        <v/>
      </c>
    </row>
    <row r="24" spans="1:58" ht="43.5" customHeight="1" thickBot="1">
      <c r="A24" s="2257"/>
      <c r="B24" s="40">
        <f>+PP!B42</f>
        <v>19</v>
      </c>
      <c r="C24" s="1025" t="str">
        <f>+PP!C42</f>
        <v>FILETE LP C/M C/T ENTERO 2.0-4.0 kg/pza</v>
      </c>
      <c r="D24" s="214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3002"/>
      <c r="R24" s="1008"/>
      <c r="S24" s="1008"/>
      <c r="T24" s="1008"/>
      <c r="U24" s="1008"/>
      <c r="V24" s="1500"/>
      <c r="W24" s="2988">
        <f t="shared" si="31"/>
        <v>0</v>
      </c>
      <c r="X24" s="150">
        <f t="shared" si="1"/>
        <v>0</v>
      </c>
      <c r="Y24" s="147">
        <f t="shared" si="30"/>
        <v>0</v>
      </c>
      <c r="AA24" s="1173" t="str">
        <f>IFERROR(INDEX($B$6:$B$53,_xlfn.AGGREGATE(15,6,(ROW($B$6:$B$53)-ROW($B$6)+1)/($W$6:$W$53&gt;0),ROWS($AA$6:AA24))),"")</f>
        <v/>
      </c>
      <c r="AB24" s="1179" t="str">
        <f t="shared" si="2"/>
        <v/>
      </c>
      <c r="AC24" s="1174" t="str">
        <f t="shared" si="3"/>
        <v/>
      </c>
      <c r="AD24" s="1174" t="str">
        <f t="shared" si="4"/>
        <v/>
      </c>
      <c r="AE24" s="1174" t="str">
        <f t="shared" si="5"/>
        <v/>
      </c>
      <c r="AF24" s="1174" t="str">
        <f t="shared" si="6"/>
        <v/>
      </c>
      <c r="AG24" s="1174" t="str">
        <f t="shared" si="7"/>
        <v/>
      </c>
      <c r="AH24" s="1174" t="str">
        <f t="shared" si="8"/>
        <v/>
      </c>
      <c r="AI24" s="1174" t="str">
        <f t="shared" si="9"/>
        <v/>
      </c>
      <c r="AJ24" s="1174" t="str">
        <f t="shared" si="10"/>
        <v/>
      </c>
      <c r="AK24" s="1174" t="str">
        <f t="shared" si="11"/>
        <v/>
      </c>
      <c r="AL24" s="1174" t="str">
        <f t="shared" si="12"/>
        <v/>
      </c>
      <c r="AM24" s="1174" t="str">
        <f t="shared" si="13"/>
        <v/>
      </c>
      <c r="AN24" s="1174" t="str">
        <f t="shared" si="14"/>
        <v/>
      </c>
      <c r="AO24" s="1174" t="str">
        <f t="shared" si="15"/>
        <v/>
      </c>
      <c r="AP24" s="1174" t="str">
        <f t="shared" si="16"/>
        <v/>
      </c>
      <c r="AQ24" s="1174" t="str">
        <f t="shared" si="17"/>
        <v/>
      </c>
      <c r="AR24" s="1174" t="str">
        <f t="shared" si="18"/>
        <v/>
      </c>
      <c r="AS24" s="1174" t="str">
        <f t="shared" si="19"/>
        <v/>
      </c>
      <c r="AT24" s="1174" t="str">
        <f t="shared" si="20"/>
        <v/>
      </c>
      <c r="AU24" s="1174" t="str">
        <f t="shared" si="21"/>
        <v/>
      </c>
      <c r="AV24" s="1175" t="str">
        <f t="shared" si="22"/>
        <v/>
      </c>
      <c r="AW24" s="1176" t="str">
        <f t="shared" si="23"/>
        <v/>
      </c>
      <c r="AX24" s="1175" t="str">
        <f t="shared" si="24"/>
        <v/>
      </c>
      <c r="AY24" s="1172" t="str">
        <f t="shared" si="25"/>
        <v/>
      </c>
      <c r="AZ24" s="1172" t="str">
        <f t="shared" si="26"/>
        <v/>
      </c>
      <c r="BC24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24))),"")</f>
        <v/>
      </c>
      <c r="BD24" s="500" t="str">
        <f t="shared" si="27"/>
        <v/>
      </c>
      <c r="BE24" s="458" t="str">
        <f t="shared" si="28"/>
        <v/>
      </c>
      <c r="BF24" s="458" t="str">
        <f t="shared" si="29"/>
        <v/>
      </c>
    </row>
    <row r="25" spans="1:58" ht="43.5" customHeight="1">
      <c r="A25" s="2257"/>
      <c r="B25" s="41">
        <f>+PP!B43</f>
        <v>20</v>
      </c>
      <c r="C25" s="1023" t="str">
        <f>+PP!C43</f>
        <v>MANTO BLANCO C/M C/T 500-1000 g/pza</v>
      </c>
      <c r="D25" s="211"/>
      <c r="E25" s="212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1007"/>
      <c r="S25" s="1007"/>
      <c r="T25" s="1007"/>
      <c r="U25" s="1007"/>
      <c r="V25" s="1497"/>
      <c r="W25" s="548">
        <f t="shared" si="31"/>
        <v>0</v>
      </c>
      <c r="X25" s="148">
        <f t="shared" si="1"/>
        <v>0</v>
      </c>
      <c r="Y25" s="145">
        <f t="shared" si="30"/>
        <v>0</v>
      </c>
      <c r="AA25" s="1173" t="str">
        <f>IFERROR(INDEX($B$6:$B$53,_xlfn.AGGREGATE(15,6,(ROW($B$6:$B$53)-ROW($B$6)+1)/($W$6:$W$53&gt;0),ROWS($AA$6:AA25))),"")</f>
        <v/>
      </c>
      <c r="AB25" s="1179" t="str">
        <f t="shared" si="2"/>
        <v/>
      </c>
      <c r="AC25" s="1174" t="str">
        <f t="shared" si="3"/>
        <v/>
      </c>
      <c r="AD25" s="1174" t="str">
        <f t="shared" si="4"/>
        <v/>
      </c>
      <c r="AE25" s="1174" t="str">
        <f t="shared" si="5"/>
        <v/>
      </c>
      <c r="AF25" s="1174" t="str">
        <f t="shared" si="6"/>
        <v/>
      </c>
      <c r="AG25" s="1174" t="str">
        <f t="shared" si="7"/>
        <v/>
      </c>
      <c r="AH25" s="1174" t="str">
        <f t="shared" si="8"/>
        <v/>
      </c>
      <c r="AI25" s="1174" t="str">
        <f t="shared" si="9"/>
        <v/>
      </c>
      <c r="AJ25" s="1174" t="str">
        <f t="shared" si="10"/>
        <v/>
      </c>
      <c r="AK25" s="1174" t="str">
        <f t="shared" si="11"/>
        <v/>
      </c>
      <c r="AL25" s="1174" t="str">
        <f t="shared" si="12"/>
        <v/>
      </c>
      <c r="AM25" s="1174" t="str">
        <f t="shared" si="13"/>
        <v/>
      </c>
      <c r="AN25" s="1174" t="str">
        <f t="shared" si="14"/>
        <v/>
      </c>
      <c r="AO25" s="1174" t="str">
        <f t="shared" si="15"/>
        <v/>
      </c>
      <c r="AP25" s="1174" t="str">
        <f t="shared" si="16"/>
        <v/>
      </c>
      <c r="AQ25" s="1174" t="str">
        <f t="shared" si="17"/>
        <v/>
      </c>
      <c r="AR25" s="1174" t="str">
        <f t="shared" si="18"/>
        <v/>
      </c>
      <c r="AS25" s="1174" t="str">
        <f t="shared" si="19"/>
        <v/>
      </c>
      <c r="AT25" s="1174" t="str">
        <f t="shared" si="20"/>
        <v/>
      </c>
      <c r="AU25" s="1174" t="str">
        <f t="shared" si="21"/>
        <v/>
      </c>
      <c r="AV25" s="1175" t="str">
        <f t="shared" si="22"/>
        <v/>
      </c>
      <c r="AW25" s="1176" t="str">
        <f t="shared" si="23"/>
        <v/>
      </c>
      <c r="AX25" s="1175" t="str">
        <f t="shared" si="24"/>
        <v/>
      </c>
      <c r="AY25" s="1172" t="str">
        <f t="shared" si="25"/>
        <v/>
      </c>
      <c r="AZ25" s="1172" t="str">
        <f t="shared" si="26"/>
        <v/>
      </c>
      <c r="BC25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25))),"")</f>
        <v/>
      </c>
      <c r="BD25" s="500" t="str">
        <f t="shared" si="27"/>
        <v/>
      </c>
      <c r="BE25" s="458" t="str">
        <f t="shared" si="28"/>
        <v/>
      </c>
      <c r="BF25" s="458" t="str">
        <f t="shared" si="29"/>
        <v/>
      </c>
    </row>
    <row r="26" spans="1:58" ht="43.5" customHeight="1">
      <c r="A26" s="2257"/>
      <c r="B26" s="42">
        <f>+PP!B44</f>
        <v>21</v>
      </c>
      <c r="C26" s="1024" t="str">
        <f>+PP!C44</f>
        <v>MANTO BLANCO C/M C/T 1.0-2.0 kg/pza</v>
      </c>
      <c r="D26" s="217"/>
      <c r="E26" s="218"/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388"/>
      <c r="S26" s="388"/>
      <c r="T26" s="388"/>
      <c r="U26" s="388"/>
      <c r="V26" s="1502"/>
      <c r="W26" s="551">
        <f t="shared" si="31"/>
        <v>0</v>
      </c>
      <c r="X26" s="149">
        <f t="shared" si="1"/>
        <v>0</v>
      </c>
      <c r="Y26" s="146">
        <f t="shared" si="30"/>
        <v>0</v>
      </c>
      <c r="AA26" s="1173" t="str">
        <f>IFERROR(INDEX($B$6:$B$53,_xlfn.AGGREGATE(15,6,(ROW($B$6:$B$53)-ROW($B$6)+1)/($W$6:$W$53&gt;0),ROWS($AA$6:AA26))),"")</f>
        <v/>
      </c>
      <c r="AB26" s="1179" t="str">
        <f t="shared" si="2"/>
        <v/>
      </c>
      <c r="AC26" s="1174" t="str">
        <f t="shared" si="3"/>
        <v/>
      </c>
      <c r="AD26" s="1174" t="str">
        <f t="shared" si="4"/>
        <v/>
      </c>
      <c r="AE26" s="1174" t="str">
        <f t="shared" si="5"/>
        <v/>
      </c>
      <c r="AF26" s="1174" t="str">
        <f t="shared" si="6"/>
        <v/>
      </c>
      <c r="AG26" s="1174" t="str">
        <f t="shared" si="7"/>
        <v/>
      </c>
      <c r="AH26" s="1174" t="str">
        <f t="shared" si="8"/>
        <v/>
      </c>
      <c r="AI26" s="1174" t="str">
        <f t="shared" si="9"/>
        <v/>
      </c>
      <c r="AJ26" s="1174" t="str">
        <f t="shared" si="10"/>
        <v/>
      </c>
      <c r="AK26" s="1174" t="str">
        <f t="shared" si="11"/>
        <v/>
      </c>
      <c r="AL26" s="1174" t="str">
        <f t="shared" si="12"/>
        <v/>
      </c>
      <c r="AM26" s="1174" t="str">
        <f t="shared" si="13"/>
        <v/>
      </c>
      <c r="AN26" s="1174" t="str">
        <f t="shared" si="14"/>
        <v/>
      </c>
      <c r="AO26" s="1174" t="str">
        <f t="shared" si="15"/>
        <v/>
      </c>
      <c r="AP26" s="1174" t="str">
        <f t="shared" si="16"/>
        <v/>
      </c>
      <c r="AQ26" s="1174" t="str">
        <f t="shared" si="17"/>
        <v/>
      </c>
      <c r="AR26" s="1174" t="str">
        <f t="shared" si="18"/>
        <v/>
      </c>
      <c r="AS26" s="1174" t="str">
        <f t="shared" si="19"/>
        <v/>
      </c>
      <c r="AT26" s="1174" t="str">
        <f t="shared" si="20"/>
        <v/>
      </c>
      <c r="AU26" s="1174" t="str">
        <f t="shared" si="21"/>
        <v/>
      </c>
      <c r="AV26" s="1175" t="str">
        <f t="shared" si="22"/>
        <v/>
      </c>
      <c r="AW26" s="1176" t="str">
        <f t="shared" si="23"/>
        <v/>
      </c>
      <c r="AX26" s="1175" t="str">
        <f t="shared" si="24"/>
        <v/>
      </c>
      <c r="AY26" s="1172" t="str">
        <f t="shared" si="25"/>
        <v/>
      </c>
      <c r="AZ26" s="1172" t="str">
        <f t="shared" si="26"/>
        <v/>
      </c>
      <c r="BC2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26))),"")</f>
        <v/>
      </c>
      <c r="BD26" s="500" t="str">
        <f t="shared" si="27"/>
        <v/>
      </c>
      <c r="BE26" s="458" t="str">
        <f t="shared" si="28"/>
        <v/>
      </c>
      <c r="BF26" s="458" t="str">
        <f t="shared" si="29"/>
        <v/>
      </c>
    </row>
    <row r="27" spans="1:58" ht="43.5" customHeight="1">
      <c r="A27" s="2257"/>
      <c r="B27" s="42">
        <f>+PP!B45</f>
        <v>22</v>
      </c>
      <c r="C27" s="1024" t="str">
        <f>+PP!C45</f>
        <v>MANTO BLANCO C/M C/T 2.0-4.0 kg/pza</v>
      </c>
      <c r="D27" s="217"/>
      <c r="E27" s="218"/>
      <c r="F27" s="218"/>
      <c r="G27" s="21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388"/>
      <c r="S27" s="388"/>
      <c r="T27" s="388"/>
      <c r="U27" s="388"/>
      <c r="V27" s="1502"/>
      <c r="W27" s="551">
        <f t="shared" si="31"/>
        <v>0</v>
      </c>
      <c r="X27" s="149">
        <f t="shared" si="1"/>
        <v>0</v>
      </c>
      <c r="Y27" s="146">
        <f t="shared" si="30"/>
        <v>0</v>
      </c>
      <c r="AA27" s="1173" t="str">
        <f>IFERROR(INDEX($B$6:$B$53,_xlfn.AGGREGATE(15,6,(ROW($B$6:$B$53)-ROW($B$6)+1)/($W$6:$W$53&gt;0),ROWS($AA$6:AA27))),"")</f>
        <v/>
      </c>
      <c r="AB27" s="1179" t="str">
        <f t="shared" si="2"/>
        <v/>
      </c>
      <c r="AC27" s="1174" t="str">
        <f t="shared" si="3"/>
        <v/>
      </c>
      <c r="AD27" s="1174" t="str">
        <f t="shared" si="4"/>
        <v/>
      </c>
      <c r="AE27" s="1174" t="str">
        <f t="shared" si="5"/>
        <v/>
      </c>
      <c r="AF27" s="1174" t="str">
        <f t="shared" si="6"/>
        <v/>
      </c>
      <c r="AG27" s="1174" t="str">
        <f t="shared" si="7"/>
        <v/>
      </c>
      <c r="AH27" s="1174" t="str">
        <f t="shared" si="8"/>
        <v/>
      </c>
      <c r="AI27" s="1174" t="str">
        <f t="shared" si="9"/>
        <v/>
      </c>
      <c r="AJ27" s="1174" t="str">
        <f t="shared" si="10"/>
        <v/>
      </c>
      <c r="AK27" s="1174" t="str">
        <f t="shared" si="11"/>
        <v/>
      </c>
      <c r="AL27" s="1174" t="str">
        <f t="shared" si="12"/>
        <v/>
      </c>
      <c r="AM27" s="1174" t="str">
        <f t="shared" si="13"/>
        <v/>
      </c>
      <c r="AN27" s="1174" t="str">
        <f t="shared" si="14"/>
        <v/>
      </c>
      <c r="AO27" s="1174" t="str">
        <f t="shared" si="15"/>
        <v/>
      </c>
      <c r="AP27" s="1174" t="str">
        <f t="shared" si="16"/>
        <v/>
      </c>
      <c r="AQ27" s="1174" t="str">
        <f t="shared" si="17"/>
        <v/>
      </c>
      <c r="AR27" s="1174" t="str">
        <f t="shared" si="18"/>
        <v/>
      </c>
      <c r="AS27" s="1174" t="str">
        <f t="shared" si="19"/>
        <v/>
      </c>
      <c r="AT27" s="1174" t="str">
        <f t="shared" si="20"/>
        <v/>
      </c>
      <c r="AU27" s="1174" t="str">
        <f t="shared" si="21"/>
        <v/>
      </c>
      <c r="AV27" s="1175" t="str">
        <f t="shared" si="22"/>
        <v/>
      </c>
      <c r="AW27" s="1176" t="str">
        <f t="shared" si="23"/>
        <v/>
      </c>
      <c r="AX27" s="1175" t="str">
        <f t="shared" si="24"/>
        <v/>
      </c>
      <c r="AY27" s="1172" t="str">
        <f t="shared" si="25"/>
        <v/>
      </c>
      <c r="AZ27" s="1172" t="str">
        <f t="shared" si="26"/>
        <v/>
      </c>
      <c r="BC2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27))),"")</f>
        <v/>
      </c>
      <c r="BD27" s="500" t="str">
        <f t="shared" si="27"/>
        <v/>
      </c>
      <c r="BE27" s="458" t="str">
        <f t="shared" si="28"/>
        <v/>
      </c>
      <c r="BF27" s="458" t="str">
        <f t="shared" si="29"/>
        <v/>
      </c>
    </row>
    <row r="28" spans="1:58" ht="43.5" customHeight="1">
      <c r="A28" s="2257"/>
      <c r="B28" s="42">
        <f>+PP!B46</f>
        <v>23</v>
      </c>
      <c r="C28" s="1024" t="str">
        <f>+PP!C46</f>
        <v>MANTO LP C/M C/T 500-1000 g/pza</v>
      </c>
      <c r="D28" s="217"/>
      <c r="E28" s="218"/>
      <c r="F28" s="218"/>
      <c r="G28" s="218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388"/>
      <c r="S28" s="388"/>
      <c r="T28" s="388"/>
      <c r="U28" s="388"/>
      <c r="V28" s="1502"/>
      <c r="W28" s="551">
        <f t="shared" si="31"/>
        <v>0</v>
      </c>
      <c r="X28" s="149">
        <f t="shared" si="1"/>
        <v>0</v>
      </c>
      <c r="Y28" s="146">
        <f t="shared" si="30"/>
        <v>0</v>
      </c>
      <c r="AA28" s="1173" t="str">
        <f>IFERROR(INDEX($B$6:$B$53,_xlfn.AGGREGATE(15,6,(ROW($B$6:$B$53)-ROW($B$6)+1)/($W$6:$W$53&gt;0),ROWS($AA$6:AA28))),"")</f>
        <v/>
      </c>
      <c r="AB28" s="1179" t="str">
        <f t="shared" si="2"/>
        <v/>
      </c>
      <c r="AC28" s="1174" t="str">
        <f t="shared" si="3"/>
        <v/>
      </c>
      <c r="AD28" s="1174" t="str">
        <f t="shared" si="4"/>
        <v/>
      </c>
      <c r="AE28" s="1174" t="str">
        <f t="shared" si="5"/>
        <v/>
      </c>
      <c r="AF28" s="1174" t="str">
        <f t="shared" si="6"/>
        <v/>
      </c>
      <c r="AG28" s="1174" t="str">
        <f t="shared" si="7"/>
        <v/>
      </c>
      <c r="AH28" s="1174" t="str">
        <f t="shared" si="8"/>
        <v/>
      </c>
      <c r="AI28" s="1174" t="str">
        <f t="shared" si="9"/>
        <v/>
      </c>
      <c r="AJ28" s="1174" t="str">
        <f t="shared" si="10"/>
        <v/>
      </c>
      <c r="AK28" s="1174" t="str">
        <f t="shared" si="11"/>
        <v/>
      </c>
      <c r="AL28" s="1174" t="str">
        <f t="shared" si="12"/>
        <v/>
      </c>
      <c r="AM28" s="1174" t="str">
        <f t="shared" si="13"/>
        <v/>
      </c>
      <c r="AN28" s="1174" t="str">
        <f t="shared" si="14"/>
        <v/>
      </c>
      <c r="AO28" s="1174" t="str">
        <f t="shared" si="15"/>
        <v/>
      </c>
      <c r="AP28" s="1174" t="str">
        <f t="shared" si="16"/>
        <v/>
      </c>
      <c r="AQ28" s="1174" t="str">
        <f t="shared" si="17"/>
        <v/>
      </c>
      <c r="AR28" s="1174" t="str">
        <f t="shared" si="18"/>
        <v/>
      </c>
      <c r="AS28" s="1174" t="str">
        <f t="shared" si="19"/>
        <v/>
      </c>
      <c r="AT28" s="1174" t="str">
        <f t="shared" si="20"/>
        <v/>
      </c>
      <c r="AU28" s="1174" t="str">
        <f t="shared" si="21"/>
        <v/>
      </c>
      <c r="AV28" s="1175" t="str">
        <f t="shared" si="22"/>
        <v/>
      </c>
      <c r="AW28" s="1176" t="str">
        <f t="shared" si="23"/>
        <v/>
      </c>
      <c r="AX28" s="1175" t="str">
        <f t="shared" si="24"/>
        <v/>
      </c>
      <c r="AY28" s="1172" t="str">
        <f t="shared" si="25"/>
        <v/>
      </c>
      <c r="AZ28" s="1172" t="str">
        <f t="shared" si="26"/>
        <v/>
      </c>
      <c r="BC28" s="676" t="s">
        <v>514</v>
      </c>
      <c r="BD28" s="676"/>
      <c r="BE28" s="676">
        <f>COUNT($BC$6:$BC$27)</f>
        <v>0</v>
      </c>
      <c r="BF28" s="676"/>
    </row>
    <row r="29" spans="1:58" ht="42" customHeight="1">
      <c r="A29" s="2257"/>
      <c r="B29" s="42">
        <f>+PP!B47</f>
        <v>24</v>
      </c>
      <c r="C29" s="1024" t="str">
        <f>+PP!C47</f>
        <v>MANTO LP C/M C/T 1.0-2.0 Kg/pza</v>
      </c>
      <c r="D29" s="217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388"/>
      <c r="S29" s="388"/>
      <c r="T29" s="388"/>
      <c r="U29" s="388"/>
      <c r="V29" s="1502"/>
      <c r="W29" s="551">
        <f t="shared" si="31"/>
        <v>0</v>
      </c>
      <c r="X29" s="149">
        <f t="shared" si="1"/>
        <v>0</v>
      </c>
      <c r="Y29" s="168">
        <f t="shared" si="30"/>
        <v>0</v>
      </c>
      <c r="AA29" s="1173" t="str">
        <f>IFERROR(INDEX($B$6:$B$53,_xlfn.AGGREGATE(15,6,(ROW($B$6:$B$53)-ROW($B$6)+1)/($W$6:$W$53&gt;0),ROWS($AA$6:AA29))),"")</f>
        <v/>
      </c>
      <c r="AB29" s="1179" t="str">
        <f t="shared" si="2"/>
        <v/>
      </c>
      <c r="AC29" s="1174" t="str">
        <f t="shared" si="3"/>
        <v/>
      </c>
      <c r="AD29" s="1174" t="str">
        <f t="shared" si="4"/>
        <v/>
      </c>
      <c r="AE29" s="1174" t="str">
        <f t="shared" si="5"/>
        <v/>
      </c>
      <c r="AF29" s="1174" t="str">
        <f t="shared" si="6"/>
        <v/>
      </c>
      <c r="AG29" s="1174" t="str">
        <f t="shared" si="7"/>
        <v/>
      </c>
      <c r="AH29" s="1174" t="str">
        <f t="shared" si="8"/>
        <v/>
      </c>
      <c r="AI29" s="1174" t="str">
        <f t="shared" si="9"/>
        <v/>
      </c>
      <c r="AJ29" s="1174" t="str">
        <f t="shared" si="10"/>
        <v/>
      </c>
      <c r="AK29" s="1174" t="str">
        <f t="shared" si="11"/>
        <v/>
      </c>
      <c r="AL29" s="1174" t="str">
        <f t="shared" si="12"/>
        <v/>
      </c>
      <c r="AM29" s="1174" t="str">
        <f t="shared" si="13"/>
        <v/>
      </c>
      <c r="AN29" s="1174" t="str">
        <f t="shared" si="14"/>
        <v/>
      </c>
      <c r="AO29" s="1174" t="str">
        <f t="shared" si="15"/>
        <v/>
      </c>
      <c r="AP29" s="1174" t="str">
        <f t="shared" si="16"/>
        <v/>
      </c>
      <c r="AQ29" s="1174" t="str">
        <f t="shared" si="17"/>
        <v/>
      </c>
      <c r="AR29" s="1174" t="str">
        <f t="shared" si="18"/>
        <v/>
      </c>
      <c r="AS29" s="1174" t="str">
        <f t="shared" si="19"/>
        <v/>
      </c>
      <c r="AT29" s="1174" t="str">
        <f t="shared" si="20"/>
        <v/>
      </c>
      <c r="AU29" s="1174" t="str">
        <f t="shared" si="21"/>
        <v/>
      </c>
      <c r="AV29" s="1175" t="str">
        <f t="shared" si="22"/>
        <v/>
      </c>
      <c r="AW29" s="1177" t="str">
        <f t="shared" si="23"/>
        <v/>
      </c>
      <c r="AX29" s="1178" t="str">
        <f t="shared" si="24"/>
        <v/>
      </c>
      <c r="AY29" s="1172" t="str">
        <f t="shared" si="25"/>
        <v/>
      </c>
      <c r="AZ29" s="1172" t="str">
        <f t="shared" si="26"/>
        <v/>
      </c>
    </row>
    <row r="30" spans="1:58" ht="42" customHeight="1" thickBot="1">
      <c r="A30" s="2257"/>
      <c r="B30" s="537">
        <f>+PP!B48</f>
        <v>25</v>
      </c>
      <c r="C30" s="1026" t="str">
        <f>+PP!C48</f>
        <v>MANTO LP C/M C/T 2.0-4.0 Kg/pza</v>
      </c>
      <c r="D30" s="226"/>
      <c r="E30" s="227"/>
      <c r="F30" s="227"/>
      <c r="G30" s="227"/>
      <c r="H30" s="227"/>
      <c r="I30" s="227"/>
      <c r="J30" s="227"/>
      <c r="K30" s="227"/>
      <c r="L30" s="227"/>
      <c r="M30" s="227"/>
      <c r="N30" s="227"/>
      <c r="O30" s="227"/>
      <c r="P30" s="227"/>
      <c r="Q30" s="227"/>
      <c r="R30" s="1154"/>
      <c r="S30" s="1154"/>
      <c r="T30" s="1154"/>
      <c r="U30" s="1154"/>
      <c r="V30" s="1957"/>
      <c r="W30" s="555">
        <f t="shared" si="31"/>
        <v>0</v>
      </c>
      <c r="X30" s="155">
        <f t="shared" si="1"/>
        <v>0</v>
      </c>
      <c r="Y30" s="156">
        <f t="shared" si="30"/>
        <v>0</v>
      </c>
      <c r="AA30" s="1729" t="str">
        <f>IFERROR(INDEX($B$6:$B$53,_xlfn.AGGREGATE(15,6,(ROW($B$6:$B$53)-ROW($B$6)+1)/($W$6:$W$53&gt;0),ROWS($AA$6:AA30))),"")</f>
        <v/>
      </c>
      <c r="AB30" s="1855" t="str">
        <f t="shared" si="2"/>
        <v/>
      </c>
      <c r="AC30" s="1856" t="str">
        <f t="shared" si="3"/>
        <v/>
      </c>
      <c r="AD30" s="1856" t="str">
        <f t="shared" si="4"/>
        <v/>
      </c>
      <c r="AE30" s="1856" t="str">
        <f t="shared" si="5"/>
        <v/>
      </c>
      <c r="AF30" s="1856" t="str">
        <f t="shared" si="6"/>
        <v/>
      </c>
      <c r="AG30" s="1856" t="str">
        <f t="shared" si="7"/>
        <v/>
      </c>
      <c r="AH30" s="1856" t="str">
        <f t="shared" si="8"/>
        <v/>
      </c>
      <c r="AI30" s="1856" t="str">
        <f t="shared" si="9"/>
        <v/>
      </c>
      <c r="AJ30" s="1856" t="str">
        <f t="shared" si="10"/>
        <v/>
      </c>
      <c r="AK30" s="1856" t="str">
        <f t="shared" si="11"/>
        <v/>
      </c>
      <c r="AL30" s="1856" t="str">
        <f t="shared" si="12"/>
        <v/>
      </c>
      <c r="AM30" s="1856" t="str">
        <f t="shared" si="13"/>
        <v/>
      </c>
      <c r="AN30" s="1856" t="str">
        <f t="shared" si="14"/>
        <v/>
      </c>
      <c r="AO30" s="1856" t="str">
        <f t="shared" si="15"/>
        <v/>
      </c>
      <c r="AP30" s="1856" t="str">
        <f t="shared" si="16"/>
        <v/>
      </c>
      <c r="AQ30" s="1856" t="str">
        <f t="shared" si="17"/>
        <v/>
      </c>
      <c r="AR30" s="1856" t="str">
        <f t="shared" si="18"/>
        <v/>
      </c>
      <c r="AS30" s="1856" t="str">
        <f t="shared" si="19"/>
        <v/>
      </c>
      <c r="AT30" s="1856" t="str">
        <f t="shared" si="20"/>
        <v/>
      </c>
      <c r="AU30" s="1856" t="str">
        <f t="shared" si="21"/>
        <v/>
      </c>
      <c r="AV30" s="1857" t="str">
        <f t="shared" si="22"/>
        <v/>
      </c>
      <c r="AW30" s="1858" t="str">
        <f t="shared" si="23"/>
        <v/>
      </c>
      <c r="AX30" s="1857" t="str">
        <f t="shared" si="24"/>
        <v/>
      </c>
      <c r="AY30" s="1859" t="str">
        <f t="shared" si="25"/>
        <v/>
      </c>
      <c r="AZ30" s="1859" t="str">
        <f t="shared" si="26"/>
        <v/>
      </c>
    </row>
    <row r="31" spans="1:58" ht="42" customHeight="1">
      <c r="A31" s="2257"/>
      <c r="B31" s="157">
        <f>+PP!B49</f>
        <v>26</v>
      </c>
      <c r="C31" s="162" t="str">
        <f>+PP!C49</f>
        <v>NUCA C/C CERRADO 0-100 g/pza</v>
      </c>
      <c r="D31" s="3006"/>
      <c r="E31" s="1836"/>
      <c r="F31" s="1836"/>
      <c r="G31" s="212"/>
      <c r="H31" s="212"/>
      <c r="I31" s="212"/>
      <c r="J31" s="212"/>
      <c r="K31" s="212"/>
      <c r="L31" s="212"/>
      <c r="M31" s="212"/>
      <c r="N31" s="212"/>
      <c r="O31" s="212"/>
      <c r="P31" s="212"/>
      <c r="Q31" s="3003"/>
      <c r="R31" s="1007"/>
      <c r="S31" s="1007"/>
      <c r="T31" s="1007"/>
      <c r="U31" s="1007"/>
      <c r="V31" s="1503"/>
      <c r="W31" s="573">
        <f t="shared" si="31"/>
        <v>0</v>
      </c>
      <c r="X31" s="148">
        <f t="shared" si="1"/>
        <v>0</v>
      </c>
      <c r="Y31" s="145">
        <f t="shared" si="30"/>
        <v>0</v>
      </c>
      <c r="AA31" s="1860" t="str">
        <f>IFERROR(INDEX($B$6:$B$53,_xlfn.AGGREGATE(15,6,(ROW($B$6:$B$53)-ROW($B$6)+1)/($W$6:$W$53&gt;0),ROWS($AA$6:AA31))),"")</f>
        <v/>
      </c>
      <c r="AB31" s="1861" t="str">
        <f t="shared" si="2"/>
        <v/>
      </c>
      <c r="AC31" s="1862" t="str">
        <f t="shared" si="3"/>
        <v/>
      </c>
      <c r="AD31" s="1862" t="str">
        <f t="shared" si="4"/>
        <v/>
      </c>
      <c r="AE31" s="1862" t="str">
        <f t="shared" si="5"/>
        <v/>
      </c>
      <c r="AF31" s="1862" t="str">
        <f t="shared" si="6"/>
        <v/>
      </c>
      <c r="AG31" s="1862" t="str">
        <f t="shared" si="7"/>
        <v/>
      </c>
      <c r="AH31" s="1862" t="str">
        <f t="shared" si="8"/>
        <v/>
      </c>
      <c r="AI31" s="1862" t="str">
        <f t="shared" si="9"/>
        <v/>
      </c>
      <c r="AJ31" s="1862" t="str">
        <f t="shared" si="10"/>
        <v/>
      </c>
      <c r="AK31" s="1862" t="str">
        <f t="shared" si="11"/>
        <v/>
      </c>
      <c r="AL31" s="1862" t="str">
        <f t="shared" si="12"/>
        <v/>
      </c>
      <c r="AM31" s="1862" t="str">
        <f t="shared" si="13"/>
        <v/>
      </c>
      <c r="AN31" s="1862" t="str">
        <f t="shared" si="14"/>
        <v/>
      </c>
      <c r="AO31" s="1862" t="str">
        <f t="shared" si="15"/>
        <v/>
      </c>
      <c r="AP31" s="1862" t="str">
        <f t="shared" si="16"/>
        <v/>
      </c>
      <c r="AQ31" s="1862" t="str">
        <f t="shared" si="17"/>
        <v/>
      </c>
      <c r="AR31" s="1862" t="str">
        <f t="shared" si="18"/>
        <v/>
      </c>
      <c r="AS31" s="1862" t="str">
        <f t="shared" si="19"/>
        <v/>
      </c>
      <c r="AT31" s="1862" t="str">
        <f t="shared" si="20"/>
        <v/>
      </c>
      <c r="AU31" s="1862" t="str">
        <f t="shared" si="21"/>
        <v/>
      </c>
      <c r="AV31" s="1863" t="str">
        <f t="shared" si="22"/>
        <v/>
      </c>
      <c r="AW31" s="1864" t="str">
        <f t="shared" si="23"/>
        <v/>
      </c>
      <c r="AX31" s="1863" t="str">
        <f t="shared" si="24"/>
        <v/>
      </c>
      <c r="AY31" s="1865" t="str">
        <f t="shared" si="25"/>
        <v/>
      </c>
      <c r="AZ31" s="1865" t="str">
        <f t="shared" si="26"/>
        <v/>
      </c>
    </row>
    <row r="32" spans="1:58" ht="42" customHeight="1">
      <c r="A32" s="2257"/>
      <c r="B32" s="159">
        <f>+PP!B50</f>
        <v>27</v>
      </c>
      <c r="C32" s="164" t="str">
        <f>+PP!C50</f>
        <v>NUCA C/C ABIERTO 100-300 g/pza</v>
      </c>
      <c r="D32" s="3007"/>
      <c r="E32" s="1831"/>
      <c r="F32" s="1831"/>
      <c r="G32" s="218"/>
      <c r="H32" s="218"/>
      <c r="I32" s="218"/>
      <c r="J32" s="218"/>
      <c r="K32" s="218"/>
      <c r="L32" s="218"/>
      <c r="M32" s="218"/>
      <c r="N32" s="218"/>
      <c r="O32" s="218"/>
      <c r="P32" s="218"/>
      <c r="Q32" s="1198"/>
      <c r="R32" s="388"/>
      <c r="S32" s="388"/>
      <c r="T32" s="388"/>
      <c r="U32" s="388"/>
      <c r="V32" s="1504"/>
      <c r="W32" s="579">
        <f t="shared" si="31"/>
        <v>0</v>
      </c>
      <c r="X32" s="149">
        <f t="shared" si="1"/>
        <v>0</v>
      </c>
      <c r="Y32" s="146">
        <f t="shared" si="30"/>
        <v>0</v>
      </c>
      <c r="Z32" s="452"/>
      <c r="AA32" s="1866" t="str">
        <f>IFERROR(INDEX($B$6:$B$53,_xlfn.AGGREGATE(15,6,(ROW($B$6:$B$53)-ROW($B$6)+1)/($W$6:$W$53&gt;0),ROWS($AA$6:AA32))),"")</f>
        <v/>
      </c>
      <c r="AB32" s="1867" t="str">
        <f t="shared" si="2"/>
        <v/>
      </c>
      <c r="AC32" s="1862" t="str">
        <f t="shared" si="3"/>
        <v/>
      </c>
      <c r="AD32" s="1862" t="str">
        <f t="shared" si="4"/>
        <v/>
      </c>
      <c r="AE32" s="1862" t="str">
        <f t="shared" si="5"/>
        <v/>
      </c>
      <c r="AF32" s="1862" t="str">
        <f t="shared" si="6"/>
        <v/>
      </c>
      <c r="AG32" s="1862" t="str">
        <f t="shared" si="7"/>
        <v/>
      </c>
      <c r="AH32" s="1862" t="str">
        <f t="shared" si="8"/>
        <v/>
      </c>
      <c r="AI32" s="1862" t="str">
        <f t="shared" si="9"/>
        <v/>
      </c>
      <c r="AJ32" s="1862" t="str">
        <f t="shared" si="10"/>
        <v/>
      </c>
      <c r="AK32" s="1862" t="str">
        <f t="shared" si="11"/>
        <v/>
      </c>
      <c r="AL32" s="1862" t="str">
        <f t="shared" si="12"/>
        <v/>
      </c>
      <c r="AM32" s="1862" t="str">
        <f t="shared" si="13"/>
        <v/>
      </c>
      <c r="AN32" s="1862" t="str">
        <f t="shared" si="14"/>
        <v/>
      </c>
      <c r="AO32" s="1862" t="str">
        <f t="shared" si="15"/>
        <v/>
      </c>
      <c r="AP32" s="1862" t="str">
        <f t="shared" si="16"/>
        <v/>
      </c>
      <c r="AQ32" s="1862" t="str">
        <f t="shared" si="17"/>
        <v/>
      </c>
      <c r="AR32" s="1862" t="str">
        <f t="shared" si="18"/>
        <v/>
      </c>
      <c r="AS32" s="1862" t="str">
        <f t="shared" si="19"/>
        <v/>
      </c>
      <c r="AT32" s="1862" t="str">
        <f t="shared" si="20"/>
        <v/>
      </c>
      <c r="AU32" s="1862" t="str">
        <f t="shared" si="21"/>
        <v/>
      </c>
      <c r="AV32" s="1863" t="str">
        <f t="shared" si="22"/>
        <v/>
      </c>
      <c r="AW32" s="1864" t="str">
        <f t="shared" si="23"/>
        <v/>
      </c>
      <c r="AX32" s="1863" t="str">
        <f t="shared" si="24"/>
        <v/>
      </c>
      <c r="AY32" s="1865" t="str">
        <f t="shared" si="25"/>
        <v/>
      </c>
      <c r="AZ32" s="1865" t="str">
        <f t="shared" si="26"/>
        <v/>
      </c>
    </row>
    <row r="33" spans="1:52" ht="42" customHeight="1">
      <c r="A33" s="2257"/>
      <c r="B33" s="159">
        <f>+PP!B51</f>
        <v>28</v>
      </c>
      <c r="C33" s="164" t="str">
        <f>+PP!C51</f>
        <v>NUCA C/C ABIERTO 300-500 g/pza</v>
      </c>
      <c r="D33" s="3007"/>
      <c r="E33" s="1831"/>
      <c r="F33" s="1831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1198"/>
      <c r="R33" s="388"/>
      <c r="S33" s="388"/>
      <c r="T33" s="388"/>
      <c r="U33" s="388"/>
      <c r="V33" s="1504"/>
      <c r="W33" s="579">
        <f t="shared" si="31"/>
        <v>0</v>
      </c>
      <c r="X33" s="149">
        <f t="shared" si="1"/>
        <v>0</v>
      </c>
      <c r="Y33" s="146">
        <f t="shared" si="30"/>
        <v>0</v>
      </c>
      <c r="Z33" s="452"/>
      <c r="AA33" s="1866" t="str">
        <f>IFERROR(INDEX($B$6:$B$53,_xlfn.AGGREGATE(15,6,(ROW($B$6:$B$53)-ROW($B$6)+1)/($W$6:$W$53&gt;0),ROWS($AA$6:AA33))),"")</f>
        <v/>
      </c>
      <c r="AB33" s="1867" t="str">
        <f t="shared" si="2"/>
        <v/>
      </c>
      <c r="AC33" s="1862" t="str">
        <f t="shared" si="3"/>
        <v/>
      </c>
      <c r="AD33" s="1862" t="str">
        <f t="shared" si="4"/>
        <v/>
      </c>
      <c r="AE33" s="1862" t="str">
        <f t="shared" si="5"/>
        <v/>
      </c>
      <c r="AF33" s="1862" t="str">
        <f t="shared" si="6"/>
        <v/>
      </c>
      <c r="AG33" s="1862" t="str">
        <f t="shared" si="7"/>
        <v/>
      </c>
      <c r="AH33" s="1862" t="str">
        <f t="shared" si="8"/>
        <v/>
      </c>
      <c r="AI33" s="1862" t="str">
        <f t="shared" si="9"/>
        <v/>
      </c>
      <c r="AJ33" s="1862" t="str">
        <f t="shared" si="10"/>
        <v/>
      </c>
      <c r="AK33" s="1862" t="str">
        <f t="shared" si="11"/>
        <v/>
      </c>
      <c r="AL33" s="1862" t="str">
        <f t="shared" si="12"/>
        <v/>
      </c>
      <c r="AM33" s="1862" t="str">
        <f t="shared" si="13"/>
        <v/>
      </c>
      <c r="AN33" s="1862" t="str">
        <f t="shared" si="14"/>
        <v/>
      </c>
      <c r="AO33" s="1862" t="str">
        <f t="shared" si="15"/>
        <v/>
      </c>
      <c r="AP33" s="1862" t="str">
        <f t="shared" si="16"/>
        <v/>
      </c>
      <c r="AQ33" s="1862" t="str">
        <f t="shared" si="17"/>
        <v/>
      </c>
      <c r="AR33" s="1862" t="str">
        <f t="shared" si="18"/>
        <v/>
      </c>
      <c r="AS33" s="1862" t="str">
        <f t="shared" si="19"/>
        <v/>
      </c>
      <c r="AT33" s="1862" t="str">
        <f t="shared" si="20"/>
        <v/>
      </c>
      <c r="AU33" s="1862" t="str">
        <f t="shared" si="21"/>
        <v/>
      </c>
      <c r="AV33" s="1863" t="str">
        <f t="shared" si="22"/>
        <v/>
      </c>
      <c r="AW33" s="1864" t="str">
        <f t="shared" si="23"/>
        <v/>
      </c>
      <c r="AX33" s="1863" t="str">
        <f t="shared" si="24"/>
        <v/>
      </c>
      <c r="AY33" s="1865" t="str">
        <f t="shared" si="25"/>
        <v/>
      </c>
      <c r="AZ33" s="1865" t="str">
        <f t="shared" si="26"/>
        <v/>
      </c>
    </row>
    <row r="34" spans="1:52" ht="42" customHeight="1">
      <c r="A34" s="2257"/>
      <c r="B34" s="159">
        <f>+PP!B52</f>
        <v>29</v>
      </c>
      <c r="C34" s="164" t="str">
        <f>+PP!C52</f>
        <v>NUCA C/C ABIERTO 500-1000 g/pza</v>
      </c>
      <c r="D34" s="3007"/>
      <c r="E34" s="1831"/>
      <c r="F34" s="1831"/>
      <c r="G34" s="218"/>
      <c r="H34" s="218"/>
      <c r="I34" s="218"/>
      <c r="J34" s="218"/>
      <c r="K34" s="218"/>
      <c r="L34" s="218"/>
      <c r="M34" s="218"/>
      <c r="N34" s="218"/>
      <c r="O34" s="218"/>
      <c r="P34" s="218"/>
      <c r="Q34" s="1198"/>
      <c r="R34" s="388"/>
      <c r="S34" s="388"/>
      <c r="T34" s="388"/>
      <c r="U34" s="388"/>
      <c r="V34" s="1504"/>
      <c r="W34" s="579">
        <f t="shared" si="31"/>
        <v>0</v>
      </c>
      <c r="X34" s="149">
        <f t="shared" si="1"/>
        <v>0</v>
      </c>
      <c r="Y34" s="146">
        <f t="shared" si="30"/>
        <v>0</v>
      </c>
      <c r="Z34" s="452"/>
      <c r="AA34" s="1866" t="str">
        <f>IFERROR(INDEX($B$6:$B$53,_xlfn.AGGREGATE(15,6,(ROW($B$6:$B$53)-ROW($B$6)+1)/($W$6:$W$53&gt;0),ROWS($AA$6:AA34))),"")</f>
        <v/>
      </c>
      <c r="AB34" s="1867" t="str">
        <f t="shared" si="2"/>
        <v/>
      </c>
      <c r="AC34" s="1862" t="str">
        <f t="shared" si="3"/>
        <v/>
      </c>
      <c r="AD34" s="1862" t="str">
        <f t="shared" si="4"/>
        <v/>
      </c>
      <c r="AE34" s="1862" t="str">
        <f t="shared" si="5"/>
        <v/>
      </c>
      <c r="AF34" s="1862" t="str">
        <f t="shared" si="6"/>
        <v/>
      </c>
      <c r="AG34" s="1862" t="str">
        <f t="shared" si="7"/>
        <v/>
      </c>
      <c r="AH34" s="1862" t="str">
        <f t="shared" si="8"/>
        <v/>
      </c>
      <c r="AI34" s="1862" t="str">
        <f t="shared" si="9"/>
        <v/>
      </c>
      <c r="AJ34" s="1862" t="str">
        <f t="shared" si="10"/>
        <v/>
      </c>
      <c r="AK34" s="1862" t="str">
        <f t="shared" si="11"/>
        <v/>
      </c>
      <c r="AL34" s="1862" t="str">
        <f t="shared" si="12"/>
        <v/>
      </c>
      <c r="AM34" s="1862" t="str">
        <f t="shared" si="13"/>
        <v/>
      </c>
      <c r="AN34" s="1862" t="str">
        <f t="shared" si="14"/>
        <v/>
      </c>
      <c r="AO34" s="1862" t="str">
        <f t="shared" si="15"/>
        <v/>
      </c>
      <c r="AP34" s="1862" t="str">
        <f t="shared" si="16"/>
        <v/>
      </c>
      <c r="AQ34" s="1862" t="str">
        <f t="shared" si="17"/>
        <v/>
      </c>
      <c r="AR34" s="1862" t="str">
        <f t="shared" si="18"/>
        <v/>
      </c>
      <c r="AS34" s="1862" t="str">
        <f t="shared" si="19"/>
        <v/>
      </c>
      <c r="AT34" s="1862" t="str">
        <f t="shared" si="20"/>
        <v/>
      </c>
      <c r="AU34" s="1862" t="str">
        <f t="shared" si="21"/>
        <v/>
      </c>
      <c r="AV34" s="1863" t="str">
        <f t="shared" si="22"/>
        <v/>
      </c>
      <c r="AW34" s="1864" t="str">
        <f t="shared" si="23"/>
        <v/>
      </c>
      <c r="AX34" s="1863" t="str">
        <f t="shared" si="24"/>
        <v/>
      </c>
      <c r="AY34" s="1865" t="str">
        <f t="shared" si="25"/>
        <v/>
      </c>
      <c r="AZ34" s="1865" t="str">
        <f t="shared" si="26"/>
        <v/>
      </c>
    </row>
    <row r="35" spans="1:52" ht="41.25" customHeight="1" thickBot="1">
      <c r="A35" s="2257"/>
      <c r="B35" s="158">
        <f>+PP!B53</f>
        <v>30</v>
      </c>
      <c r="C35" s="163" t="str">
        <f>+PP!C53</f>
        <v>NUCA C/C ABIERTO 1.0 - UP kg/pza</v>
      </c>
      <c r="D35" s="3008"/>
      <c r="E35" s="3004"/>
      <c r="F35" s="3004"/>
      <c r="G35" s="3004"/>
      <c r="H35" s="3004"/>
      <c r="I35" s="3004"/>
      <c r="J35" s="3004"/>
      <c r="K35" s="3004"/>
      <c r="L35" s="3004"/>
      <c r="M35" s="3004"/>
      <c r="N35" s="227"/>
      <c r="O35" s="227"/>
      <c r="P35" s="227"/>
      <c r="Q35" s="3005"/>
      <c r="R35" s="1154"/>
      <c r="S35" s="1154"/>
      <c r="T35" s="1154"/>
      <c r="U35" s="1154"/>
      <c r="V35" s="1505"/>
      <c r="W35" s="582">
        <f t="shared" si="31"/>
        <v>0</v>
      </c>
      <c r="X35" s="155">
        <f t="shared" si="1"/>
        <v>0</v>
      </c>
      <c r="Y35" s="156">
        <f t="shared" si="30"/>
        <v>0</v>
      </c>
      <c r="Z35" s="452"/>
      <c r="AA35" s="1868"/>
      <c r="AB35" s="1869" t="s">
        <v>3</v>
      </c>
      <c r="AC35" s="1862" t="str">
        <f t="shared" si="3"/>
        <v/>
      </c>
      <c r="AD35" s="1862" t="str">
        <f t="shared" si="4"/>
        <v/>
      </c>
      <c r="AE35" s="1862" t="str">
        <f t="shared" si="5"/>
        <v/>
      </c>
      <c r="AF35" s="1862" t="str">
        <f t="shared" si="6"/>
        <v/>
      </c>
      <c r="AG35" s="1862" t="str">
        <f t="shared" si="7"/>
        <v/>
      </c>
      <c r="AH35" s="1862" t="str">
        <f t="shared" si="8"/>
        <v/>
      </c>
      <c r="AI35" s="1862" t="str">
        <f t="shared" si="9"/>
        <v/>
      </c>
      <c r="AJ35" s="1862" t="str">
        <f t="shared" si="10"/>
        <v/>
      </c>
      <c r="AK35" s="1862" t="str">
        <f t="shared" si="11"/>
        <v/>
      </c>
      <c r="AL35" s="1862" t="str">
        <f t="shared" si="12"/>
        <v/>
      </c>
      <c r="AM35" s="1862" t="str">
        <f t="shared" si="13"/>
        <v/>
      </c>
      <c r="AN35" s="1862" t="str">
        <f t="shared" si="14"/>
        <v/>
      </c>
      <c r="AO35" s="1862" t="str">
        <f t="shared" si="15"/>
        <v/>
      </c>
      <c r="AP35" s="1862" t="str">
        <f t="shared" si="16"/>
        <v/>
      </c>
      <c r="AQ35" s="1862" t="str">
        <f t="shared" si="17"/>
        <v/>
      </c>
      <c r="AR35" s="1862" t="str">
        <f t="shared" si="18"/>
        <v/>
      </c>
      <c r="AS35" s="1862" t="str">
        <f t="shared" si="19"/>
        <v/>
      </c>
      <c r="AT35" s="1862" t="str">
        <f t="shared" si="20"/>
        <v/>
      </c>
      <c r="AU35" s="1862" t="str">
        <f t="shared" si="21"/>
        <v/>
      </c>
      <c r="AV35" s="1862">
        <f t="shared" ref="AV35:AX35" si="32">SUM(AV6:AV34)</f>
        <v>0</v>
      </c>
      <c r="AW35" s="1870">
        <f t="shared" si="32"/>
        <v>0</v>
      </c>
      <c r="AX35" s="1862">
        <f t="shared" si="32"/>
        <v>0</v>
      </c>
      <c r="AY35" s="1871" t="str">
        <f>IF(AV35=SUM($W$6:$W$53),"OK","REVISAR")</f>
        <v>OK</v>
      </c>
      <c r="AZ35" s="1871" t="str">
        <f>IF(COUNTIF(AZ6:AZ34,"SÍ")&gt;0,"HAY","NO")</f>
        <v>NO</v>
      </c>
    </row>
    <row r="36" spans="1:52" ht="40.5" customHeight="1">
      <c r="A36" s="2257"/>
      <c r="B36" s="160">
        <f>+PP!B54</f>
        <v>31</v>
      </c>
      <c r="C36" s="162" t="str">
        <f>+PP!C54</f>
        <v>RECORTE BLANCO SM ST</v>
      </c>
      <c r="D36" s="3006"/>
      <c r="E36" s="1836"/>
      <c r="F36" s="1836"/>
      <c r="G36" s="1836"/>
      <c r="H36" s="1836"/>
      <c r="I36" s="1836"/>
      <c r="J36" s="1836"/>
      <c r="K36" s="1836"/>
      <c r="L36" s="212"/>
      <c r="M36" s="212"/>
      <c r="N36" s="212"/>
      <c r="O36" s="212"/>
      <c r="P36" s="212"/>
      <c r="Q36" s="212"/>
      <c r="R36" s="212"/>
      <c r="S36" s="212"/>
      <c r="T36" s="212"/>
      <c r="U36" s="212"/>
      <c r="V36" s="213"/>
      <c r="W36" s="573">
        <f t="shared" si="31"/>
        <v>0</v>
      </c>
      <c r="X36" s="148">
        <f t="shared" si="1"/>
        <v>0</v>
      </c>
      <c r="Y36" s="145">
        <f t="shared" si="30"/>
        <v>0</v>
      </c>
      <c r="Z36" s="452"/>
      <c r="AA36" s="1792"/>
      <c r="AB36" s="1792"/>
      <c r="AC36" s="425" t="str">
        <f t="shared" si="3"/>
        <v/>
      </c>
      <c r="AD36" s="425" t="str">
        <f t="shared" si="4"/>
        <v/>
      </c>
      <c r="AE36" s="425" t="str">
        <f t="shared" si="5"/>
        <v/>
      </c>
      <c r="AF36" s="425" t="str">
        <f t="shared" si="6"/>
        <v/>
      </c>
      <c r="AG36" s="425" t="str">
        <f t="shared" si="7"/>
        <v/>
      </c>
      <c r="AH36" s="425" t="str">
        <f t="shared" si="8"/>
        <v/>
      </c>
      <c r="AI36" s="425" t="str">
        <f t="shared" si="9"/>
        <v/>
      </c>
      <c r="AJ36" s="425" t="str">
        <f t="shared" si="10"/>
        <v/>
      </c>
      <c r="AK36" s="425" t="str">
        <f t="shared" si="11"/>
        <v/>
      </c>
      <c r="AL36" s="425" t="str">
        <f t="shared" si="12"/>
        <v/>
      </c>
      <c r="AM36" s="425" t="str">
        <f t="shared" si="13"/>
        <v/>
      </c>
      <c r="AN36" s="425" t="str">
        <f t="shared" si="14"/>
        <v/>
      </c>
      <c r="AO36" s="425" t="str">
        <f t="shared" si="15"/>
        <v/>
      </c>
      <c r="AP36" s="1862" t="str">
        <f t="shared" si="16"/>
        <v/>
      </c>
      <c r="AQ36" s="425" t="str">
        <f t="shared" si="17"/>
        <v/>
      </c>
      <c r="AR36" s="425" t="str">
        <f t="shared" si="18"/>
        <v/>
      </c>
      <c r="AS36" s="425" t="str">
        <f t="shared" si="19"/>
        <v/>
      </c>
      <c r="AT36" s="425" t="str">
        <f t="shared" si="20"/>
        <v/>
      </c>
      <c r="AU36" s="425" t="str">
        <f t="shared" si="21"/>
        <v/>
      </c>
      <c r="AV36" s="425"/>
      <c r="AW36" s="425"/>
      <c r="AX36" s="425"/>
      <c r="AY36" s="425"/>
      <c r="AZ36" s="425"/>
    </row>
    <row r="37" spans="1:52" ht="45.75" customHeight="1">
      <c r="A37" s="2257"/>
      <c r="B37" s="159">
        <f>+PP!B55</f>
        <v>32</v>
      </c>
      <c r="C37" s="164" t="str">
        <f>+PP!C55</f>
        <v>RECORTE AMARILLO SM ST</v>
      </c>
      <c r="D37" s="257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9"/>
      <c r="W37" s="579">
        <f t="shared" si="31"/>
        <v>0</v>
      </c>
      <c r="X37" s="149">
        <f t="shared" si="1"/>
        <v>0</v>
      </c>
      <c r="Y37" s="146">
        <f t="shared" si="30"/>
        <v>0</v>
      </c>
      <c r="Z37" s="452"/>
      <c r="AA37" s="1724"/>
      <c r="AB37" s="1730"/>
      <c r="AC37" t="str">
        <f t="shared" si="3"/>
        <v/>
      </c>
      <c r="AD37" t="str">
        <f t="shared" si="4"/>
        <v/>
      </c>
      <c r="AE37" t="str">
        <f t="shared" si="5"/>
        <v/>
      </c>
      <c r="AF37" t="str">
        <f t="shared" si="6"/>
        <v/>
      </c>
      <c r="AG37" t="str">
        <f t="shared" si="7"/>
        <v/>
      </c>
      <c r="AH37" t="str">
        <f t="shared" si="8"/>
        <v/>
      </c>
      <c r="AI37" t="str">
        <f t="shared" si="9"/>
        <v/>
      </c>
      <c r="AJ37" t="str">
        <f t="shared" si="10"/>
        <v/>
      </c>
      <c r="AK37" t="str">
        <f t="shared" si="11"/>
        <v/>
      </c>
      <c r="AL37" t="str">
        <f t="shared" si="12"/>
        <v/>
      </c>
      <c r="AM37" t="str">
        <f t="shared" si="13"/>
        <v/>
      </c>
      <c r="AN37" t="str">
        <f t="shared" si="14"/>
        <v/>
      </c>
      <c r="AO37" t="str">
        <f t="shared" si="15"/>
        <v/>
      </c>
      <c r="AP37" t="str">
        <f t="shared" si="16"/>
        <v/>
      </c>
      <c r="AQ37" t="str">
        <f t="shared" si="17"/>
        <v/>
      </c>
      <c r="AR37" t="str">
        <f t="shared" si="18"/>
        <v/>
      </c>
      <c r="AS37" t="str">
        <f t="shared" si="19"/>
        <v/>
      </c>
      <c r="AT37" t="str">
        <f t="shared" si="20"/>
        <v/>
      </c>
      <c r="AU37" t="str">
        <f t="shared" si="21"/>
        <v/>
      </c>
      <c r="AV37"/>
      <c r="AW37"/>
      <c r="AX37"/>
      <c r="AY37"/>
      <c r="AZ37"/>
    </row>
    <row r="38" spans="1:52" ht="41.25" customHeight="1" thickBot="1">
      <c r="A38" s="2257"/>
      <c r="B38" s="159">
        <f>+PP!B56</f>
        <v>33</v>
      </c>
      <c r="C38" s="163" t="str">
        <f>+PP!C56</f>
        <v>RECORTE PRECOCIDO</v>
      </c>
      <c r="D38" s="255"/>
      <c r="E38" s="227"/>
      <c r="F38" s="227"/>
      <c r="G38" s="227"/>
      <c r="H38" s="227"/>
      <c r="I38" s="227"/>
      <c r="J38" s="227"/>
      <c r="K38" s="227"/>
      <c r="L38" s="227"/>
      <c r="M38" s="227"/>
      <c r="N38" s="227"/>
      <c r="O38" s="227"/>
      <c r="P38" s="227"/>
      <c r="Q38" s="227"/>
      <c r="R38" s="227"/>
      <c r="S38" s="227"/>
      <c r="T38" s="227"/>
      <c r="U38" s="227"/>
      <c r="V38" s="228"/>
      <c r="W38" s="581">
        <f t="shared" si="31"/>
        <v>0</v>
      </c>
      <c r="X38" s="155">
        <f t="shared" si="1"/>
        <v>0</v>
      </c>
      <c r="Y38" s="156">
        <f t="shared" si="30"/>
        <v>0</v>
      </c>
      <c r="Z38" s="452"/>
      <c r="AA38" s="1724"/>
      <c r="AB38" s="1730"/>
      <c r="AC38" t="str">
        <f t="shared" si="3"/>
        <v/>
      </c>
      <c r="AD38" t="str">
        <f t="shared" si="4"/>
        <v/>
      </c>
      <c r="AE38" t="str">
        <f t="shared" si="5"/>
        <v/>
      </c>
      <c r="AF38" t="str">
        <f t="shared" si="6"/>
        <v/>
      </c>
      <c r="AG38" t="str">
        <f t="shared" si="7"/>
        <v/>
      </c>
      <c r="AH38" t="str">
        <f t="shared" si="8"/>
        <v/>
      </c>
      <c r="AI38" t="str">
        <f t="shared" si="9"/>
        <v/>
      </c>
      <c r="AJ38" t="str">
        <f t="shared" si="10"/>
        <v/>
      </c>
      <c r="AK38" t="str">
        <f t="shared" si="11"/>
        <v/>
      </c>
      <c r="AL38" t="str">
        <f t="shared" si="12"/>
        <v/>
      </c>
      <c r="AM38" t="str">
        <f t="shared" si="13"/>
        <v/>
      </c>
      <c r="AN38" t="str">
        <f t="shared" si="14"/>
        <v/>
      </c>
      <c r="AO38" t="str">
        <f t="shared" si="15"/>
        <v/>
      </c>
      <c r="AP38" t="str">
        <f t="shared" si="16"/>
        <v/>
      </c>
      <c r="AQ38" t="str">
        <f t="shared" si="17"/>
        <v/>
      </c>
      <c r="AR38" t="str">
        <f t="shared" si="18"/>
        <v/>
      </c>
      <c r="AS38" t="str">
        <f t="shared" si="19"/>
        <v/>
      </c>
      <c r="AT38" t="str">
        <f t="shared" si="20"/>
        <v/>
      </c>
      <c r="AU38" t="str">
        <f t="shared" si="21"/>
        <v/>
      </c>
      <c r="AV38"/>
      <c r="AW38"/>
      <c r="AX38"/>
      <c r="AY38"/>
      <c r="AZ38"/>
    </row>
    <row r="39" spans="1:52" ht="40.5" customHeight="1">
      <c r="A39" s="2257"/>
      <c r="B39" s="159">
        <f>+PP!B57</f>
        <v>34</v>
      </c>
      <c r="C39" s="162" t="str">
        <f>+PP!C57</f>
        <v>REPRODUCTORES SV, PEQUEÑO</v>
      </c>
      <c r="D39" s="3006"/>
      <c r="E39" s="1836"/>
      <c r="F39" s="1836"/>
      <c r="G39" s="1836"/>
      <c r="H39" s="1836"/>
      <c r="I39" s="1836"/>
      <c r="J39" s="1836"/>
      <c r="K39" s="212"/>
      <c r="L39" s="212"/>
      <c r="M39" s="212"/>
      <c r="N39" s="212"/>
      <c r="O39" s="212"/>
      <c r="P39" s="212"/>
      <c r="Q39" s="212"/>
      <c r="R39" s="212"/>
      <c r="S39" s="212"/>
      <c r="T39" s="212"/>
      <c r="U39" s="212"/>
      <c r="V39" s="213"/>
      <c r="W39" s="573">
        <f t="shared" si="31"/>
        <v>0</v>
      </c>
      <c r="X39" s="148">
        <f t="shared" si="1"/>
        <v>0</v>
      </c>
      <c r="Y39" s="145">
        <f t="shared" si="30"/>
        <v>0</v>
      </c>
      <c r="AA39"/>
      <c r="AB39" s="1386"/>
      <c r="AC39" t="str">
        <f t="shared" si="3"/>
        <v/>
      </c>
      <c r="AD39" t="str">
        <f t="shared" si="4"/>
        <v/>
      </c>
      <c r="AE39" t="str">
        <f t="shared" si="5"/>
        <v/>
      </c>
      <c r="AF39" t="str">
        <f t="shared" si="6"/>
        <v/>
      </c>
      <c r="AG39" t="str">
        <f t="shared" si="7"/>
        <v/>
      </c>
      <c r="AH39" t="str">
        <f t="shared" si="8"/>
        <v/>
      </c>
      <c r="AI39" t="str">
        <f t="shared" si="9"/>
        <v/>
      </c>
      <c r="AJ39" t="str">
        <f t="shared" si="10"/>
        <v/>
      </c>
      <c r="AK39" t="str">
        <f t="shared" si="11"/>
        <v/>
      </c>
      <c r="AL39" t="str">
        <f t="shared" si="12"/>
        <v/>
      </c>
      <c r="AM39" t="str">
        <f t="shared" si="13"/>
        <v/>
      </c>
      <c r="AN39" t="str">
        <f t="shared" si="14"/>
        <v/>
      </c>
      <c r="AO39" t="str">
        <f t="shared" si="15"/>
        <v/>
      </c>
      <c r="AP39" t="str">
        <f t="shared" si="16"/>
        <v/>
      </c>
      <c r="AQ39" t="str">
        <f t="shared" si="17"/>
        <v/>
      </c>
      <c r="AR39" t="str">
        <f t="shared" si="18"/>
        <v/>
      </c>
      <c r="AS39" t="str">
        <f t="shared" si="19"/>
        <v/>
      </c>
      <c r="AT39" t="str">
        <f t="shared" si="20"/>
        <v/>
      </c>
      <c r="AU39" t="str">
        <f t="shared" si="21"/>
        <v/>
      </c>
      <c r="AV39"/>
      <c r="AW39"/>
      <c r="AX39"/>
      <c r="AY39"/>
      <c r="AZ39"/>
    </row>
    <row r="40" spans="1:52" ht="45" customHeight="1" thickBot="1">
      <c r="A40" s="2257"/>
      <c r="B40" s="159">
        <f>+PP!B58</f>
        <v>35</v>
      </c>
      <c r="C40" s="163" t="str">
        <f>+PP!C58</f>
        <v>REPRODUCTOR SV GRANDE</v>
      </c>
      <c r="D40" s="951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5"/>
      <c r="P40" s="215"/>
      <c r="Q40" s="215"/>
      <c r="R40" s="215"/>
      <c r="S40" s="215"/>
      <c r="T40" s="215"/>
      <c r="U40" s="215"/>
      <c r="V40" s="216"/>
      <c r="W40" s="582">
        <f t="shared" si="31"/>
        <v>0</v>
      </c>
      <c r="X40" s="150">
        <f t="shared" si="1"/>
        <v>0</v>
      </c>
      <c r="Y40" s="147">
        <f t="shared" si="30"/>
        <v>0</v>
      </c>
      <c r="AA40"/>
      <c r="AB40" s="1386"/>
      <c r="AC40" t="str">
        <f t="shared" si="3"/>
        <v/>
      </c>
      <c r="AD40" t="str">
        <f t="shared" si="4"/>
        <v/>
      </c>
      <c r="AE40" t="str">
        <f t="shared" si="5"/>
        <v/>
      </c>
      <c r="AF40" t="str">
        <f t="shared" si="6"/>
        <v/>
      </c>
      <c r="AG40" t="str">
        <f t="shared" si="7"/>
        <v/>
      </c>
      <c r="AH40" t="str">
        <f t="shared" si="8"/>
        <v/>
      </c>
      <c r="AI40" t="str">
        <f t="shared" si="9"/>
        <v/>
      </c>
      <c r="AJ40" t="str">
        <f t="shared" si="10"/>
        <v/>
      </c>
      <c r="AK40" t="str">
        <f t="shared" si="11"/>
        <v/>
      </c>
      <c r="AL40" t="str">
        <f t="shared" si="12"/>
        <v/>
      </c>
      <c r="AM40" t="str">
        <f t="shared" si="13"/>
        <v/>
      </c>
      <c r="AN40" t="str">
        <f t="shared" si="14"/>
        <v/>
      </c>
      <c r="AO40" t="str">
        <f t="shared" si="15"/>
        <v/>
      </c>
      <c r="AP40" t="str">
        <f t="shared" si="16"/>
        <v/>
      </c>
      <c r="AQ40" t="str">
        <f t="shared" si="17"/>
        <v/>
      </c>
      <c r="AR40" t="str">
        <f t="shared" si="18"/>
        <v/>
      </c>
      <c r="AS40" t="str">
        <f t="shared" si="19"/>
        <v/>
      </c>
      <c r="AT40" t="str">
        <f t="shared" si="20"/>
        <v/>
      </c>
      <c r="AU40" t="str">
        <f t="shared" si="21"/>
        <v/>
      </c>
      <c r="AV40"/>
      <c r="AW40"/>
      <c r="AX40"/>
      <c r="AY40"/>
      <c r="AZ40"/>
    </row>
    <row r="41" spans="1:52" ht="42.75" customHeight="1" thickBot="1">
      <c r="A41" s="2257"/>
      <c r="B41" s="42">
        <f>+PP!B59</f>
        <v>36</v>
      </c>
      <c r="C41" s="2015" t="str">
        <f>+PP!C59</f>
        <v>TUBO ALETA 1.0-2.0 Kg/pza</v>
      </c>
      <c r="D41" s="220"/>
      <c r="E41" s="221"/>
      <c r="F41" s="221"/>
      <c r="G41" s="221"/>
      <c r="H41" s="221"/>
      <c r="I41" s="221"/>
      <c r="J41" s="221"/>
      <c r="K41" s="221"/>
      <c r="L41" s="221"/>
      <c r="M41" s="221"/>
      <c r="N41" s="221"/>
      <c r="O41" s="221"/>
      <c r="P41" s="221"/>
      <c r="Q41" s="221"/>
      <c r="R41" s="221"/>
      <c r="S41" s="221"/>
      <c r="T41" s="221"/>
      <c r="U41" s="221"/>
      <c r="V41" s="222"/>
      <c r="W41" s="584">
        <f t="shared" si="31"/>
        <v>0</v>
      </c>
      <c r="X41" s="153">
        <f t="shared" si="1"/>
        <v>0</v>
      </c>
      <c r="Y41" s="154">
        <f t="shared" si="30"/>
        <v>0</v>
      </c>
      <c r="AA41"/>
      <c r="AB41" s="1386"/>
      <c r="AC41" t="str">
        <f t="shared" si="3"/>
        <v/>
      </c>
      <c r="AD41" t="str">
        <f t="shared" si="4"/>
        <v/>
      </c>
      <c r="AE41" t="str">
        <f t="shared" si="5"/>
        <v/>
      </c>
      <c r="AF41" t="str">
        <f t="shared" si="6"/>
        <v/>
      </c>
      <c r="AG41" t="str">
        <f t="shared" si="7"/>
        <v/>
      </c>
      <c r="AH41" t="str">
        <f t="shared" si="8"/>
        <v/>
      </c>
      <c r="AI41" t="str">
        <f t="shared" si="9"/>
        <v/>
      </c>
      <c r="AJ41" t="str">
        <f t="shared" si="10"/>
        <v/>
      </c>
      <c r="AK41" t="str">
        <f t="shared" si="11"/>
        <v/>
      </c>
      <c r="AL41" t="str">
        <f t="shared" si="12"/>
        <v/>
      </c>
      <c r="AM41" t="str">
        <f t="shared" si="13"/>
        <v/>
      </c>
      <c r="AN41" t="str">
        <f t="shared" si="14"/>
        <v/>
      </c>
      <c r="AO41" t="str">
        <f t="shared" si="15"/>
        <v/>
      </c>
      <c r="AP41" t="str">
        <f t="shared" si="16"/>
        <v/>
      </c>
      <c r="AQ41" t="str">
        <f t="shared" si="17"/>
        <v/>
      </c>
      <c r="AR41" t="str">
        <f t="shared" si="18"/>
        <v/>
      </c>
      <c r="AS41" t="str">
        <f t="shared" si="19"/>
        <v/>
      </c>
      <c r="AT41" t="str">
        <f t="shared" si="20"/>
        <v/>
      </c>
      <c r="AU41" t="str">
        <f t="shared" si="21"/>
        <v/>
      </c>
      <c r="AV41"/>
      <c r="AW41"/>
      <c r="AX41"/>
      <c r="AY41"/>
      <c r="AZ41"/>
    </row>
    <row r="42" spans="1:52" ht="42.75" customHeight="1">
      <c r="A42" s="2257"/>
      <c r="B42" s="42">
        <f>+PP!B60</f>
        <v>37</v>
      </c>
      <c r="C42" s="1022" t="str">
        <f>+PP!C60</f>
        <v>TENTACULO C/B C/V SR 100-300 g/pza (SUCIO)</v>
      </c>
      <c r="D42" s="223"/>
      <c r="E42" s="224"/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994"/>
      <c r="W42" s="573">
        <f t="shared" si="31"/>
        <v>0</v>
      </c>
      <c r="X42" s="151">
        <f t="shared" si="1"/>
        <v>0</v>
      </c>
      <c r="Y42" s="152">
        <f t="shared" si="30"/>
        <v>0</v>
      </c>
      <c r="AA42"/>
      <c r="AB42" s="1386"/>
      <c r="AC42" t="str">
        <f t="shared" si="3"/>
        <v/>
      </c>
      <c r="AD42" t="str">
        <f t="shared" si="4"/>
        <v/>
      </c>
      <c r="AE42" t="str">
        <f t="shared" si="5"/>
        <v/>
      </c>
      <c r="AF42" t="str">
        <f t="shared" si="6"/>
        <v/>
      </c>
      <c r="AG42" t="str">
        <f t="shared" si="7"/>
        <v/>
      </c>
      <c r="AH42" t="str">
        <f t="shared" si="8"/>
        <v/>
      </c>
      <c r="AI42" t="str">
        <f t="shared" si="9"/>
        <v/>
      </c>
      <c r="AJ42" t="str">
        <f t="shared" si="10"/>
        <v/>
      </c>
      <c r="AK42" t="str">
        <f t="shared" si="11"/>
        <v/>
      </c>
      <c r="AL42" t="str">
        <f t="shared" si="12"/>
        <v/>
      </c>
      <c r="AM42" t="str">
        <f t="shared" si="13"/>
        <v/>
      </c>
      <c r="AN42" t="str">
        <f t="shared" si="14"/>
        <v/>
      </c>
      <c r="AO42" t="str">
        <f t="shared" si="15"/>
        <v/>
      </c>
      <c r="AP42" t="str">
        <f t="shared" si="16"/>
        <v/>
      </c>
      <c r="AQ42" t="str">
        <f t="shared" si="17"/>
        <v/>
      </c>
      <c r="AR42" t="str">
        <f t="shared" si="18"/>
        <v/>
      </c>
      <c r="AS42" t="str">
        <f t="shared" si="19"/>
        <v/>
      </c>
      <c r="AT42" t="str">
        <f t="shared" si="20"/>
        <v/>
      </c>
      <c r="AU42" t="str">
        <f t="shared" si="21"/>
        <v/>
      </c>
      <c r="AV42"/>
      <c r="AW42"/>
      <c r="AX42"/>
      <c r="AY42"/>
      <c r="AZ42"/>
    </row>
    <row r="43" spans="1:52" ht="50.25" customHeight="1">
      <c r="A43" s="2257"/>
      <c r="B43" s="42">
        <f>+PP!B61</f>
        <v>38</v>
      </c>
      <c r="C43" s="1024" t="str">
        <f>+PP!C61</f>
        <v>TENTACULO C/B C/V SR 300-500 g/pza (SUCIO)</v>
      </c>
      <c r="D43" s="217"/>
      <c r="E43" s="218"/>
      <c r="F43" s="218"/>
      <c r="G43" s="218"/>
      <c r="H43" s="218"/>
      <c r="I43" s="218"/>
      <c r="J43" s="218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276"/>
      <c r="W43" s="579">
        <f t="shared" si="31"/>
        <v>0</v>
      </c>
      <c r="X43" s="149">
        <f t="shared" si="1"/>
        <v>0</v>
      </c>
      <c r="Y43" s="146">
        <f t="shared" si="30"/>
        <v>0</v>
      </c>
      <c r="AA43"/>
      <c r="AB43" s="1386"/>
      <c r="AC43" t="str">
        <f t="shared" si="3"/>
        <v/>
      </c>
      <c r="AD43" t="str">
        <f t="shared" si="4"/>
        <v/>
      </c>
      <c r="AE43" t="str">
        <f t="shared" si="5"/>
        <v/>
      </c>
      <c r="AF43" t="str">
        <f t="shared" si="6"/>
        <v/>
      </c>
      <c r="AG43" t="str">
        <f t="shared" si="7"/>
        <v/>
      </c>
      <c r="AH43" t="str">
        <f t="shared" si="8"/>
        <v/>
      </c>
      <c r="AI43" t="str">
        <f t="shared" si="9"/>
        <v/>
      </c>
      <c r="AJ43" t="str">
        <f t="shared" si="10"/>
        <v/>
      </c>
      <c r="AK43" t="str">
        <f t="shared" si="11"/>
        <v/>
      </c>
      <c r="AL43" t="str">
        <f t="shared" si="12"/>
        <v/>
      </c>
      <c r="AM43" t="str">
        <f t="shared" si="13"/>
        <v/>
      </c>
      <c r="AN43" t="str">
        <f t="shared" si="14"/>
        <v/>
      </c>
      <c r="AO43" t="str">
        <f t="shared" si="15"/>
        <v/>
      </c>
      <c r="AP43" t="str">
        <f t="shared" si="16"/>
        <v/>
      </c>
      <c r="AQ43" t="str">
        <f t="shared" si="17"/>
        <v/>
      </c>
      <c r="AR43" t="str">
        <f t="shared" si="18"/>
        <v/>
      </c>
      <c r="AS43" t="str">
        <f t="shared" si="19"/>
        <v/>
      </c>
      <c r="AT43" t="str">
        <f t="shared" si="20"/>
        <v/>
      </c>
      <c r="AU43" t="str">
        <f t="shared" si="21"/>
        <v/>
      </c>
      <c r="AV43"/>
      <c r="AW43"/>
      <c r="AX43"/>
      <c r="AY43"/>
      <c r="AZ43"/>
    </row>
    <row r="44" spans="1:52" ht="45.75">
      <c r="A44" s="2257"/>
      <c r="B44" s="42">
        <f>+PP!B62</f>
        <v>39</v>
      </c>
      <c r="C44" s="1024" t="str">
        <f>+PP!C62</f>
        <v>TENTACULO C/B S/V SR 100-300 g/pza</v>
      </c>
      <c r="D44" s="217"/>
      <c r="E44" s="218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76"/>
      <c r="W44" s="579">
        <f t="shared" si="31"/>
        <v>0</v>
      </c>
      <c r="X44" s="149">
        <f t="shared" si="1"/>
        <v>0</v>
      </c>
      <c r="Y44" s="146">
        <f t="shared" si="30"/>
        <v>0</v>
      </c>
      <c r="AA44"/>
      <c r="AB44"/>
      <c r="AC44" t="str">
        <f t="shared" si="3"/>
        <v/>
      </c>
      <c r="AD44" t="str">
        <f t="shared" si="4"/>
        <v/>
      </c>
      <c r="AE44" t="str">
        <f t="shared" si="5"/>
        <v/>
      </c>
      <c r="AF44" t="str">
        <f t="shared" si="6"/>
        <v/>
      </c>
      <c r="AG44" t="str">
        <f t="shared" si="7"/>
        <v/>
      </c>
      <c r="AH44" t="str">
        <f t="shared" si="8"/>
        <v/>
      </c>
      <c r="AI44" t="str">
        <f t="shared" si="9"/>
        <v/>
      </c>
      <c r="AJ44" t="str">
        <f t="shared" si="10"/>
        <v/>
      </c>
      <c r="AK44" t="str">
        <f t="shared" si="11"/>
        <v/>
      </c>
      <c r="AL44" t="str">
        <f t="shared" si="12"/>
        <v/>
      </c>
      <c r="AM44" t="str">
        <f t="shared" si="13"/>
        <v/>
      </c>
      <c r="AN44" t="str">
        <f t="shared" si="14"/>
        <v/>
      </c>
      <c r="AO44" t="str">
        <f t="shared" si="15"/>
        <v/>
      </c>
      <c r="AP44" t="str">
        <f t="shared" si="16"/>
        <v/>
      </c>
      <c r="AQ44" t="str">
        <f t="shared" si="17"/>
        <v/>
      </c>
      <c r="AR44" t="str">
        <f t="shared" si="18"/>
        <v/>
      </c>
      <c r="AS44" t="str">
        <f t="shared" si="19"/>
        <v/>
      </c>
      <c r="AT44" t="str">
        <f t="shared" si="20"/>
        <v/>
      </c>
      <c r="AU44" t="str">
        <f t="shared" si="21"/>
        <v/>
      </c>
      <c r="AV44"/>
      <c r="AW44"/>
      <c r="AX44"/>
      <c r="AY44"/>
      <c r="AZ44"/>
    </row>
    <row r="45" spans="1:52" ht="45.75" customHeight="1">
      <c r="A45" s="2257"/>
      <c r="B45" s="42">
        <f>+PP!B63</f>
        <v>40</v>
      </c>
      <c r="C45" s="1024" t="str">
        <f>+PP!C63</f>
        <v>TENTACULO C/B C/V SR 100-500 g/pza (SUCIO)</v>
      </c>
      <c r="D45" s="217"/>
      <c r="E45" s="218"/>
      <c r="F45" s="218"/>
      <c r="G45" s="218"/>
      <c r="H45" s="218"/>
      <c r="I45" s="218"/>
      <c r="J45" s="218"/>
      <c r="K45" s="218"/>
      <c r="L45" s="218"/>
      <c r="M45" s="218"/>
      <c r="N45" s="218"/>
      <c r="O45" s="218"/>
      <c r="P45" s="218"/>
      <c r="Q45" s="218"/>
      <c r="R45" s="218"/>
      <c r="S45" s="218"/>
      <c r="T45" s="218"/>
      <c r="U45" s="218"/>
      <c r="V45" s="276"/>
      <c r="W45" s="579">
        <f t="shared" si="31"/>
        <v>0</v>
      </c>
      <c r="X45" s="149">
        <f t="shared" si="1"/>
        <v>0</v>
      </c>
      <c r="Y45" s="146">
        <f t="shared" si="30"/>
        <v>0</v>
      </c>
      <c r="AA45"/>
      <c r="AB45" s="1199"/>
      <c r="AC45" s="1199" t="str">
        <f t="shared" si="3"/>
        <v/>
      </c>
      <c r="AD45" s="1199" t="str">
        <f t="shared" si="4"/>
        <v/>
      </c>
      <c r="AE45" s="1199" t="str">
        <f t="shared" si="5"/>
        <v/>
      </c>
      <c r="AF45" s="1199" t="str">
        <f t="shared" si="6"/>
        <v/>
      </c>
      <c r="AG45" s="1199" t="str">
        <f t="shared" si="7"/>
        <v/>
      </c>
      <c r="AH45" t="str">
        <f t="shared" si="8"/>
        <v/>
      </c>
      <c r="AI45" t="str">
        <f t="shared" si="9"/>
        <v/>
      </c>
      <c r="AJ45" t="str">
        <f t="shared" si="10"/>
        <v/>
      </c>
      <c r="AK45" t="str">
        <f t="shared" si="11"/>
        <v/>
      </c>
      <c r="AL45" t="str">
        <f t="shared" si="12"/>
        <v/>
      </c>
      <c r="AM45" t="str">
        <f t="shared" si="13"/>
        <v/>
      </c>
      <c r="AN45" t="str">
        <f t="shared" si="14"/>
        <v/>
      </c>
      <c r="AO45" t="str">
        <f t="shared" si="15"/>
        <v/>
      </c>
      <c r="AP45" t="str">
        <f t="shared" si="16"/>
        <v/>
      </c>
      <c r="AQ45" t="str">
        <f t="shared" si="17"/>
        <v/>
      </c>
      <c r="AR45" t="str">
        <f t="shared" si="18"/>
        <v/>
      </c>
      <c r="AS45" t="str">
        <f t="shared" si="19"/>
        <v/>
      </c>
      <c r="AT45" t="str">
        <f t="shared" si="20"/>
        <v/>
      </c>
      <c r="AU45" t="str">
        <f t="shared" si="21"/>
        <v/>
      </c>
      <c r="AV45"/>
      <c r="AW45"/>
      <c r="AX45"/>
      <c r="AY45"/>
      <c r="AZ45"/>
    </row>
    <row r="46" spans="1:52" ht="45.75">
      <c r="A46" s="2257"/>
      <c r="B46" s="42">
        <f>+PP!B64</f>
        <v>41</v>
      </c>
      <c r="C46" s="1024" t="str">
        <f>+PP!C64</f>
        <v>TENTACULO C/B S/V SR 100-500 g/pza</v>
      </c>
      <c r="D46" s="1837"/>
      <c r="E46" s="1831"/>
      <c r="F46" s="1831"/>
      <c r="G46" s="1831"/>
      <c r="H46" s="1831"/>
      <c r="I46" s="1831"/>
      <c r="J46" s="1831"/>
      <c r="K46" s="218"/>
      <c r="L46" s="218"/>
      <c r="M46" s="218"/>
      <c r="N46" s="218"/>
      <c r="O46" s="218"/>
      <c r="P46" s="218"/>
      <c r="Q46" s="218"/>
      <c r="R46" s="218"/>
      <c r="S46" s="218"/>
      <c r="T46" s="218"/>
      <c r="U46" s="218"/>
      <c r="V46" s="276"/>
      <c r="W46" s="579">
        <f t="shared" si="31"/>
        <v>0</v>
      </c>
      <c r="X46" s="149">
        <f t="shared" si="1"/>
        <v>0</v>
      </c>
      <c r="Y46" s="146">
        <f t="shared" si="30"/>
        <v>0</v>
      </c>
      <c r="AA46"/>
      <c r="AB46" s="1199"/>
      <c r="AC46" s="1199" t="str">
        <f t="shared" si="3"/>
        <v/>
      </c>
      <c r="AD46" s="1199" t="str">
        <f t="shared" si="4"/>
        <v/>
      </c>
      <c r="AE46" s="1199" t="str">
        <f t="shared" si="5"/>
        <v/>
      </c>
      <c r="AF46" s="1199" t="str">
        <f t="shared" si="6"/>
        <v/>
      </c>
      <c r="AG46" s="1199" t="str">
        <f t="shared" si="7"/>
        <v/>
      </c>
      <c r="AH46" t="str">
        <f t="shared" si="8"/>
        <v/>
      </c>
      <c r="AI46" t="str">
        <f t="shared" si="9"/>
        <v/>
      </c>
      <c r="AJ46" t="str">
        <f t="shared" si="10"/>
        <v/>
      </c>
      <c r="AK46" t="str">
        <f t="shared" si="11"/>
        <v/>
      </c>
      <c r="AL46" t="str">
        <f t="shared" si="12"/>
        <v/>
      </c>
      <c r="AM46" t="str">
        <f t="shared" si="13"/>
        <v/>
      </c>
      <c r="AN46" t="str">
        <f t="shared" si="14"/>
        <v/>
      </c>
      <c r="AO46" t="str">
        <f t="shared" si="15"/>
        <v/>
      </c>
      <c r="AP46" t="str">
        <f t="shared" si="16"/>
        <v/>
      </c>
      <c r="AQ46" t="str">
        <f t="shared" si="17"/>
        <v/>
      </c>
      <c r="AR46" t="str">
        <f t="shared" si="18"/>
        <v/>
      </c>
      <c r="AS46" t="str">
        <f t="shared" si="19"/>
        <v/>
      </c>
      <c r="AT46" t="str">
        <f t="shared" si="20"/>
        <v/>
      </c>
      <c r="AU46" t="str">
        <f t="shared" si="21"/>
        <v/>
      </c>
      <c r="AV46"/>
      <c r="AW46"/>
      <c r="AX46"/>
      <c r="AY46"/>
      <c r="AZ46"/>
    </row>
    <row r="47" spans="1:52" ht="45.75">
      <c r="A47" s="2257"/>
      <c r="B47" s="42">
        <f>+PP!B65</f>
        <v>42</v>
      </c>
      <c r="C47" s="1024" t="str">
        <f>+PP!C65</f>
        <v>TENTACULO C/B S/V SR 300-500 g/pza</v>
      </c>
      <c r="D47" s="1837"/>
      <c r="E47" s="1831"/>
      <c r="F47" s="1831"/>
      <c r="G47" s="1831"/>
      <c r="H47" s="1831"/>
      <c r="I47" s="1831"/>
      <c r="J47" s="1831"/>
      <c r="K47" s="218"/>
      <c r="L47" s="218"/>
      <c r="M47" s="218"/>
      <c r="N47" s="218"/>
      <c r="O47" s="218"/>
      <c r="P47" s="218"/>
      <c r="Q47" s="218"/>
      <c r="R47" s="218"/>
      <c r="S47" s="218"/>
      <c r="T47" s="218"/>
      <c r="U47" s="218"/>
      <c r="V47" s="276"/>
      <c r="W47" s="579">
        <f t="shared" si="31"/>
        <v>0</v>
      </c>
      <c r="X47" s="149">
        <f t="shared" si="1"/>
        <v>0</v>
      </c>
      <c r="Y47" s="146">
        <f t="shared" si="30"/>
        <v>0</v>
      </c>
      <c r="AA47"/>
      <c r="AB47" s="1199"/>
      <c r="AC47" s="1199" t="str">
        <f t="shared" si="3"/>
        <v/>
      </c>
      <c r="AD47" s="1199" t="str">
        <f t="shared" si="4"/>
        <v/>
      </c>
      <c r="AE47" s="1199" t="str">
        <f t="shared" si="5"/>
        <v/>
      </c>
      <c r="AF47" s="1199" t="str">
        <f t="shared" si="6"/>
        <v/>
      </c>
      <c r="AG47" s="1199" t="str">
        <f t="shared" si="7"/>
        <v/>
      </c>
      <c r="AH47" t="str">
        <f t="shared" si="8"/>
        <v/>
      </c>
      <c r="AI47" t="str">
        <f t="shared" si="9"/>
        <v/>
      </c>
      <c r="AJ47" t="str">
        <f t="shared" si="10"/>
        <v/>
      </c>
      <c r="AK47" t="str">
        <f t="shared" si="11"/>
        <v/>
      </c>
      <c r="AL47" t="str">
        <f t="shared" si="12"/>
        <v/>
      </c>
      <c r="AM47" t="str">
        <f t="shared" si="13"/>
        <v/>
      </c>
      <c r="AN47" t="str">
        <f t="shared" si="14"/>
        <v/>
      </c>
      <c r="AO47" t="str">
        <f t="shared" si="15"/>
        <v/>
      </c>
      <c r="AP47" t="str">
        <f t="shared" si="16"/>
        <v/>
      </c>
      <c r="AQ47" t="str">
        <f t="shared" si="17"/>
        <v/>
      </c>
      <c r="AR47" t="str">
        <f t="shared" si="18"/>
        <v/>
      </c>
      <c r="AS47" t="str">
        <f t="shared" si="19"/>
        <v/>
      </c>
      <c r="AT47" t="str">
        <f t="shared" si="20"/>
        <v/>
      </c>
      <c r="AU47" t="str">
        <f t="shared" si="21"/>
        <v/>
      </c>
      <c r="AV47"/>
      <c r="AW47"/>
      <c r="AX47"/>
      <c r="AY47"/>
      <c r="AZ47"/>
    </row>
    <row r="48" spans="1:52" ht="45.75" customHeight="1">
      <c r="A48" s="2257"/>
      <c r="B48" s="42">
        <f>+PP!B66</f>
        <v>43</v>
      </c>
      <c r="C48" s="1024" t="str">
        <f>+PP!C66</f>
        <v>TENTACULO C/B C/V SR 500-1000 g/pza (SUCIO)</v>
      </c>
      <c r="D48" s="1837"/>
      <c r="E48" s="1831"/>
      <c r="F48" s="1831"/>
      <c r="G48" s="1831"/>
      <c r="H48" s="1831"/>
      <c r="I48" s="1831"/>
      <c r="J48" s="1831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76"/>
      <c r="W48" s="579">
        <f t="shared" si="31"/>
        <v>0</v>
      </c>
      <c r="X48" s="149">
        <f t="shared" si="1"/>
        <v>0</v>
      </c>
      <c r="Y48" s="146">
        <f t="shared" si="30"/>
        <v>0</v>
      </c>
      <c r="AA48"/>
      <c r="AB48" s="1199"/>
      <c r="AC48" s="1199" t="str">
        <f t="shared" si="3"/>
        <v/>
      </c>
      <c r="AD48" s="1199" t="str">
        <f t="shared" si="4"/>
        <v/>
      </c>
      <c r="AE48" s="1199" t="str">
        <f t="shared" si="5"/>
        <v/>
      </c>
      <c r="AF48" s="1199" t="str">
        <f t="shared" si="6"/>
        <v/>
      </c>
      <c r="AG48" s="1199" t="str">
        <f t="shared" si="7"/>
        <v/>
      </c>
      <c r="AH48" t="str">
        <f t="shared" si="8"/>
        <v/>
      </c>
      <c r="AI48" t="str">
        <f t="shared" si="9"/>
        <v/>
      </c>
      <c r="AJ48" t="str">
        <f t="shared" si="10"/>
        <v/>
      </c>
      <c r="AK48" t="str">
        <f t="shared" si="11"/>
        <v/>
      </c>
      <c r="AL48" t="str">
        <f t="shared" si="12"/>
        <v/>
      </c>
      <c r="AM48" t="str">
        <f t="shared" si="13"/>
        <v/>
      </c>
      <c r="AN48" t="str">
        <f t="shared" si="14"/>
        <v/>
      </c>
      <c r="AO48" t="str">
        <f t="shared" si="15"/>
        <v/>
      </c>
      <c r="AP48" t="str">
        <f t="shared" si="16"/>
        <v/>
      </c>
      <c r="AQ48" t="str">
        <f t="shared" si="17"/>
        <v/>
      </c>
      <c r="AR48" t="str">
        <f t="shared" si="18"/>
        <v/>
      </c>
      <c r="AS48" t="str">
        <f t="shared" si="19"/>
        <v/>
      </c>
      <c r="AT48" t="str">
        <f t="shared" si="20"/>
        <v/>
      </c>
      <c r="AU48" t="str">
        <f t="shared" si="21"/>
        <v/>
      </c>
      <c r="AV48"/>
      <c r="AW48"/>
      <c r="AX48"/>
      <c r="AY48"/>
      <c r="AZ48"/>
    </row>
    <row r="49" spans="1:87" ht="51.75" customHeight="1">
      <c r="A49" s="2257"/>
      <c r="B49" s="42">
        <f>+PP!B67</f>
        <v>44</v>
      </c>
      <c r="C49" s="1024" t="str">
        <f>+PP!C67</f>
        <v>TENTACULO C/B S/V SR 500-1000 g/pza</v>
      </c>
      <c r="D49" s="1837"/>
      <c r="E49" s="1831"/>
      <c r="F49" s="1831"/>
      <c r="G49" s="1831"/>
      <c r="H49" s="1831"/>
      <c r="I49" s="1831"/>
      <c r="J49" s="1831"/>
      <c r="K49" s="218"/>
      <c r="L49" s="218"/>
      <c r="M49" s="218"/>
      <c r="N49" s="218"/>
      <c r="O49" s="218"/>
      <c r="P49" s="218"/>
      <c r="Q49" s="218"/>
      <c r="R49" s="218"/>
      <c r="S49" s="218"/>
      <c r="T49" s="218"/>
      <c r="U49" s="218"/>
      <c r="V49" s="276"/>
      <c r="W49" s="579">
        <f t="shared" si="31"/>
        <v>0</v>
      </c>
      <c r="X49" s="149">
        <f t="shared" si="1"/>
        <v>0</v>
      </c>
      <c r="Y49" s="146">
        <f t="shared" si="30"/>
        <v>0</v>
      </c>
      <c r="AA49"/>
      <c r="AB49" s="1199"/>
      <c r="AC49" s="1199" t="str">
        <f t="shared" si="3"/>
        <v/>
      </c>
      <c r="AD49" s="1199" t="str">
        <f t="shared" si="4"/>
        <v/>
      </c>
      <c r="AE49" s="1199" t="str">
        <f t="shared" si="5"/>
        <v/>
      </c>
      <c r="AF49" s="1199" t="str">
        <f t="shared" si="6"/>
        <v/>
      </c>
      <c r="AG49" s="1199" t="str">
        <f t="shared" si="7"/>
        <v/>
      </c>
      <c r="AH49" t="str">
        <f t="shared" si="8"/>
        <v/>
      </c>
      <c r="AI49" t="str">
        <f t="shared" si="9"/>
        <v/>
      </c>
      <c r="AJ49" t="str">
        <f t="shared" si="10"/>
        <v/>
      </c>
      <c r="AK49" t="str">
        <f t="shared" si="11"/>
        <v/>
      </c>
      <c r="AL49" t="str">
        <f t="shared" si="12"/>
        <v/>
      </c>
      <c r="AM49" t="str">
        <f t="shared" si="13"/>
        <v/>
      </c>
      <c r="AN49" t="str">
        <f t="shared" si="14"/>
        <v/>
      </c>
      <c r="AO49" t="str">
        <f t="shared" si="15"/>
        <v/>
      </c>
      <c r="AP49" t="str">
        <f t="shared" si="16"/>
        <v/>
      </c>
      <c r="AQ49" t="str">
        <f t="shared" si="17"/>
        <v/>
      </c>
      <c r="AR49" t="str">
        <f t="shared" si="18"/>
        <v/>
      </c>
      <c r="AS49" t="str">
        <f t="shared" si="19"/>
        <v/>
      </c>
      <c r="AT49" t="str">
        <f t="shared" si="20"/>
        <v/>
      </c>
      <c r="AU49" t="str">
        <f t="shared" si="21"/>
        <v/>
      </c>
      <c r="AV49"/>
      <c r="AW49"/>
      <c r="AX49"/>
      <c r="AY49"/>
      <c r="AZ49"/>
    </row>
    <row r="50" spans="1:87" ht="45.75" customHeight="1">
      <c r="A50" s="2257"/>
      <c r="B50" s="42">
        <f>+PP!B68</f>
        <v>45</v>
      </c>
      <c r="C50" s="1024" t="str">
        <f>+PP!C68</f>
        <v>TENTACULO C/B C/V SR 1.0-2.0 Kg/pza (SUCIO)</v>
      </c>
      <c r="D50" s="1837"/>
      <c r="E50" s="1831"/>
      <c r="F50" s="1831"/>
      <c r="G50" s="1831"/>
      <c r="H50" s="1831"/>
      <c r="I50" s="1831"/>
      <c r="J50" s="1831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76"/>
      <c r="W50" s="579">
        <f t="shared" si="31"/>
        <v>0</v>
      </c>
      <c r="X50" s="149">
        <f t="shared" si="1"/>
        <v>0</v>
      </c>
      <c r="Y50" s="146">
        <f t="shared" si="30"/>
        <v>0</v>
      </c>
      <c r="AA50"/>
      <c r="AB50" s="1199"/>
      <c r="AC50" s="1199" t="str">
        <f t="shared" si="3"/>
        <v/>
      </c>
      <c r="AD50" s="1199" t="str">
        <f t="shared" si="4"/>
        <v/>
      </c>
      <c r="AE50" s="1199" t="str">
        <f t="shared" si="5"/>
        <v/>
      </c>
      <c r="AF50" s="1199" t="str">
        <f t="shared" si="6"/>
        <v/>
      </c>
      <c r="AG50" s="1199" t="str">
        <f t="shared" si="7"/>
        <v/>
      </c>
      <c r="AH50" t="str">
        <f t="shared" si="8"/>
        <v/>
      </c>
      <c r="AI50" t="str">
        <f t="shared" si="9"/>
        <v/>
      </c>
      <c r="AJ50" t="str">
        <f t="shared" si="10"/>
        <v/>
      </c>
      <c r="AK50" t="str">
        <f t="shared" si="11"/>
        <v/>
      </c>
      <c r="AL50" t="str">
        <f t="shared" si="12"/>
        <v/>
      </c>
      <c r="AM50" t="str">
        <f t="shared" si="13"/>
        <v/>
      </c>
      <c r="AN50" t="str">
        <f t="shared" si="14"/>
        <v/>
      </c>
      <c r="AO50" t="str">
        <f t="shared" si="15"/>
        <v/>
      </c>
      <c r="AP50" t="str">
        <f t="shared" si="16"/>
        <v/>
      </c>
      <c r="AQ50" t="str">
        <f t="shared" si="17"/>
        <v/>
      </c>
      <c r="AR50" t="str">
        <f t="shared" si="18"/>
        <v/>
      </c>
      <c r="AS50" t="str">
        <f t="shared" si="19"/>
        <v/>
      </c>
      <c r="AT50" t="str">
        <f t="shared" si="20"/>
        <v/>
      </c>
      <c r="AU50" t="str">
        <f t="shared" si="21"/>
        <v/>
      </c>
      <c r="AV50"/>
      <c r="AW50"/>
      <c r="AX50"/>
      <c r="AY50"/>
      <c r="AZ50"/>
    </row>
    <row r="51" spans="1:87" ht="45.75">
      <c r="A51" s="2257"/>
      <c r="B51" s="42">
        <f>+PP!B69</f>
        <v>46</v>
      </c>
      <c r="C51" s="1024" t="str">
        <f>+PP!C69</f>
        <v>TENTACULO C/B S/V SR 1.0-2.0 Kg/pza</v>
      </c>
      <c r="D51" s="1837"/>
      <c r="E51" s="1831"/>
      <c r="F51" s="1831"/>
      <c r="G51" s="1831"/>
      <c r="H51" s="1831"/>
      <c r="I51" s="1831"/>
      <c r="J51" s="1831"/>
      <c r="K51" s="218"/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76"/>
      <c r="W51" s="579">
        <f t="shared" si="31"/>
        <v>0</v>
      </c>
      <c r="X51" s="149">
        <f t="shared" si="1"/>
        <v>0</v>
      </c>
      <c r="Y51" s="146">
        <f t="shared" si="30"/>
        <v>0</v>
      </c>
      <c r="AA51"/>
      <c r="AB51" s="1199"/>
      <c r="AC51" s="1199" t="str">
        <f t="shared" si="3"/>
        <v/>
      </c>
      <c r="AD51" s="1199" t="str">
        <f t="shared" si="4"/>
        <v/>
      </c>
      <c r="AE51" s="1199" t="str">
        <f t="shared" si="5"/>
        <v/>
      </c>
      <c r="AF51" s="1199" t="str">
        <f t="shared" si="6"/>
        <v/>
      </c>
      <c r="AG51" s="1199" t="str">
        <f t="shared" si="7"/>
        <v/>
      </c>
      <c r="AH51" t="str">
        <f t="shared" si="8"/>
        <v/>
      </c>
      <c r="AI51" t="str">
        <f t="shared" si="9"/>
        <v/>
      </c>
      <c r="AJ51" t="str">
        <f t="shared" si="10"/>
        <v/>
      </c>
      <c r="AK51" t="str">
        <f t="shared" si="11"/>
        <v/>
      </c>
      <c r="AL51" t="str">
        <f t="shared" si="12"/>
        <v/>
      </c>
      <c r="AM51" t="str">
        <f t="shared" si="13"/>
        <v/>
      </c>
      <c r="AN51" t="str">
        <f t="shared" si="14"/>
        <v/>
      </c>
      <c r="AO51" t="str">
        <f t="shared" si="15"/>
        <v/>
      </c>
      <c r="AP51" t="str">
        <f t="shared" si="16"/>
        <v/>
      </c>
      <c r="AQ51" t="str">
        <f t="shared" si="17"/>
        <v/>
      </c>
      <c r="AR51" t="str">
        <f t="shared" si="18"/>
        <v/>
      </c>
      <c r="AS51" t="str">
        <f t="shared" si="19"/>
        <v/>
      </c>
      <c r="AT51" t="str">
        <f t="shared" si="20"/>
        <v/>
      </c>
      <c r="AU51" t="str">
        <f t="shared" si="21"/>
        <v/>
      </c>
      <c r="AV51"/>
      <c r="AW51"/>
      <c r="AX51"/>
      <c r="AY51"/>
      <c r="AZ51"/>
    </row>
    <row r="52" spans="1:87" ht="45" customHeight="1" thickBot="1">
      <c r="A52" s="2257"/>
      <c r="B52" s="42">
        <f>+PP!B70</f>
        <v>47</v>
      </c>
      <c r="C52" s="1026" t="str">
        <f>+PP!C70</f>
        <v>TENTACULO C/B S/V SR 2 UP Kg/pza</v>
      </c>
      <c r="D52" s="3009"/>
      <c r="E52" s="3004"/>
      <c r="F52" s="3004"/>
      <c r="G52" s="3004"/>
      <c r="H52" s="3004"/>
      <c r="I52" s="3004"/>
      <c r="J52" s="3004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3010"/>
      <c r="W52" s="581">
        <f t="shared" si="0"/>
        <v>0</v>
      </c>
      <c r="X52" s="155">
        <f t="shared" si="1"/>
        <v>0</v>
      </c>
      <c r="Y52" s="156">
        <f t="shared" si="30"/>
        <v>0</v>
      </c>
      <c r="AA52"/>
      <c r="AB52" s="1199"/>
      <c r="AC52" s="1199" t="str">
        <f t="shared" si="3"/>
        <v/>
      </c>
      <c r="AD52" s="1199" t="str">
        <f t="shared" si="4"/>
        <v/>
      </c>
      <c r="AE52" s="1199" t="str">
        <f t="shared" si="5"/>
        <v/>
      </c>
      <c r="AF52" s="1199" t="str">
        <f t="shared" si="6"/>
        <v/>
      </c>
      <c r="AG52" s="1199" t="str">
        <f t="shared" si="7"/>
        <v/>
      </c>
      <c r="AH52" t="str">
        <f t="shared" si="8"/>
        <v/>
      </c>
      <c r="AI52" t="str">
        <f t="shared" si="9"/>
        <v/>
      </c>
      <c r="AJ52" t="str">
        <f t="shared" si="10"/>
        <v/>
      </c>
      <c r="AK52" t="str">
        <f t="shared" si="11"/>
        <v/>
      </c>
      <c r="AL52" t="str">
        <f t="shared" si="12"/>
        <v/>
      </c>
      <c r="AM52" t="str">
        <f t="shared" si="13"/>
        <v/>
      </c>
      <c r="AN52" t="str">
        <f t="shared" si="14"/>
        <v/>
      </c>
      <c r="AO52" t="str">
        <f t="shared" si="15"/>
        <v/>
      </c>
      <c r="AP52" t="str">
        <f t="shared" si="16"/>
        <v/>
      </c>
      <c r="AQ52" t="str">
        <f t="shared" si="17"/>
        <v/>
      </c>
      <c r="AR52" t="str">
        <f t="shared" si="18"/>
        <v/>
      </c>
      <c r="AS52" t="str">
        <f t="shared" si="19"/>
        <v/>
      </c>
      <c r="AT52" t="str">
        <f t="shared" si="20"/>
        <v/>
      </c>
      <c r="AU52" t="str">
        <f t="shared" si="21"/>
        <v/>
      </c>
      <c r="AV52"/>
      <c r="AW52"/>
      <c r="AX52"/>
      <c r="AY52"/>
      <c r="AZ52"/>
    </row>
    <row r="53" spans="1:87" ht="46.5" thickBot="1">
      <c r="A53" s="2257"/>
      <c r="B53" s="40">
        <f>+PP!B71</f>
        <v>48</v>
      </c>
      <c r="C53" s="2015" t="str">
        <f>+PP!C71</f>
        <v>TUBO ALETA 500-1000 g/pza</v>
      </c>
      <c r="D53" s="220"/>
      <c r="E53" s="221"/>
      <c r="F53" s="221"/>
      <c r="G53" s="221"/>
      <c r="H53" s="221"/>
      <c r="I53" s="221"/>
      <c r="J53" s="221"/>
      <c r="K53" s="221"/>
      <c r="L53" s="221"/>
      <c r="M53" s="221"/>
      <c r="N53" s="221"/>
      <c r="O53" s="221"/>
      <c r="P53" s="221"/>
      <c r="Q53" s="221"/>
      <c r="R53" s="221"/>
      <c r="S53" s="221"/>
      <c r="T53" s="221"/>
      <c r="U53" s="221"/>
      <c r="V53" s="2996"/>
      <c r="W53" s="584">
        <f t="shared" si="0"/>
        <v>0</v>
      </c>
      <c r="X53" s="153">
        <f t="shared" si="1"/>
        <v>0</v>
      </c>
      <c r="Y53" s="154">
        <f t="shared" si="30"/>
        <v>0</v>
      </c>
      <c r="AA53"/>
      <c r="AB53" s="1199"/>
      <c r="AC53" s="1199" t="str">
        <f t="shared" si="3"/>
        <v/>
      </c>
      <c r="AD53" s="1199" t="str">
        <f t="shared" si="4"/>
        <v/>
      </c>
      <c r="AE53" s="1199" t="str">
        <f t="shared" si="5"/>
        <v/>
      </c>
      <c r="AF53" s="1199" t="str">
        <f t="shared" si="6"/>
        <v/>
      </c>
      <c r="AG53" s="1199" t="str">
        <f t="shared" si="7"/>
        <v/>
      </c>
      <c r="AH53" t="str">
        <f t="shared" si="8"/>
        <v/>
      </c>
      <c r="AI53" t="str">
        <f t="shared" si="9"/>
        <v/>
      </c>
      <c r="AJ53" t="str">
        <f t="shared" si="10"/>
        <v/>
      </c>
      <c r="AK53" t="str">
        <f t="shared" si="11"/>
        <v/>
      </c>
      <c r="AL53" t="str">
        <f t="shared" si="12"/>
        <v/>
      </c>
      <c r="AM53" t="str">
        <f t="shared" si="13"/>
        <v/>
      </c>
      <c r="AN53" t="str">
        <f t="shared" si="14"/>
        <v/>
      </c>
      <c r="AO53" t="str">
        <f t="shared" si="15"/>
        <v/>
      </c>
      <c r="AP53" t="str">
        <f t="shared" si="16"/>
        <v/>
      </c>
      <c r="AQ53" t="str">
        <f t="shared" si="17"/>
        <v/>
      </c>
      <c r="AR53" t="str">
        <f t="shared" si="18"/>
        <v/>
      </c>
      <c r="AS53" t="str">
        <f t="shared" si="19"/>
        <v/>
      </c>
      <c r="AT53" t="str">
        <f t="shared" si="20"/>
        <v/>
      </c>
      <c r="AU53" t="str">
        <f t="shared" si="21"/>
        <v/>
      </c>
      <c r="AV53"/>
      <c r="AW53"/>
      <c r="AX53"/>
      <c r="AY53"/>
      <c r="AZ53"/>
    </row>
    <row r="54" spans="1:87" ht="70.150000000000006" customHeight="1" thickBot="1">
      <c r="A54" s="2257"/>
      <c r="C54" s="1791" t="s">
        <v>38</v>
      </c>
      <c r="D54" s="1832">
        <f t="shared" ref="D54:Y54" si="33">SUM(D6:D53)</f>
        <v>0</v>
      </c>
      <c r="E54" s="1833">
        <f t="shared" si="33"/>
        <v>0</v>
      </c>
      <c r="F54" s="1833">
        <f t="shared" si="33"/>
        <v>0</v>
      </c>
      <c r="G54" s="1833">
        <f t="shared" si="33"/>
        <v>0</v>
      </c>
      <c r="H54" s="1833">
        <f t="shared" si="33"/>
        <v>0</v>
      </c>
      <c r="I54" s="1833">
        <f t="shared" si="33"/>
        <v>0</v>
      </c>
      <c r="J54" s="1833">
        <f t="shared" si="33"/>
        <v>0</v>
      </c>
      <c r="K54" s="1833">
        <f t="shared" si="33"/>
        <v>0</v>
      </c>
      <c r="L54" s="1833">
        <f t="shared" si="33"/>
        <v>0</v>
      </c>
      <c r="M54" s="1833">
        <f t="shared" si="33"/>
        <v>0</v>
      </c>
      <c r="N54" s="1833">
        <f t="shared" si="33"/>
        <v>0</v>
      </c>
      <c r="O54" s="1833">
        <f t="shared" si="33"/>
        <v>0</v>
      </c>
      <c r="P54" s="1833">
        <f t="shared" si="33"/>
        <v>0</v>
      </c>
      <c r="Q54" s="1833">
        <f t="shared" si="33"/>
        <v>0</v>
      </c>
      <c r="R54" s="1834">
        <f t="shared" si="33"/>
        <v>0</v>
      </c>
      <c r="S54" s="1834">
        <f t="shared" si="33"/>
        <v>0</v>
      </c>
      <c r="T54" s="1834">
        <f t="shared" si="33"/>
        <v>0</v>
      </c>
      <c r="U54" s="1834">
        <f t="shared" si="33"/>
        <v>0</v>
      </c>
      <c r="V54" s="1835">
        <f t="shared" si="33"/>
        <v>0</v>
      </c>
      <c r="W54" s="2906">
        <f t="shared" si="33"/>
        <v>0</v>
      </c>
      <c r="X54" s="2228">
        <f t="shared" si="33"/>
        <v>0</v>
      </c>
      <c r="Y54" s="541">
        <f t="shared" si="33"/>
        <v>0</v>
      </c>
      <c r="AA54"/>
      <c r="AB54" s="1199"/>
      <c r="AC54" s="1199"/>
      <c r="AD54" s="1199"/>
      <c r="AE54" s="1199"/>
      <c r="AF54" s="1199"/>
      <c r="AG54" s="1199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87" ht="30.75" thickBot="1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452"/>
      <c r="V55" s="452"/>
      <c r="W55" s="452"/>
      <c r="X55" s="452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87" ht="46.5" customHeight="1" thickBot="1">
      <c r="C56" s="46" t="s">
        <v>122</v>
      </c>
      <c r="D56" s="2258" t="s">
        <v>119</v>
      </c>
      <c r="E56" s="2259"/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60"/>
      <c r="S56" s="2260"/>
      <c r="T56" s="2260"/>
      <c r="U56" s="2260"/>
      <c r="V56" s="2261"/>
      <c r="W56" s="452"/>
      <c r="X56" s="452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CH56" s="33" t="s">
        <v>77</v>
      </c>
      <c r="CI56" s="31" t="e">
        <f>+Y54/PP!K20*100</f>
        <v>#DIV/0!</v>
      </c>
    </row>
    <row r="57" spans="1:87" ht="30"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1718"/>
      <c r="S57" s="1718"/>
      <c r="T57" s="1718"/>
      <c r="U57" s="1718"/>
      <c r="V57" s="1718"/>
      <c r="W57" s="1718"/>
      <c r="X57" s="1718"/>
      <c r="Y57" s="30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87" ht="30"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1718"/>
      <c r="S58" s="1718"/>
      <c r="T58" s="1718"/>
      <c r="U58" s="1718"/>
      <c r="V58" s="1718"/>
      <c r="W58" s="1718"/>
      <c r="X58" s="1718"/>
      <c r="Y58" s="30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87" ht="46.5" thickBot="1">
      <c r="B59" s="98"/>
      <c r="C59" s="98"/>
      <c r="D59" s="98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1718"/>
      <c r="S59" s="1718"/>
      <c r="T59" s="1718"/>
      <c r="U59" s="1718"/>
      <c r="V59" s="1718"/>
      <c r="W59" s="1718"/>
      <c r="X59" s="1718"/>
      <c r="Y59" s="30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87" ht="33.950000000000003" customHeight="1" thickBot="1">
      <c r="B60" s="98"/>
      <c r="C60" s="2239" t="s">
        <v>657</v>
      </c>
      <c r="D60" s="2240"/>
      <c r="E60" s="2240"/>
      <c r="F60" s="2240"/>
      <c r="G60" s="2240"/>
      <c r="H60" s="2240"/>
      <c r="I60" s="2240"/>
      <c r="J60" s="2241"/>
      <c r="K60" s="28"/>
      <c r="O60" s="30"/>
      <c r="P60" s="30"/>
      <c r="Q60" s="2239" t="s">
        <v>604</v>
      </c>
      <c r="R60" s="2253"/>
      <c r="S60" s="2254"/>
      <c r="T60" s="1718"/>
      <c r="U60" s="1718"/>
      <c r="V60" s="1718"/>
      <c r="W60" s="1718"/>
      <c r="X60" s="1718"/>
      <c r="Y60" s="3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87" ht="30.95" customHeight="1" thickBot="1">
      <c r="B61" s="98"/>
      <c r="C61" s="2242" t="s">
        <v>15</v>
      </c>
      <c r="D61" s="2243"/>
      <c r="E61" s="2243"/>
      <c r="F61" s="2243"/>
      <c r="G61" s="2243"/>
      <c r="H61" s="1454" t="s">
        <v>186</v>
      </c>
      <c r="I61" s="1454" t="s">
        <v>670</v>
      </c>
      <c r="J61" s="1454" t="s">
        <v>667</v>
      </c>
      <c r="K61" s="1454" t="s">
        <v>671</v>
      </c>
      <c r="L61" s="1471" t="s">
        <v>38</v>
      </c>
      <c r="M61" s="1463"/>
      <c r="P61" s="30"/>
      <c r="Q61" s="2255" t="s">
        <v>658</v>
      </c>
      <c r="R61" s="2256"/>
      <c r="S61" s="2109">
        <f>+Y54</f>
        <v>0</v>
      </c>
      <c r="T61" s="1718"/>
      <c r="U61" s="1718"/>
      <c r="V61" s="1718"/>
      <c r="W61" s="1718"/>
      <c r="X61" s="1718"/>
      <c r="Y61" s="30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87" ht="30.95" customHeight="1" thickBot="1">
      <c r="B62" s="98"/>
      <c r="C62" s="2244">
        <v>1</v>
      </c>
      <c r="D62" s="2245"/>
      <c r="E62" s="2245"/>
      <c r="F62" s="2245"/>
      <c r="G62" s="2245"/>
      <c r="H62" s="1455" t="str">
        <f>+'T1'!E62</f>
        <v xml:space="preserve">ANDRES </v>
      </c>
      <c r="I62" s="1456"/>
      <c r="J62" s="1456"/>
      <c r="K62" s="1456"/>
      <c r="L62" s="1456">
        <f t="shared" ref="L62:L72" si="34">SUM(I62+J62+K62)</f>
        <v>0</v>
      </c>
      <c r="M62" s="1464"/>
      <c r="P62" s="30"/>
      <c r="Q62" s="2255" t="s">
        <v>8</v>
      </c>
      <c r="R62" s="2256"/>
      <c r="S62" s="2109">
        <f>+L73</f>
        <v>0</v>
      </c>
      <c r="T62" s="1718"/>
      <c r="U62" s="1718"/>
      <c r="V62" s="1718"/>
      <c r="W62" s="1718"/>
      <c r="X62" s="1718"/>
      <c r="Y62" s="30"/>
    </row>
    <row r="63" spans="1:87" ht="30.95" customHeight="1" thickBot="1">
      <c r="B63" s="98"/>
      <c r="C63" s="2244">
        <v>2</v>
      </c>
      <c r="D63" s="2245"/>
      <c r="E63" s="2245"/>
      <c r="F63" s="2245"/>
      <c r="G63" s="2245"/>
      <c r="H63" s="1455" t="str">
        <f>+'T1'!E63</f>
        <v xml:space="preserve">FLOR </v>
      </c>
      <c r="I63" s="1457"/>
      <c r="J63" s="1457"/>
      <c r="K63" s="1457"/>
      <c r="L63" s="1456">
        <f t="shared" si="34"/>
        <v>0</v>
      </c>
      <c r="M63" s="1464"/>
      <c r="P63" s="30"/>
      <c r="Q63" s="2251" t="s">
        <v>659</v>
      </c>
      <c r="R63" s="2252"/>
      <c r="S63" s="2108">
        <f>S61-S62</f>
        <v>0</v>
      </c>
      <c r="T63" s="30"/>
      <c r="U63" s="30"/>
      <c r="V63" s="30"/>
      <c r="W63" s="30"/>
      <c r="X63" s="30"/>
      <c r="Y63" s="30"/>
    </row>
    <row r="64" spans="1:87" ht="30.95" customHeight="1" thickBot="1">
      <c r="C64" s="2244">
        <v>3</v>
      </c>
      <c r="D64" s="2245"/>
      <c r="E64" s="2245"/>
      <c r="F64" s="2245"/>
      <c r="G64" s="2245"/>
      <c r="H64" s="1455" t="str">
        <f>+'T1'!E64</f>
        <v>HANNOY</v>
      </c>
      <c r="I64" s="1456"/>
      <c r="J64" s="1456"/>
      <c r="K64" s="1456"/>
      <c r="L64" s="1456">
        <f t="shared" si="34"/>
        <v>0</v>
      </c>
      <c r="M64" s="1464"/>
      <c r="P64" s="30"/>
      <c r="Q64" s="2251" t="s">
        <v>449</v>
      </c>
      <c r="R64" s="2252"/>
      <c r="S64" s="2110" t="str">
        <f>IF(S63&lt;0,"SOBRA",IF(S63&gt;0,"FALTA","OK"))</f>
        <v>OK</v>
      </c>
      <c r="T64" s="30"/>
      <c r="U64" s="30"/>
      <c r="V64" s="30"/>
      <c r="W64" s="30"/>
      <c r="X64" s="30"/>
      <c r="Y64" s="30"/>
    </row>
    <row r="65" spans="3:25" ht="30.95" customHeight="1">
      <c r="C65" s="2244">
        <v>4</v>
      </c>
      <c r="D65" s="2245"/>
      <c r="E65" s="2245"/>
      <c r="F65" s="2245"/>
      <c r="G65" s="2245"/>
      <c r="H65" s="1455" t="str">
        <f>+'T1'!E65</f>
        <v>CHERLITA</v>
      </c>
      <c r="I65" s="1456"/>
      <c r="J65" s="1456"/>
      <c r="K65" s="1456"/>
      <c r="L65" s="1456">
        <f t="shared" si="34"/>
        <v>0</v>
      </c>
      <c r="M65" s="1464"/>
      <c r="P65" s="30"/>
      <c r="Q65" s="30"/>
      <c r="R65" s="30"/>
      <c r="S65" s="30"/>
      <c r="T65" s="30"/>
      <c r="U65" s="30"/>
      <c r="V65" s="30"/>
      <c r="W65" s="30"/>
      <c r="X65" s="30"/>
      <c r="Y65" s="30"/>
    </row>
    <row r="66" spans="3:25" ht="33.950000000000003" customHeight="1">
      <c r="C66" s="2244">
        <v>5</v>
      </c>
      <c r="D66" s="2245"/>
      <c r="E66" s="2245"/>
      <c r="F66" s="2245"/>
      <c r="G66" s="2245"/>
      <c r="H66" s="1455" t="str">
        <f>+'T1'!E66</f>
        <v>CHARLY</v>
      </c>
      <c r="I66" s="1456"/>
      <c r="J66" s="1456"/>
      <c r="K66" s="1456"/>
      <c r="L66" s="1456">
        <f t="shared" si="34"/>
        <v>0</v>
      </c>
      <c r="M66" s="1464"/>
      <c r="P66" s="30"/>
      <c r="Q66" s="2249" t="s">
        <v>660</v>
      </c>
      <c r="R66" s="2250"/>
      <c r="S66" s="2250"/>
      <c r="T66" s="30"/>
      <c r="U66" s="30"/>
      <c r="V66" s="30"/>
      <c r="W66" s="30"/>
      <c r="X66" s="30"/>
      <c r="Y66" s="30"/>
    </row>
    <row r="67" spans="3:25" ht="33.950000000000003" customHeight="1">
      <c r="C67" s="2244">
        <v>6</v>
      </c>
      <c r="D67" s="2245"/>
      <c r="E67" s="2245"/>
      <c r="F67" s="2245"/>
      <c r="G67" s="2245"/>
      <c r="H67" s="1455" t="str">
        <f>+'T1'!E67</f>
        <v>POLANCO</v>
      </c>
      <c r="I67" s="1456"/>
      <c r="J67" s="1456"/>
      <c r="K67" s="1456"/>
      <c r="L67" s="1456">
        <f t="shared" si="34"/>
        <v>0</v>
      </c>
      <c r="M67" s="1464"/>
      <c r="P67" s="30"/>
      <c r="Q67" s="2250" t="s">
        <v>662</v>
      </c>
      <c r="R67" s="2250"/>
      <c r="S67" s="2250"/>
      <c r="T67" s="30"/>
      <c r="U67" s="30"/>
      <c r="V67" s="30"/>
      <c r="W67" s="30"/>
      <c r="X67" s="30"/>
      <c r="Y67" s="30"/>
    </row>
    <row r="68" spans="3:25" ht="33.950000000000003" customHeight="1">
      <c r="C68" s="2244">
        <v>7</v>
      </c>
      <c r="D68" s="2245"/>
      <c r="E68" s="2245"/>
      <c r="F68" s="2245"/>
      <c r="G68" s="2245"/>
      <c r="H68" s="1455" t="str">
        <f>+'T1'!E68</f>
        <v>ELIANA</v>
      </c>
      <c r="I68" s="1456"/>
      <c r="J68" s="1456"/>
      <c r="K68" s="1456"/>
      <c r="L68" s="1456">
        <f t="shared" si="34"/>
        <v>0</v>
      </c>
      <c r="M68" s="1464"/>
      <c r="P68" s="30"/>
      <c r="Q68" s="30"/>
      <c r="R68" s="30"/>
      <c r="S68" s="30"/>
      <c r="T68" s="30"/>
      <c r="U68" s="30"/>
      <c r="V68" s="30"/>
      <c r="W68" s="30"/>
      <c r="X68" s="30"/>
      <c r="Y68" s="30"/>
    </row>
    <row r="69" spans="3:25" ht="33.950000000000003" customHeight="1">
      <c r="C69" s="2244">
        <v>8</v>
      </c>
      <c r="D69" s="2245"/>
      <c r="E69" s="2245"/>
      <c r="F69" s="2245"/>
      <c r="G69" s="2245"/>
      <c r="H69" s="1455" t="str">
        <f>+'T1'!E69</f>
        <v>ALENET</v>
      </c>
      <c r="I69" s="1456"/>
      <c r="J69" s="1456"/>
      <c r="K69" s="1456"/>
      <c r="L69" s="1456">
        <f t="shared" si="34"/>
        <v>0</v>
      </c>
      <c r="M69" s="1464"/>
      <c r="P69" s="30"/>
      <c r="Q69" s="30"/>
      <c r="R69" s="30"/>
      <c r="S69" s="30"/>
      <c r="T69" s="30"/>
      <c r="U69" s="30"/>
      <c r="V69" s="30"/>
      <c r="W69" s="30"/>
      <c r="X69" s="30"/>
      <c r="Y69" s="30"/>
    </row>
    <row r="70" spans="3:25" ht="33.950000000000003" customHeight="1">
      <c r="C70" s="2244">
        <v>9</v>
      </c>
      <c r="D70" s="2245"/>
      <c r="E70" s="2245"/>
      <c r="F70" s="2245"/>
      <c r="G70" s="2245"/>
      <c r="H70" s="1455" t="str">
        <f>+'T1'!E70</f>
        <v>ERIKA</v>
      </c>
      <c r="I70" s="1456"/>
      <c r="J70" s="1456"/>
      <c r="K70" s="1456"/>
      <c r="L70" s="1456">
        <f t="shared" si="34"/>
        <v>0</v>
      </c>
      <c r="M70" s="1464"/>
      <c r="P70" s="30"/>
      <c r="Q70" s="30"/>
      <c r="R70" s="30"/>
      <c r="S70" s="30"/>
      <c r="T70" s="30"/>
      <c r="U70" s="30"/>
      <c r="V70" s="30"/>
      <c r="W70" s="30"/>
      <c r="X70" s="30"/>
      <c r="Y70" s="30"/>
    </row>
    <row r="71" spans="3:25" ht="30.95" customHeight="1">
      <c r="C71" s="2244">
        <v>10</v>
      </c>
      <c r="D71" s="2245"/>
      <c r="E71" s="2245"/>
      <c r="F71" s="2245"/>
      <c r="G71" s="2245"/>
      <c r="H71" s="1455" t="str">
        <f>+'T1'!E71</f>
        <v>MARILU</v>
      </c>
      <c r="I71" s="1456"/>
      <c r="J71" s="1456"/>
      <c r="K71" s="1456"/>
      <c r="L71" s="1456">
        <f t="shared" si="34"/>
        <v>0</v>
      </c>
      <c r="M71" s="1464"/>
      <c r="P71" s="30"/>
      <c r="Q71" s="30"/>
      <c r="R71" s="30"/>
      <c r="S71" s="30"/>
      <c r="T71" s="30"/>
      <c r="U71" s="30"/>
      <c r="V71" s="30"/>
      <c r="W71" s="30"/>
      <c r="X71" s="30"/>
      <c r="Y71" s="30"/>
    </row>
    <row r="72" spans="3:25" ht="30.95" customHeight="1" thickBot="1">
      <c r="C72" s="2244">
        <v>11</v>
      </c>
      <c r="D72" s="2245"/>
      <c r="E72" s="2245"/>
      <c r="F72" s="2245"/>
      <c r="G72" s="2245"/>
      <c r="H72" s="1455" t="str">
        <f>+'T1'!E72</f>
        <v>WALLDO</v>
      </c>
      <c r="I72" s="1458"/>
      <c r="J72" s="1458"/>
      <c r="K72" s="1458"/>
      <c r="L72" s="1456">
        <f t="shared" si="34"/>
        <v>0</v>
      </c>
      <c r="M72" s="1464"/>
      <c r="P72" s="30"/>
      <c r="Q72" s="30"/>
      <c r="R72" s="30"/>
      <c r="S72" s="30"/>
      <c r="T72" s="30"/>
      <c r="U72" s="30"/>
      <c r="V72" s="30"/>
      <c r="W72" s="30"/>
      <c r="X72" s="30"/>
      <c r="Y72" s="30"/>
    </row>
    <row r="73" spans="3:25" ht="30.95" customHeight="1" thickBot="1">
      <c r="C73" s="2246" t="s">
        <v>3</v>
      </c>
      <c r="D73" s="2247"/>
      <c r="E73" s="2247"/>
      <c r="F73" s="2247"/>
      <c r="G73" s="2247"/>
      <c r="H73" s="2248"/>
      <c r="I73" s="1453">
        <f>SUM(I62:I72)</f>
        <v>0</v>
      </c>
      <c r="J73" s="1453">
        <f>SUM(J62:J72)</f>
        <v>0</v>
      </c>
      <c r="K73" s="1453">
        <f>SUM(K62:K72)</f>
        <v>0</v>
      </c>
      <c r="L73" s="1472">
        <f>SUM(L62:L72)</f>
        <v>0</v>
      </c>
      <c r="M73" s="1465"/>
      <c r="P73" s="30"/>
      <c r="Q73" s="30"/>
      <c r="R73" s="30"/>
      <c r="S73" s="30"/>
      <c r="T73" s="30"/>
      <c r="U73" s="30"/>
      <c r="V73" s="30"/>
      <c r="W73" s="30"/>
      <c r="X73" s="30"/>
      <c r="Y73" s="30"/>
    </row>
    <row r="74" spans="3:25" ht="30">
      <c r="D74"/>
      <c r="E74"/>
      <c r="F74"/>
      <c r="G74"/>
      <c r="H74"/>
      <c r="I74"/>
      <c r="J74"/>
      <c r="K74"/>
      <c r="L74"/>
      <c r="M74"/>
      <c r="N74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</row>
    <row r="75" spans="3:25" ht="30">
      <c r="D75"/>
      <c r="E75"/>
      <c r="F75"/>
      <c r="G75"/>
      <c r="H75"/>
      <c r="I75"/>
      <c r="J75"/>
      <c r="K75"/>
      <c r="L75"/>
      <c r="M75"/>
      <c r="N75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</row>
    <row r="76" spans="3:25" ht="30">
      <c r="D76"/>
      <c r="E76"/>
      <c r="F76"/>
      <c r="G76"/>
      <c r="H76"/>
      <c r="I76"/>
      <c r="J76"/>
      <c r="K76"/>
      <c r="L76"/>
      <c r="M76"/>
      <c r="N76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</row>
    <row r="77" spans="3:25" ht="33.75">
      <c r="C77" s="947"/>
      <c r="D77" s="1199"/>
      <c r="E77" s="1199"/>
      <c r="F77" s="1199"/>
      <c r="G77" s="1199"/>
      <c r="H77" s="1199"/>
      <c r="I77" s="1199"/>
      <c r="J77" s="1199"/>
      <c r="K77" s="1199"/>
      <c r="L77"/>
      <c r="M77"/>
      <c r="N77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</row>
    <row r="78" spans="3:25" ht="33.75">
      <c r="C78" s="947"/>
      <c r="D78" s="947"/>
      <c r="E78" s="947"/>
      <c r="F78" s="947"/>
      <c r="G78" s="947"/>
      <c r="H78" s="947"/>
      <c r="I78" s="947"/>
      <c r="J78" s="947"/>
      <c r="K78" s="947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</row>
    <row r="79" spans="3:25" ht="33.75">
      <c r="C79" s="947"/>
      <c r="D79" s="947"/>
      <c r="E79" s="947"/>
      <c r="F79" s="947"/>
      <c r="G79" s="947"/>
      <c r="H79" s="947"/>
      <c r="I79" s="947"/>
      <c r="J79" s="947"/>
      <c r="K79" s="947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</row>
    <row r="80" spans="3:25" ht="33.75">
      <c r="C80" s="947"/>
      <c r="D80" s="947"/>
      <c r="E80" s="947"/>
      <c r="F80" s="947"/>
      <c r="G80" s="947"/>
      <c r="H80" s="947"/>
      <c r="I80" s="947"/>
      <c r="J80" s="947"/>
      <c r="K80" s="947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</row>
    <row r="81" spans="3:25" ht="33.75">
      <c r="C81" s="947"/>
      <c r="D81" s="947"/>
      <c r="E81" s="947"/>
      <c r="F81" s="947"/>
      <c r="G81" s="947"/>
      <c r="H81" s="947"/>
      <c r="I81" s="947"/>
      <c r="J81" s="947"/>
      <c r="K81" s="947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</row>
    <row r="82" spans="3:25" ht="33.75">
      <c r="C82" s="947"/>
      <c r="D82" s="947"/>
      <c r="E82" s="947"/>
      <c r="F82" s="947"/>
      <c r="G82" s="947"/>
      <c r="H82" s="947"/>
      <c r="I82" s="947"/>
      <c r="J82" s="947"/>
      <c r="K82" s="947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</row>
    <row r="83" spans="3:25" ht="33.75">
      <c r="C83" s="947"/>
      <c r="D83" s="947"/>
      <c r="E83" s="947"/>
      <c r="F83" s="2164"/>
      <c r="G83" s="947"/>
      <c r="H83" s="947"/>
      <c r="I83" s="947"/>
      <c r="J83" s="947"/>
      <c r="K83" s="947"/>
    </row>
    <row r="84" spans="3:25" ht="33.75">
      <c r="C84" s="947"/>
      <c r="D84" s="947"/>
      <c r="E84" s="947"/>
      <c r="F84" s="947"/>
      <c r="G84" s="947"/>
      <c r="H84" s="947"/>
      <c r="I84" s="947"/>
      <c r="J84" s="947"/>
      <c r="K84" s="947"/>
    </row>
    <row r="85" spans="3:25" ht="33.75">
      <c r="C85" s="947"/>
      <c r="D85" s="947"/>
      <c r="E85" s="947"/>
      <c r="F85" s="947"/>
      <c r="G85" s="947"/>
      <c r="H85" s="947"/>
      <c r="I85" s="947"/>
      <c r="J85" s="947"/>
      <c r="K85" s="947"/>
    </row>
    <row r="86" spans="3:25" ht="33.75">
      <c r="C86" s="947"/>
      <c r="D86" s="947"/>
      <c r="E86" s="947"/>
      <c r="F86" s="947"/>
      <c r="G86" s="947"/>
      <c r="H86" s="947"/>
      <c r="I86" s="947"/>
      <c r="J86" s="947"/>
      <c r="K86" s="947"/>
    </row>
    <row r="87" spans="3:25" ht="33.75">
      <c r="C87" s="947"/>
      <c r="D87" s="947"/>
      <c r="E87" s="947"/>
      <c r="F87" s="947"/>
      <c r="G87" s="947"/>
      <c r="H87" s="947"/>
      <c r="I87" s="947"/>
      <c r="J87" s="947"/>
      <c r="K87" s="947"/>
    </row>
    <row r="88" spans="3:25" ht="33.75">
      <c r="C88" s="947"/>
      <c r="D88" s="947"/>
      <c r="E88" s="947"/>
      <c r="F88" s="947"/>
      <c r="G88" s="947"/>
      <c r="H88" s="947"/>
      <c r="I88" s="947"/>
      <c r="J88" s="947"/>
      <c r="K88" s="947"/>
    </row>
  </sheetData>
  <autoFilter ref="C5:C54" xr:uid="{0B021B42-56CE-49E7-AB34-22D2A6174BC8}"/>
  <mergeCells count="28">
    <mergeCell ref="A5:A54"/>
    <mergeCell ref="D56:V56"/>
    <mergeCell ref="BC4:BF4"/>
    <mergeCell ref="AA4:AZ4"/>
    <mergeCell ref="B2:C2"/>
    <mergeCell ref="D2:M2"/>
    <mergeCell ref="D4:V4"/>
    <mergeCell ref="Q63:R63"/>
    <mergeCell ref="Q64:R64"/>
    <mergeCell ref="Q60:S60"/>
    <mergeCell ref="Q61:R61"/>
    <mergeCell ref="Q62:R62"/>
    <mergeCell ref="C73:H73"/>
    <mergeCell ref="C68:G68"/>
    <mergeCell ref="C69:G69"/>
    <mergeCell ref="C70:G70"/>
    <mergeCell ref="Q66:S66"/>
    <mergeCell ref="Q67:S67"/>
    <mergeCell ref="C65:G65"/>
    <mergeCell ref="C66:G66"/>
    <mergeCell ref="C67:G67"/>
    <mergeCell ref="C71:G71"/>
    <mergeCell ref="C72:G72"/>
    <mergeCell ref="C60:J60"/>
    <mergeCell ref="C61:G61"/>
    <mergeCell ref="C62:G62"/>
    <mergeCell ref="C63:G63"/>
    <mergeCell ref="C64:G64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1B7BF-0762-4965-A050-B8C96FEA5FD8}">
  <sheetPr codeName="Hoja29">
    <tabColor rgb="FFFF0000"/>
    <pageSetUpPr fitToPage="1"/>
  </sheetPr>
  <dimension ref="A1:CI88"/>
  <sheetViews>
    <sheetView zoomScale="55" zoomScaleNormal="55" workbookViewId="0">
      <pane ySplit="1" topLeftCell="A2" activePane="bottomLeft" state="frozen"/>
      <selection activeCell="C32" sqref="C32"/>
      <selection pane="bottomLeft" activeCell="N21" sqref="N21"/>
    </sheetView>
  </sheetViews>
  <sheetFormatPr baseColWidth="10" defaultRowHeight="16.5"/>
  <cols>
    <col min="1" max="1" width="14" style="26" customWidth="1"/>
    <col min="2" max="2" width="9.28515625" style="26" bestFit="1" customWidth="1"/>
    <col min="3" max="3" width="100.42578125" style="26" bestFit="1" customWidth="1"/>
    <col min="4" max="4" width="9.28515625" style="26" customWidth="1"/>
    <col min="5" max="5" width="8.7109375" style="26" customWidth="1"/>
    <col min="6" max="7" width="8.7109375" style="26" bestFit="1" customWidth="1"/>
    <col min="8" max="8" width="15" style="26" bestFit="1" customWidth="1"/>
    <col min="9" max="9" width="15.5703125" style="26" customWidth="1"/>
    <col min="10" max="10" width="13.28515625" style="26" customWidth="1"/>
    <col min="11" max="11" width="13.5703125" style="26" customWidth="1"/>
    <col min="12" max="12" width="15.5703125" style="26" customWidth="1"/>
    <col min="13" max="13" width="12.140625" style="26" customWidth="1"/>
    <col min="14" max="14" width="13.7109375" style="26" customWidth="1"/>
    <col min="15" max="18" width="9.42578125" style="26" customWidth="1"/>
    <col min="19" max="22" width="9.42578125" style="26" bestFit="1" customWidth="1"/>
    <col min="23" max="24" width="23.42578125" style="26" bestFit="1" customWidth="1"/>
    <col min="25" max="25" width="30.85546875" style="26" customWidth="1"/>
    <col min="26" max="26" width="25.28515625" style="26" customWidth="1"/>
    <col min="27" max="27" width="8" style="26" customWidth="1"/>
    <col min="28" max="28" width="76.5703125" style="26" customWidth="1"/>
    <col min="29" max="33" width="7.28515625" style="26" customWidth="1"/>
    <col min="34" max="34" width="6.5703125" style="26" customWidth="1"/>
    <col min="35" max="35" width="7.28515625" style="26" customWidth="1"/>
    <col min="36" max="36" width="6.5703125" style="26" customWidth="1"/>
    <col min="37" max="37" width="7.28515625" style="26" customWidth="1"/>
    <col min="38" max="38" width="8.7109375" style="26" customWidth="1"/>
    <col min="39" max="47" width="8.42578125" style="26" customWidth="1"/>
    <col min="48" max="48" width="23.42578125" style="26" customWidth="1"/>
    <col min="49" max="49" width="24.42578125" style="26" customWidth="1"/>
    <col min="50" max="52" width="20.140625" style="26" customWidth="1"/>
    <col min="53" max="53" width="17.7109375" style="26" customWidth="1"/>
    <col min="54" max="54" width="13.85546875" style="26" customWidth="1"/>
    <col min="55" max="55" width="23" style="26" customWidth="1"/>
    <col min="56" max="56" width="108" style="26" customWidth="1"/>
    <col min="57" max="58" width="23" style="26" customWidth="1"/>
    <col min="59" max="83" width="13.85546875" style="26" customWidth="1"/>
    <col min="84" max="84" width="12.140625" style="26" bestFit="1" customWidth="1"/>
    <col min="85" max="87" width="28.28515625" style="26" customWidth="1"/>
    <col min="88" max="16384" width="11.42578125" style="26"/>
  </cols>
  <sheetData>
    <row r="1" spans="1:58" ht="45.75" customHeight="1" thickBot="1">
      <c r="B1" s="37"/>
      <c r="C1" s="43"/>
      <c r="D1" s="32"/>
      <c r="E1" s="32"/>
      <c r="F1" s="32"/>
      <c r="G1" s="32"/>
      <c r="H1" s="32"/>
      <c r="I1" s="32"/>
      <c r="J1" s="32"/>
      <c r="K1" s="32"/>
      <c r="L1" s="32"/>
      <c r="M1" s="32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</row>
    <row r="2" spans="1:58" ht="46.5" thickBot="1">
      <c r="B2" s="2266" t="s">
        <v>41</v>
      </c>
      <c r="C2" s="2267"/>
      <c r="D2" s="2268" t="str">
        <f>+PP!E13</f>
        <v>1055PPF26062026</v>
      </c>
      <c r="E2" s="2269"/>
      <c r="F2" s="2269"/>
      <c r="G2" s="2269"/>
      <c r="H2" s="2269"/>
      <c r="I2" s="2269"/>
      <c r="J2" s="2269"/>
      <c r="K2" s="2269"/>
      <c r="L2" s="2269"/>
      <c r="M2" s="2270"/>
      <c r="N2" s="62"/>
      <c r="O2" s="62"/>
      <c r="P2" s="62"/>
      <c r="Q2" s="62"/>
      <c r="R2" s="1721"/>
      <c r="S2" s="1716"/>
      <c r="T2" s="1716"/>
      <c r="U2" s="1716"/>
      <c r="V2" s="1716"/>
      <c r="W2" s="1716"/>
      <c r="X2" s="1716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</row>
    <row r="3" spans="1:58" ht="17.25" thickBot="1">
      <c r="B3" s="28"/>
      <c r="R3" s="452"/>
      <c r="S3" s="452"/>
      <c r="T3" s="452"/>
      <c r="U3" s="452"/>
      <c r="V3" s="452"/>
      <c r="W3" s="452"/>
      <c r="X3" s="452"/>
      <c r="BC3" s="28"/>
      <c r="BD3" s="28"/>
      <c r="BE3" s="28"/>
    </row>
    <row r="4" spans="1:58" ht="39" customHeight="1" thickBot="1">
      <c r="B4" s="28"/>
      <c r="D4" s="2271" t="s">
        <v>404</v>
      </c>
      <c r="E4" s="2272"/>
      <c r="F4" s="2272"/>
      <c r="G4" s="2272"/>
      <c r="H4" s="2272"/>
      <c r="I4" s="2272"/>
      <c r="J4" s="2272"/>
      <c r="K4" s="2272"/>
      <c r="L4" s="2272"/>
      <c r="M4" s="2272"/>
      <c r="N4" s="2272"/>
      <c r="O4" s="2272"/>
      <c r="P4" s="2272"/>
      <c r="Q4" s="2272"/>
      <c r="R4" s="2273"/>
      <c r="S4" s="2273"/>
      <c r="T4" s="2273"/>
      <c r="U4" s="2273"/>
      <c r="V4" s="2273"/>
      <c r="W4" s="452"/>
      <c r="X4" s="452"/>
      <c r="AA4" s="2263" t="s">
        <v>508</v>
      </c>
      <c r="AB4" s="2264"/>
      <c r="AC4" s="2264"/>
      <c r="AD4" s="2264"/>
      <c r="AE4" s="2264"/>
      <c r="AF4" s="2264"/>
      <c r="AG4" s="2264"/>
      <c r="AH4" s="2264"/>
      <c r="AI4" s="2264"/>
      <c r="AJ4" s="2264"/>
      <c r="AK4" s="2264"/>
      <c r="AL4" s="2264"/>
      <c r="AM4" s="2264"/>
      <c r="AN4" s="2264"/>
      <c r="AO4" s="2264"/>
      <c r="AP4" s="2264"/>
      <c r="AQ4" s="2264"/>
      <c r="AR4" s="2264"/>
      <c r="AS4" s="2264"/>
      <c r="AT4" s="2264"/>
      <c r="AU4" s="2264"/>
      <c r="AV4" s="2264"/>
      <c r="AW4" s="2264"/>
      <c r="AX4" s="2264"/>
      <c r="AY4" s="2264"/>
      <c r="AZ4" s="2265"/>
      <c r="BC4" s="2262" t="s">
        <v>511</v>
      </c>
      <c r="BD4" s="2262"/>
      <c r="BE4" s="2262"/>
      <c r="BF4" s="2262"/>
    </row>
    <row r="5" spans="1:58" ht="64.5" customHeight="1" thickBot="1">
      <c r="A5" s="2257"/>
      <c r="B5" s="543" t="s">
        <v>15</v>
      </c>
      <c r="C5" s="954" t="s">
        <v>6</v>
      </c>
      <c r="D5" s="35" t="s">
        <v>316</v>
      </c>
      <c r="E5" s="36" t="s">
        <v>317</v>
      </c>
      <c r="F5" s="36" t="s">
        <v>318</v>
      </c>
      <c r="G5" s="36" t="s">
        <v>319</v>
      </c>
      <c r="H5" s="36" t="s">
        <v>320</v>
      </c>
      <c r="I5" s="36" t="s">
        <v>321</v>
      </c>
      <c r="J5" s="36" t="s">
        <v>322</v>
      </c>
      <c r="K5" s="36" t="s">
        <v>323</v>
      </c>
      <c r="L5" s="36" t="s">
        <v>324</v>
      </c>
      <c r="M5" s="36" t="s">
        <v>325</v>
      </c>
      <c r="N5" s="36" t="s">
        <v>326</v>
      </c>
      <c r="O5" s="36" t="s">
        <v>327</v>
      </c>
      <c r="P5" s="36" t="s">
        <v>328</v>
      </c>
      <c r="Q5" s="36" t="s">
        <v>329</v>
      </c>
      <c r="R5" s="36" t="s">
        <v>330</v>
      </c>
      <c r="S5" s="36" t="s">
        <v>331</v>
      </c>
      <c r="T5" s="36" t="s">
        <v>332</v>
      </c>
      <c r="U5" s="36" t="s">
        <v>333</v>
      </c>
      <c r="V5" s="3011" t="s">
        <v>334</v>
      </c>
      <c r="W5" s="49" t="s">
        <v>108</v>
      </c>
      <c r="X5" s="49" t="s">
        <v>107</v>
      </c>
      <c r="Y5" s="47" t="s">
        <v>3</v>
      </c>
      <c r="AA5" s="1378" t="s">
        <v>15</v>
      </c>
      <c r="AB5" s="1379" t="s">
        <v>6</v>
      </c>
      <c r="AC5" s="1379" t="s">
        <v>316</v>
      </c>
      <c r="AD5" s="1379" t="s">
        <v>317</v>
      </c>
      <c r="AE5" s="1379" t="s">
        <v>318</v>
      </c>
      <c r="AF5" s="1379" t="s">
        <v>319</v>
      </c>
      <c r="AG5" s="1379" t="s">
        <v>320</v>
      </c>
      <c r="AH5" s="1379" t="s">
        <v>321</v>
      </c>
      <c r="AI5" s="1379" t="s">
        <v>322</v>
      </c>
      <c r="AJ5" s="1379" t="s">
        <v>323</v>
      </c>
      <c r="AK5" s="1379" t="s">
        <v>324</v>
      </c>
      <c r="AL5" s="1379" t="s">
        <v>325</v>
      </c>
      <c r="AM5" s="1379" t="s">
        <v>326</v>
      </c>
      <c r="AN5" s="1379" t="s">
        <v>327</v>
      </c>
      <c r="AO5" s="1379" t="s">
        <v>328</v>
      </c>
      <c r="AP5" s="1379" t="s">
        <v>329</v>
      </c>
      <c r="AQ5" s="1379" t="s">
        <v>330</v>
      </c>
      <c r="AR5" s="1379" t="s">
        <v>331</v>
      </c>
      <c r="AS5" s="1379" t="s">
        <v>332</v>
      </c>
      <c r="AT5" s="1379" t="s">
        <v>333</v>
      </c>
      <c r="AU5" s="1379" t="s">
        <v>334</v>
      </c>
      <c r="AV5" s="1387" t="s">
        <v>502</v>
      </c>
      <c r="AW5" s="1387" t="s">
        <v>503</v>
      </c>
      <c r="AX5" s="1387" t="s">
        <v>8</v>
      </c>
      <c r="AY5" s="1387" t="s">
        <v>505</v>
      </c>
      <c r="AZ5" s="1387" t="s">
        <v>511</v>
      </c>
      <c r="BC5" s="535" t="s">
        <v>15</v>
      </c>
      <c r="BD5" s="535" t="s">
        <v>6</v>
      </c>
      <c r="BE5" s="535" t="s">
        <v>8</v>
      </c>
      <c r="BF5" s="535" t="s">
        <v>513</v>
      </c>
    </row>
    <row r="6" spans="1:58" ht="45.75" customHeight="1">
      <c r="A6" s="2257"/>
      <c r="B6" s="41">
        <f>+PP!B24</f>
        <v>1</v>
      </c>
      <c r="C6" s="1023" t="str">
        <f>+PP!C24</f>
        <v>ANILLAS BLANCAS SM ST</v>
      </c>
      <c r="D6" s="211"/>
      <c r="E6" s="1836"/>
      <c r="F6" s="1836"/>
      <c r="G6" s="1836"/>
      <c r="H6" s="1836"/>
      <c r="I6" s="1836"/>
      <c r="J6" s="1836"/>
      <c r="K6" s="1836"/>
      <c r="L6" s="1836"/>
      <c r="M6" s="212"/>
      <c r="N6" s="212"/>
      <c r="O6" s="212"/>
      <c r="P6" s="212"/>
      <c r="Q6" s="212"/>
      <c r="R6" s="1007"/>
      <c r="S6" s="1007"/>
      <c r="T6" s="1007"/>
      <c r="U6" s="1007"/>
      <c r="V6" s="1497"/>
      <c r="W6" s="548">
        <f t="shared" ref="W6:W53" si="0">SUM(D6:V6)</f>
        <v>0</v>
      </c>
      <c r="X6" s="148">
        <f t="shared" ref="X6:X53" si="1">W6/2</f>
        <v>0</v>
      </c>
      <c r="Y6" s="145">
        <f>+W6*10</f>
        <v>0</v>
      </c>
      <c r="AA6" s="1381" t="str">
        <f>IFERROR(INDEX($B$6:$B$53,_xlfn.AGGREGATE(15,6,(ROW($B$6:$B$53)-ROW($B$6)+1)/($W$6:$W$53&gt;0),ROWS($AA$6:AA6))),"")</f>
        <v/>
      </c>
      <c r="AB6" s="1382" t="str">
        <f t="shared" ref="AB6:AB34" si="2">IF($AA6="","",INDEX($C$6:$C$53,MATCH($AA6,$B$6:$B$53,0)))</f>
        <v/>
      </c>
      <c r="AC6" s="1854" t="str">
        <f t="shared" ref="AC6:AC53" si="3">IF($AA6="","",IFERROR(IF(INDEX($D$6:$D$53,MATCH($AA6,$B$6:$B$53,0))&gt;0,INDEX($D$6:$D$53,MATCH($AA6,$B$6:$B$53,0)),""),""))</f>
        <v/>
      </c>
      <c r="AD6" s="1854" t="str">
        <f t="shared" ref="AD6:AD53" si="4">IF($AA6="","",IFERROR(IF(INDEX($E$6:$E$53,MATCH($AA6,$B$6:$B$53,0))&gt;0,INDEX($E$6:$E$53,MATCH($AA6,$B$6:$B$53,0)),""),""))</f>
        <v/>
      </c>
      <c r="AE6" s="1854" t="str">
        <f t="shared" ref="AE6:AE53" si="5">IF($AA6="","",IFERROR(IF(INDEX($F$6:$F$53,MATCH($AA6,$B$6:$B$53,0))&gt;0,INDEX($F$6:$F$53,MATCH($AA6,$B$6:$B$53,0)),""),""))</f>
        <v/>
      </c>
      <c r="AF6" s="1854" t="str">
        <f t="shared" ref="AF6:AF53" si="6">IF($AA6="","",IFERROR(IF(INDEX($G$6:$G$53,MATCH($AA6,$B$6:$B$53,0))&gt;0,INDEX($G$6:$G$53,MATCH($AA6,$B$6:$B$53,0)),""),""))</f>
        <v/>
      </c>
      <c r="AG6" s="1854" t="str">
        <f t="shared" ref="AG6:AG53" si="7">IF($AA6="","",IFERROR(IF(INDEX($H$6:$H$53,MATCH($AA6,$B$6:$B$53,0))&gt;0,INDEX($H$6:$H$53,MATCH($AA6,$B$6:$B$53,0)),""),""))</f>
        <v/>
      </c>
      <c r="AH6" s="1854" t="str">
        <f t="shared" ref="AH6:AH53" si="8">IF($AA6="","",IFERROR(IF(INDEX($I$6:$I$53,MATCH($AA6,$B$6:$B$53,0))&gt;0,INDEX($I$6:$I$53,MATCH($AA6,$B$6:$B$53,0)),""),""))</f>
        <v/>
      </c>
      <c r="AI6" s="1854" t="str">
        <f t="shared" ref="AI6:AI53" si="9">IF($AA6="","",IFERROR(IF(INDEX($J$6:$J$53,MATCH($AA6,$B$6:$B$53,0))&gt;0,INDEX($J$6:$J$53,MATCH($AA6,$B$6:$B$53,0)),""),""))</f>
        <v/>
      </c>
      <c r="AJ6" s="1854" t="str">
        <f t="shared" ref="AJ6:AJ53" si="10">IF($AA6="","",IFERROR(IF(INDEX($K$6:$K$53,MATCH($AA6,$B$6:$B$53,0))&gt;0,INDEX($K$6:$K$53,MATCH($AA6,$B$6:$B$53,0)),""),""))</f>
        <v/>
      </c>
      <c r="AK6" s="1854" t="str">
        <f t="shared" ref="AK6:AK53" si="11">IF($AA6="","",IFERROR(IF(INDEX($L$6:$L$53,MATCH($AA6,$B$6:$B$53,0))&gt;0,INDEX($L$6:$L$53,MATCH($AA6,$B$6:$B$53,0)),""),""))</f>
        <v/>
      </c>
      <c r="AL6" s="1854" t="str">
        <f t="shared" ref="AL6:AL53" si="12">IF($AA6="","",IFERROR(IF(INDEX($M$6:$M$53,MATCH($AA6,$B$6:$B$53,0))&gt;0,INDEX($M$6:$M$53,MATCH($AA6,$B$6:$B$53,0)),""),""))</f>
        <v/>
      </c>
      <c r="AM6" s="1854" t="str">
        <f t="shared" ref="AM6:AM53" si="13">IF($AA6="","",IFERROR(IF(INDEX($N$6:$N$53,MATCH($AA6,$B$6:$B$53,0))&gt;0,INDEX($N$6:$N$53,MATCH($AA6,$B$6:$B$53,0)),""),""))</f>
        <v/>
      </c>
      <c r="AN6" s="1854" t="str">
        <f t="shared" ref="AN6:AN53" si="14">IF($AA6="","",IFERROR(IF(INDEX($O$6:$O$53,MATCH($AA6,$B$6:$B$53,0))&gt;0,INDEX($O$6:$O$53,MATCH($AA6,$B$6:$B$53,0)),""),""))</f>
        <v/>
      </c>
      <c r="AO6" s="1854" t="str">
        <f t="shared" ref="AO6:AO53" si="15">IF($AA6="","",IFERROR(IF(INDEX($P$6:$P$53,MATCH($AA6,$B$6:$B$53,0))&gt;0,INDEX($P$6:$P$53,MATCH($AA6,$B$6:$B$53,0)),""),""))</f>
        <v/>
      </c>
      <c r="AP6" s="1854" t="str">
        <f t="shared" ref="AP6:AP53" si="16">IF($AA6="","",IFERROR(IF(INDEX($Q$6:$Q$53,MATCH($AA6,$B$6:$B$53,0))&gt;0,INDEX($Q$6:$Q$53,MATCH($AA6,$B$6:$B$53,0)),""),""))</f>
        <v/>
      </c>
      <c r="AQ6" s="1854" t="str">
        <f t="shared" ref="AQ6:AQ53" si="17">IF($AA6="","",IFERROR(IF(INDEX($R$6:$R$53,MATCH($AA6,$B$6:$B$53,0))&gt;0,INDEX($R$6:$R$53,MATCH($AA6,$B$6:$B$53,0)),""),""))</f>
        <v/>
      </c>
      <c r="AR6" s="1854" t="str">
        <f t="shared" ref="AR6:AR53" si="18">IF($AA6="","",IFERROR(IF(INDEX($S$6:$S$53,MATCH($AA6,$B$6:$B$53,0))&gt;0,INDEX($S$6:$S$53,MATCH($AA6,$B$6:$B$53,0)),""),""))</f>
        <v/>
      </c>
      <c r="AS6" s="1854" t="str">
        <f t="shared" ref="AS6:AS53" si="19">IF($AA6="","",IFERROR(IF(INDEX($T$6:$T$53,MATCH($AA6,$B$6:$B$53,0))&gt;0,INDEX($T$6:$T$53,MATCH($AA6,$B$6:$B$53,0)),""),""))</f>
        <v/>
      </c>
      <c r="AT6" s="1854" t="str">
        <f t="shared" ref="AT6:AT53" si="20">IF($AA6="","",IFERROR(IF(INDEX($U$6:$U$53,MATCH($AA6,$B$6:$B$53,0))&gt;0,INDEX($U$6:$U$53,MATCH($AA6,$B$6:$B$53,0)),""),""))</f>
        <v/>
      </c>
      <c r="AU6" s="1854" t="str">
        <f t="shared" ref="AU6:AU53" si="21">IF($AA6="","",IFERROR(IF(INDEX($V$6:$V$53,MATCH($AA6,$B$6:$B$53,0))&gt;0,INDEX($V$6:$V$53,MATCH($AA6,$B$6:$B$53,0)),""),""))</f>
        <v/>
      </c>
      <c r="AV6" s="1383" t="str">
        <f t="shared" ref="AV6:AV34" si="22">IF($AA6="","",SUM($AC6:$AU6))</f>
        <v/>
      </c>
      <c r="AW6" s="1384" t="str">
        <f t="shared" ref="AW6:AW34" si="23">IF($AA6="","",$AV6/2)</f>
        <v/>
      </c>
      <c r="AX6" s="1383" t="str">
        <f t="shared" ref="AX6:AX34" si="24">IF($AA6="","",$AV6*10)</f>
        <v/>
      </c>
      <c r="AY6" s="1385" t="str">
        <f t="shared" ref="AY6:AY34" si="25">IF($AA6="","",IF($AV6=INDEX($W$6:$W$53,MATCH($AA6,$B$6:$B$53,0)),"OK","REVISAR"))</f>
        <v/>
      </c>
      <c r="AZ6" s="1385" t="str">
        <f t="shared" ref="AZ6:AZ34" si="26">IF($AA6="","",IF(MOD($AX6,20)=10,"SÍ","NO"))</f>
        <v/>
      </c>
      <c r="BC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6))),"")</f>
        <v/>
      </c>
      <c r="BD6" s="500" t="str">
        <f t="shared" ref="BD6:BD27" si="27">IF($BC6="","",IFERROR(INDEX($C$6:$C$53,MATCH($BC6,$B$6:$B$53,0)),""))</f>
        <v/>
      </c>
      <c r="BE6" s="458" t="str">
        <f t="shared" ref="BE6:BE27" si="28">IF($BC6="","",SUMPRODUCT(($B$6:$B$53=$BC6)*$D$6:$V$53)*10)</f>
        <v/>
      </c>
      <c r="BF6" s="458" t="str">
        <f t="shared" ref="BF6:BF27" si="29">IF($BC6="","","10 KG")</f>
        <v/>
      </c>
    </row>
    <row r="7" spans="1:58" ht="45.75" customHeight="1">
      <c r="A7" s="2257"/>
      <c r="B7" s="42">
        <f>+PP!B25</f>
        <v>2</v>
      </c>
      <c r="C7" s="1024" t="str">
        <f>+PP!C25</f>
        <v>ANILLAS AMARILLAS SM ST</v>
      </c>
      <c r="D7" s="1837"/>
      <c r="E7" s="1831"/>
      <c r="F7" s="1831"/>
      <c r="G7" s="1831"/>
      <c r="H7" s="1831"/>
      <c r="I7" s="1831"/>
      <c r="J7" s="1831"/>
      <c r="K7" s="1831"/>
      <c r="L7" s="1831"/>
      <c r="M7" s="218"/>
      <c r="N7" s="218"/>
      <c r="O7" s="218"/>
      <c r="P7" s="218"/>
      <c r="Q7" s="218"/>
      <c r="R7" s="218"/>
      <c r="S7" s="218"/>
      <c r="T7" s="218"/>
      <c r="U7" s="218"/>
      <c r="V7" s="276"/>
      <c r="W7" s="551">
        <f t="shared" si="0"/>
        <v>0</v>
      </c>
      <c r="X7" s="149">
        <f t="shared" si="1"/>
        <v>0</v>
      </c>
      <c r="Y7" s="156">
        <f t="shared" ref="Y7:Y53" si="30">+W7*10</f>
        <v>0</v>
      </c>
      <c r="AA7" s="1381" t="str">
        <f>IFERROR(INDEX($B$6:$B$53,_xlfn.AGGREGATE(15,6,(ROW($B$6:$B$53)-ROW($B$6)+1)/($W$6:$W$53&gt;0),ROWS($AA$6:AA7))),"")</f>
        <v/>
      </c>
      <c r="AB7" s="1382" t="str">
        <f t="shared" si="2"/>
        <v/>
      </c>
      <c r="AC7" s="1854" t="str">
        <f t="shared" si="3"/>
        <v/>
      </c>
      <c r="AD7" s="1854" t="str">
        <f t="shared" si="4"/>
        <v/>
      </c>
      <c r="AE7" s="1854" t="str">
        <f t="shared" si="5"/>
        <v/>
      </c>
      <c r="AF7" s="1854" t="str">
        <f t="shared" si="6"/>
        <v/>
      </c>
      <c r="AG7" s="1854" t="str">
        <f t="shared" si="7"/>
        <v/>
      </c>
      <c r="AH7" s="1854" t="str">
        <f t="shared" si="8"/>
        <v/>
      </c>
      <c r="AI7" s="1854" t="str">
        <f t="shared" si="9"/>
        <v/>
      </c>
      <c r="AJ7" s="1854" t="str">
        <f t="shared" si="10"/>
        <v/>
      </c>
      <c r="AK7" s="1854" t="str">
        <f t="shared" si="11"/>
        <v/>
      </c>
      <c r="AL7" s="1854" t="str">
        <f t="shared" si="12"/>
        <v/>
      </c>
      <c r="AM7" s="1854" t="str">
        <f t="shared" si="13"/>
        <v/>
      </c>
      <c r="AN7" s="1854" t="str">
        <f t="shared" si="14"/>
        <v/>
      </c>
      <c r="AO7" s="1854" t="str">
        <f t="shared" si="15"/>
        <v/>
      </c>
      <c r="AP7" s="1854" t="str">
        <f t="shared" si="16"/>
        <v/>
      </c>
      <c r="AQ7" s="1854" t="str">
        <f t="shared" si="17"/>
        <v/>
      </c>
      <c r="AR7" s="1854" t="str">
        <f t="shared" si="18"/>
        <v/>
      </c>
      <c r="AS7" s="1854" t="str">
        <f t="shared" si="19"/>
        <v/>
      </c>
      <c r="AT7" s="1854" t="str">
        <f t="shared" si="20"/>
        <v/>
      </c>
      <c r="AU7" s="1854" t="str">
        <f t="shared" si="21"/>
        <v/>
      </c>
      <c r="AV7" s="1383" t="str">
        <f t="shared" si="22"/>
        <v/>
      </c>
      <c r="AW7" s="1384" t="str">
        <f t="shared" si="23"/>
        <v/>
      </c>
      <c r="AX7" s="1383" t="str">
        <f t="shared" si="24"/>
        <v/>
      </c>
      <c r="AY7" s="1385" t="str">
        <f t="shared" si="25"/>
        <v/>
      </c>
      <c r="AZ7" s="1385" t="str">
        <f t="shared" si="26"/>
        <v/>
      </c>
      <c r="BC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7))),"")</f>
        <v/>
      </c>
      <c r="BD7" s="500" t="str">
        <f t="shared" si="27"/>
        <v/>
      </c>
      <c r="BE7" s="458" t="str">
        <f t="shared" si="28"/>
        <v/>
      </c>
      <c r="BF7" s="458" t="str">
        <f t="shared" si="29"/>
        <v/>
      </c>
    </row>
    <row r="8" spans="1:58" ht="45.75" customHeight="1" thickBot="1">
      <c r="A8" s="2257"/>
      <c r="B8" s="40">
        <f>+PP!B26</f>
        <v>3</v>
      </c>
      <c r="C8" s="1025" t="str">
        <f>+PP!C26</f>
        <v>ANILLAS BLANCAS SM ST MEDIANA</v>
      </c>
      <c r="D8" s="214"/>
      <c r="E8" s="215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73"/>
      <c r="W8" s="2988">
        <f t="shared" si="0"/>
        <v>0</v>
      </c>
      <c r="X8" s="150">
        <f t="shared" si="1"/>
        <v>0</v>
      </c>
      <c r="Y8" s="147">
        <f t="shared" si="30"/>
        <v>0</v>
      </c>
      <c r="AA8" s="1381" t="str">
        <f>IFERROR(INDEX($B$6:$B$53,_xlfn.AGGREGATE(15,6,(ROW($B$6:$B$53)-ROW($B$6)+1)/($W$6:$W$53&gt;0),ROWS($AA$6:AA8))),"")</f>
        <v/>
      </c>
      <c r="AB8" s="1382" t="str">
        <f t="shared" si="2"/>
        <v/>
      </c>
      <c r="AC8" s="1854" t="str">
        <f t="shared" si="3"/>
        <v/>
      </c>
      <c r="AD8" s="1854" t="str">
        <f t="shared" si="4"/>
        <v/>
      </c>
      <c r="AE8" s="1854" t="str">
        <f t="shared" si="5"/>
        <v/>
      </c>
      <c r="AF8" s="1854" t="str">
        <f t="shared" si="6"/>
        <v/>
      </c>
      <c r="AG8" s="1854" t="str">
        <f t="shared" si="7"/>
        <v/>
      </c>
      <c r="AH8" s="1854" t="str">
        <f t="shared" si="8"/>
        <v/>
      </c>
      <c r="AI8" s="1854" t="str">
        <f t="shared" si="9"/>
        <v/>
      </c>
      <c r="AJ8" s="1854" t="str">
        <f t="shared" si="10"/>
        <v/>
      </c>
      <c r="AK8" s="1854" t="str">
        <f t="shared" si="11"/>
        <v/>
      </c>
      <c r="AL8" s="1854" t="str">
        <f t="shared" si="12"/>
        <v/>
      </c>
      <c r="AM8" s="1854" t="str">
        <f t="shared" si="13"/>
        <v/>
      </c>
      <c r="AN8" s="1854" t="str">
        <f t="shared" si="14"/>
        <v/>
      </c>
      <c r="AO8" s="1854" t="str">
        <f t="shared" si="15"/>
        <v/>
      </c>
      <c r="AP8" s="1854" t="str">
        <f t="shared" si="16"/>
        <v/>
      </c>
      <c r="AQ8" s="1854" t="str">
        <f t="shared" si="17"/>
        <v/>
      </c>
      <c r="AR8" s="1854" t="str">
        <f t="shared" si="18"/>
        <v/>
      </c>
      <c r="AS8" s="1854" t="str">
        <f t="shared" si="19"/>
        <v/>
      </c>
      <c r="AT8" s="1854" t="str">
        <f t="shared" si="20"/>
        <v/>
      </c>
      <c r="AU8" s="1854" t="str">
        <f t="shared" si="21"/>
        <v/>
      </c>
      <c r="AV8" s="1383" t="str">
        <f t="shared" si="22"/>
        <v/>
      </c>
      <c r="AW8" s="1384" t="str">
        <f t="shared" si="23"/>
        <v/>
      </c>
      <c r="AX8" s="1383" t="str">
        <f t="shared" si="24"/>
        <v/>
      </c>
      <c r="AY8" s="1385" t="str">
        <f t="shared" si="25"/>
        <v/>
      </c>
      <c r="AZ8" s="1385" t="str">
        <f t="shared" si="26"/>
        <v/>
      </c>
      <c r="BC8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8))),"")</f>
        <v/>
      </c>
      <c r="BD8" s="500" t="str">
        <f t="shared" si="27"/>
        <v/>
      </c>
      <c r="BE8" s="458" t="str">
        <f t="shared" si="28"/>
        <v/>
      </c>
      <c r="BF8" s="458" t="str">
        <f t="shared" si="29"/>
        <v/>
      </c>
    </row>
    <row r="9" spans="1:58" ht="45.75" customHeight="1">
      <c r="A9" s="2257"/>
      <c r="B9" s="41">
        <f>+PP!B27</f>
        <v>4</v>
      </c>
      <c r="C9" s="1023" t="str">
        <f>+PP!C27</f>
        <v>ALETA FRESCA CORTE CRUZ</v>
      </c>
      <c r="D9" s="211"/>
      <c r="E9" s="212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31"/>
      <c r="W9" s="548">
        <f t="shared" si="0"/>
        <v>0</v>
      </c>
      <c r="X9" s="148">
        <f t="shared" si="1"/>
        <v>0</v>
      </c>
      <c r="Y9" s="145">
        <f t="shared" si="30"/>
        <v>0</v>
      </c>
      <c r="AA9" s="1381" t="str">
        <f>IFERROR(INDEX($B$6:$B$53,_xlfn.AGGREGATE(15,6,(ROW($B$6:$B$53)-ROW($B$6)+1)/($W$6:$W$53&gt;0),ROWS($AA$6:AA9))),"")</f>
        <v/>
      </c>
      <c r="AB9" s="1382" t="str">
        <f t="shared" si="2"/>
        <v/>
      </c>
      <c r="AC9" s="1854" t="str">
        <f t="shared" si="3"/>
        <v/>
      </c>
      <c r="AD9" s="1854" t="str">
        <f t="shared" si="4"/>
        <v/>
      </c>
      <c r="AE9" s="1854" t="str">
        <f t="shared" si="5"/>
        <v/>
      </c>
      <c r="AF9" s="1854" t="str">
        <f t="shared" si="6"/>
        <v/>
      </c>
      <c r="AG9" s="1854" t="str">
        <f t="shared" si="7"/>
        <v/>
      </c>
      <c r="AH9" s="1854" t="str">
        <f t="shared" si="8"/>
        <v/>
      </c>
      <c r="AI9" s="1854" t="str">
        <f t="shared" si="9"/>
        <v/>
      </c>
      <c r="AJ9" s="1854" t="str">
        <f t="shared" si="10"/>
        <v/>
      </c>
      <c r="AK9" s="1854" t="str">
        <f t="shared" si="11"/>
        <v/>
      </c>
      <c r="AL9" s="1854" t="str">
        <f t="shared" si="12"/>
        <v/>
      </c>
      <c r="AM9" s="1854" t="str">
        <f t="shared" si="13"/>
        <v/>
      </c>
      <c r="AN9" s="1854" t="str">
        <f t="shared" si="14"/>
        <v/>
      </c>
      <c r="AO9" s="1854" t="str">
        <f t="shared" si="15"/>
        <v/>
      </c>
      <c r="AP9" s="1854" t="str">
        <f t="shared" si="16"/>
        <v/>
      </c>
      <c r="AQ9" s="1854" t="str">
        <f t="shared" si="17"/>
        <v/>
      </c>
      <c r="AR9" s="1854" t="str">
        <f t="shared" si="18"/>
        <v/>
      </c>
      <c r="AS9" s="1854" t="str">
        <f t="shared" si="19"/>
        <v/>
      </c>
      <c r="AT9" s="1854" t="str">
        <f t="shared" si="20"/>
        <v/>
      </c>
      <c r="AU9" s="1854" t="str">
        <f t="shared" si="21"/>
        <v/>
      </c>
      <c r="AV9" s="1383" t="str">
        <f t="shared" si="22"/>
        <v/>
      </c>
      <c r="AW9" s="1384" t="str">
        <f t="shared" si="23"/>
        <v/>
      </c>
      <c r="AX9" s="1383" t="str">
        <f t="shared" si="24"/>
        <v/>
      </c>
      <c r="AY9" s="1385" t="str">
        <f t="shared" si="25"/>
        <v/>
      </c>
      <c r="AZ9" s="1385" t="str">
        <f t="shared" si="26"/>
        <v/>
      </c>
      <c r="BC9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9))),"")</f>
        <v/>
      </c>
      <c r="BD9" s="500" t="str">
        <f t="shared" si="27"/>
        <v/>
      </c>
      <c r="BE9" s="458" t="str">
        <f t="shared" si="28"/>
        <v/>
      </c>
      <c r="BF9" s="458" t="str">
        <f t="shared" si="29"/>
        <v/>
      </c>
    </row>
    <row r="10" spans="1:58" ht="45.75" customHeight="1">
      <c r="A10" s="2257"/>
      <c r="B10" s="42">
        <f>+PP!B28</f>
        <v>5</v>
      </c>
      <c r="C10" s="1024" t="str">
        <f>+PP!C28</f>
        <v>ALETA ENTERA 100-500 g/pza</v>
      </c>
      <c r="D10" s="217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76"/>
      <c r="W10" s="551">
        <f t="shared" si="0"/>
        <v>0</v>
      </c>
      <c r="X10" s="149">
        <f t="shared" si="1"/>
        <v>0</v>
      </c>
      <c r="Y10" s="146">
        <f t="shared" si="30"/>
        <v>0</v>
      </c>
      <c r="AA10" s="1381" t="str">
        <f>IFERROR(INDEX($B$6:$B$53,_xlfn.AGGREGATE(15,6,(ROW($B$6:$B$53)-ROW($B$6)+1)/($W$6:$W$53&gt;0),ROWS($AA$6:AA10))),"")</f>
        <v/>
      </c>
      <c r="AB10" s="1382" t="str">
        <f t="shared" si="2"/>
        <v/>
      </c>
      <c r="AC10" s="1854" t="str">
        <f t="shared" si="3"/>
        <v/>
      </c>
      <c r="AD10" s="1854" t="str">
        <f t="shared" si="4"/>
        <v/>
      </c>
      <c r="AE10" s="1854" t="str">
        <f t="shared" si="5"/>
        <v/>
      </c>
      <c r="AF10" s="1854" t="str">
        <f t="shared" si="6"/>
        <v/>
      </c>
      <c r="AG10" s="1854" t="str">
        <f t="shared" si="7"/>
        <v/>
      </c>
      <c r="AH10" s="1854" t="str">
        <f t="shared" si="8"/>
        <v/>
      </c>
      <c r="AI10" s="1854" t="str">
        <f t="shared" si="9"/>
        <v/>
      </c>
      <c r="AJ10" s="1854" t="str">
        <f t="shared" si="10"/>
        <v/>
      </c>
      <c r="AK10" s="1854" t="str">
        <f t="shared" si="11"/>
        <v/>
      </c>
      <c r="AL10" s="1854" t="str">
        <f t="shared" si="12"/>
        <v/>
      </c>
      <c r="AM10" s="1854" t="str">
        <f t="shared" si="13"/>
        <v/>
      </c>
      <c r="AN10" s="1854" t="str">
        <f t="shared" si="14"/>
        <v/>
      </c>
      <c r="AO10" s="1854" t="str">
        <f t="shared" si="15"/>
        <v/>
      </c>
      <c r="AP10" s="1854" t="str">
        <f t="shared" si="16"/>
        <v/>
      </c>
      <c r="AQ10" s="1854" t="str">
        <f t="shared" si="17"/>
        <v/>
      </c>
      <c r="AR10" s="1854" t="str">
        <f t="shared" si="18"/>
        <v/>
      </c>
      <c r="AS10" s="1854" t="str">
        <f t="shared" si="19"/>
        <v/>
      </c>
      <c r="AT10" s="1854" t="str">
        <f t="shared" si="20"/>
        <v/>
      </c>
      <c r="AU10" s="1854" t="str">
        <f t="shared" si="21"/>
        <v/>
      </c>
      <c r="AV10" s="1383" t="str">
        <f t="shared" si="22"/>
        <v/>
      </c>
      <c r="AW10" s="1384" t="str">
        <f t="shared" si="23"/>
        <v/>
      </c>
      <c r="AX10" s="1383" t="str">
        <f t="shared" si="24"/>
        <v/>
      </c>
      <c r="AY10" s="1385" t="str">
        <f t="shared" si="25"/>
        <v/>
      </c>
      <c r="AZ10" s="1385" t="str">
        <f t="shared" si="26"/>
        <v/>
      </c>
      <c r="BC10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10))),"")</f>
        <v/>
      </c>
      <c r="BD10" s="500" t="str">
        <f t="shared" si="27"/>
        <v/>
      </c>
      <c r="BE10" s="458" t="str">
        <f t="shared" si="28"/>
        <v/>
      </c>
      <c r="BF10" s="458" t="str">
        <f t="shared" si="29"/>
        <v/>
      </c>
    </row>
    <row r="11" spans="1:58" ht="45.75" customHeight="1">
      <c r="A11" s="2257"/>
      <c r="B11" s="42">
        <f>+PP!B29</f>
        <v>6</v>
      </c>
      <c r="C11" s="1024" t="str">
        <f>+PP!C29</f>
        <v>ALETA ENTERA 500-1000 g/pza</v>
      </c>
      <c r="D11" s="217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76"/>
      <c r="W11" s="551">
        <f t="shared" si="0"/>
        <v>0</v>
      </c>
      <c r="X11" s="149">
        <f t="shared" si="1"/>
        <v>0</v>
      </c>
      <c r="Y11" s="146">
        <f t="shared" si="30"/>
        <v>0</v>
      </c>
      <c r="AA11" s="1381" t="str">
        <f>IFERROR(INDEX($B$6:$B$53,_xlfn.AGGREGATE(15,6,(ROW($B$6:$B$53)-ROW($B$6)+1)/($W$6:$W$53&gt;0),ROWS($AA$6:AA11))),"")</f>
        <v/>
      </c>
      <c r="AB11" s="1382" t="str">
        <f t="shared" si="2"/>
        <v/>
      </c>
      <c r="AC11" s="1854" t="str">
        <f t="shared" si="3"/>
        <v/>
      </c>
      <c r="AD11" s="1854" t="str">
        <f t="shared" si="4"/>
        <v/>
      </c>
      <c r="AE11" s="1854" t="str">
        <f t="shared" si="5"/>
        <v/>
      </c>
      <c r="AF11" s="1854" t="str">
        <f t="shared" si="6"/>
        <v/>
      </c>
      <c r="AG11" s="1854" t="str">
        <f t="shared" si="7"/>
        <v/>
      </c>
      <c r="AH11" s="1854" t="str">
        <f t="shared" si="8"/>
        <v/>
      </c>
      <c r="AI11" s="1854" t="str">
        <f t="shared" si="9"/>
        <v/>
      </c>
      <c r="AJ11" s="1854" t="str">
        <f t="shared" si="10"/>
        <v/>
      </c>
      <c r="AK11" s="1854" t="str">
        <f t="shared" si="11"/>
        <v/>
      </c>
      <c r="AL11" s="1854" t="str">
        <f t="shared" si="12"/>
        <v/>
      </c>
      <c r="AM11" s="1854" t="str">
        <f t="shared" si="13"/>
        <v/>
      </c>
      <c r="AN11" s="1854" t="str">
        <f t="shared" si="14"/>
        <v/>
      </c>
      <c r="AO11" s="1854" t="str">
        <f t="shared" si="15"/>
        <v/>
      </c>
      <c r="AP11" s="1854" t="str">
        <f t="shared" si="16"/>
        <v/>
      </c>
      <c r="AQ11" s="1854" t="str">
        <f t="shared" si="17"/>
        <v/>
      </c>
      <c r="AR11" s="1854" t="str">
        <f t="shared" si="18"/>
        <v/>
      </c>
      <c r="AS11" s="1854" t="str">
        <f t="shared" si="19"/>
        <v/>
      </c>
      <c r="AT11" s="1854" t="str">
        <f t="shared" si="20"/>
        <v/>
      </c>
      <c r="AU11" s="1854" t="str">
        <f t="shared" si="21"/>
        <v/>
      </c>
      <c r="AV11" s="1383" t="str">
        <f t="shared" si="22"/>
        <v/>
      </c>
      <c r="AW11" s="1384" t="str">
        <f t="shared" si="23"/>
        <v/>
      </c>
      <c r="AX11" s="1383" t="str">
        <f t="shared" si="24"/>
        <v/>
      </c>
      <c r="AY11" s="1385" t="str">
        <f t="shared" si="25"/>
        <v/>
      </c>
      <c r="AZ11" s="1385" t="str">
        <f t="shared" si="26"/>
        <v/>
      </c>
      <c r="BC11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11))),"")</f>
        <v/>
      </c>
      <c r="BD11" s="500" t="str">
        <f t="shared" si="27"/>
        <v/>
      </c>
      <c r="BE11" s="458" t="str">
        <f t="shared" si="28"/>
        <v/>
      </c>
      <c r="BF11" s="458" t="str">
        <f t="shared" si="29"/>
        <v/>
      </c>
    </row>
    <row r="12" spans="1:58" ht="45.75" customHeight="1">
      <c r="A12" s="2257"/>
      <c r="B12" s="42">
        <f>+PP!B30</f>
        <v>7</v>
      </c>
      <c r="C12" s="1024" t="str">
        <f>+PP!C30</f>
        <v>ALETA ENTERA 1.0-2.0 kg/pza</v>
      </c>
      <c r="D12" s="217"/>
      <c r="E12" s="218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76"/>
      <c r="W12" s="551">
        <f t="shared" si="0"/>
        <v>0</v>
      </c>
      <c r="X12" s="149">
        <f t="shared" si="1"/>
        <v>0</v>
      </c>
      <c r="Y12" s="146">
        <f t="shared" si="30"/>
        <v>0</v>
      </c>
      <c r="AA12" s="1381" t="str">
        <f>IFERROR(INDEX($B$6:$B$53,_xlfn.AGGREGATE(15,6,(ROW($B$6:$B$53)-ROW($B$6)+1)/($W$6:$W$53&gt;0),ROWS($AA$6:AA12))),"")</f>
        <v/>
      </c>
      <c r="AB12" s="1382" t="str">
        <f t="shared" si="2"/>
        <v/>
      </c>
      <c r="AC12" s="1854" t="str">
        <f t="shared" si="3"/>
        <v/>
      </c>
      <c r="AD12" s="1854" t="str">
        <f t="shared" si="4"/>
        <v/>
      </c>
      <c r="AE12" s="1854" t="str">
        <f t="shared" si="5"/>
        <v/>
      </c>
      <c r="AF12" s="1854" t="str">
        <f t="shared" si="6"/>
        <v/>
      </c>
      <c r="AG12" s="1854" t="str">
        <f t="shared" si="7"/>
        <v/>
      </c>
      <c r="AH12" s="1854" t="str">
        <f t="shared" si="8"/>
        <v/>
      </c>
      <c r="AI12" s="1854" t="str">
        <f t="shared" si="9"/>
        <v/>
      </c>
      <c r="AJ12" s="1854" t="str">
        <f t="shared" si="10"/>
        <v/>
      </c>
      <c r="AK12" s="1854" t="str">
        <f t="shared" si="11"/>
        <v/>
      </c>
      <c r="AL12" s="1854" t="str">
        <f t="shared" si="12"/>
        <v/>
      </c>
      <c r="AM12" s="1854" t="str">
        <f t="shared" si="13"/>
        <v/>
      </c>
      <c r="AN12" s="1854" t="str">
        <f t="shared" si="14"/>
        <v/>
      </c>
      <c r="AO12" s="1854" t="str">
        <f t="shared" si="15"/>
        <v/>
      </c>
      <c r="AP12" s="1854" t="str">
        <f t="shared" si="16"/>
        <v/>
      </c>
      <c r="AQ12" s="1854" t="str">
        <f t="shared" si="17"/>
        <v/>
      </c>
      <c r="AR12" s="1854" t="str">
        <f t="shared" si="18"/>
        <v/>
      </c>
      <c r="AS12" s="1854" t="str">
        <f t="shared" si="19"/>
        <v/>
      </c>
      <c r="AT12" s="1854" t="str">
        <f t="shared" si="20"/>
        <v/>
      </c>
      <c r="AU12" s="1854" t="str">
        <f t="shared" si="21"/>
        <v/>
      </c>
      <c r="AV12" s="1383" t="str">
        <f t="shared" si="22"/>
        <v/>
      </c>
      <c r="AW12" s="1384" t="str">
        <f t="shared" si="23"/>
        <v/>
      </c>
      <c r="AX12" s="1383" t="str">
        <f t="shared" si="24"/>
        <v/>
      </c>
      <c r="AY12" s="1385" t="str">
        <f t="shared" si="25"/>
        <v/>
      </c>
      <c r="AZ12" s="1385" t="str">
        <f t="shared" si="26"/>
        <v/>
      </c>
      <c r="BC12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12))),"")</f>
        <v/>
      </c>
      <c r="BD12" s="500" t="str">
        <f t="shared" si="27"/>
        <v/>
      </c>
      <c r="BE12" s="458" t="str">
        <f t="shared" si="28"/>
        <v/>
      </c>
      <c r="BF12" s="458" t="str">
        <f t="shared" si="29"/>
        <v/>
      </c>
    </row>
    <row r="13" spans="1:58" ht="45.75" customHeight="1">
      <c r="A13" s="2257"/>
      <c r="B13" s="42">
        <f>+PP!B31</f>
        <v>8</v>
      </c>
      <c r="C13" s="1024" t="str">
        <f>+PP!C31</f>
        <v>ALETA FRESCA PARTIDA 2.0-4.0 kg/pza</v>
      </c>
      <c r="D13" s="217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76"/>
      <c r="W13" s="551">
        <f t="shared" si="0"/>
        <v>0</v>
      </c>
      <c r="X13" s="149">
        <f t="shared" si="1"/>
        <v>0</v>
      </c>
      <c r="Y13" s="146">
        <f t="shared" si="30"/>
        <v>0</v>
      </c>
      <c r="AA13" s="1381" t="str">
        <f>IFERROR(INDEX($B$6:$B$53,_xlfn.AGGREGATE(15,6,(ROW($B$6:$B$53)-ROW($B$6)+1)/($W$6:$W$53&gt;0),ROWS($AA$6:AA13))),"")</f>
        <v/>
      </c>
      <c r="AB13" s="1382" t="str">
        <f t="shared" si="2"/>
        <v/>
      </c>
      <c r="AC13" s="1854" t="str">
        <f t="shared" si="3"/>
        <v/>
      </c>
      <c r="AD13" s="1854" t="str">
        <f t="shared" si="4"/>
        <v/>
      </c>
      <c r="AE13" s="1854" t="str">
        <f t="shared" si="5"/>
        <v/>
      </c>
      <c r="AF13" s="1854" t="str">
        <f t="shared" si="6"/>
        <v/>
      </c>
      <c r="AG13" s="1854" t="str">
        <f t="shared" si="7"/>
        <v/>
      </c>
      <c r="AH13" s="1854" t="str">
        <f t="shared" si="8"/>
        <v/>
      </c>
      <c r="AI13" s="1854" t="str">
        <f t="shared" si="9"/>
        <v/>
      </c>
      <c r="AJ13" s="1854" t="str">
        <f t="shared" si="10"/>
        <v/>
      </c>
      <c r="AK13" s="1854" t="str">
        <f t="shared" si="11"/>
        <v/>
      </c>
      <c r="AL13" s="1854" t="str">
        <f t="shared" si="12"/>
        <v/>
      </c>
      <c r="AM13" s="1854" t="str">
        <f t="shared" si="13"/>
        <v/>
      </c>
      <c r="AN13" s="1854" t="str">
        <f t="shared" si="14"/>
        <v/>
      </c>
      <c r="AO13" s="1854" t="str">
        <f t="shared" si="15"/>
        <v/>
      </c>
      <c r="AP13" s="1854" t="str">
        <f t="shared" si="16"/>
        <v/>
      </c>
      <c r="AQ13" s="1854" t="str">
        <f t="shared" si="17"/>
        <v/>
      </c>
      <c r="AR13" s="1854" t="str">
        <f t="shared" si="18"/>
        <v/>
      </c>
      <c r="AS13" s="1854" t="str">
        <f t="shared" si="19"/>
        <v/>
      </c>
      <c r="AT13" s="1854" t="str">
        <f t="shared" si="20"/>
        <v/>
      </c>
      <c r="AU13" s="1854" t="str">
        <f t="shared" si="21"/>
        <v/>
      </c>
      <c r="AV13" s="1383" t="str">
        <f t="shared" si="22"/>
        <v/>
      </c>
      <c r="AW13" s="1384" t="str">
        <f t="shared" si="23"/>
        <v/>
      </c>
      <c r="AX13" s="1383" t="str">
        <f t="shared" si="24"/>
        <v/>
      </c>
      <c r="AY13" s="1385" t="str">
        <f t="shared" si="25"/>
        <v/>
      </c>
      <c r="AZ13" s="1385" t="str">
        <f t="shared" si="26"/>
        <v/>
      </c>
      <c r="BC13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13))),"")</f>
        <v/>
      </c>
      <c r="BD13" s="500" t="str">
        <f t="shared" si="27"/>
        <v/>
      </c>
      <c r="BE13" s="458" t="str">
        <f t="shared" si="28"/>
        <v/>
      </c>
      <c r="BF13" s="458" t="str">
        <f t="shared" si="29"/>
        <v/>
      </c>
    </row>
    <row r="14" spans="1:58" ht="45.75" customHeight="1">
      <c r="A14" s="2257"/>
      <c r="B14" s="42">
        <f>+PP!B32</f>
        <v>9</v>
      </c>
      <c r="C14" s="1024" t="str">
        <f>+PP!C32</f>
        <v>ALETA PRECOCIDA ENTERA 300-UP g/pza</v>
      </c>
      <c r="D14" s="217"/>
      <c r="E14" s="218"/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76"/>
      <c r="W14" s="551">
        <f t="shared" si="0"/>
        <v>0</v>
      </c>
      <c r="X14" s="149">
        <f t="shared" si="1"/>
        <v>0</v>
      </c>
      <c r="Y14" s="146">
        <f t="shared" si="30"/>
        <v>0</v>
      </c>
      <c r="AA14" s="1381" t="str">
        <f>IFERROR(INDEX($B$6:$B$53,_xlfn.AGGREGATE(15,6,(ROW($B$6:$B$53)-ROW($B$6)+1)/($W$6:$W$53&gt;0),ROWS($AA$6:AA14))),"")</f>
        <v/>
      </c>
      <c r="AB14" s="1382" t="str">
        <f t="shared" si="2"/>
        <v/>
      </c>
      <c r="AC14" s="1854" t="str">
        <f t="shared" si="3"/>
        <v/>
      </c>
      <c r="AD14" s="1854" t="str">
        <f t="shared" si="4"/>
        <v/>
      </c>
      <c r="AE14" s="1854" t="str">
        <f t="shared" si="5"/>
        <v/>
      </c>
      <c r="AF14" s="1854" t="str">
        <f t="shared" si="6"/>
        <v/>
      </c>
      <c r="AG14" s="1854" t="str">
        <f t="shared" si="7"/>
        <v/>
      </c>
      <c r="AH14" s="1854" t="str">
        <f t="shared" si="8"/>
        <v/>
      </c>
      <c r="AI14" s="1854" t="str">
        <f t="shared" si="9"/>
        <v/>
      </c>
      <c r="AJ14" s="1854" t="str">
        <f t="shared" si="10"/>
        <v/>
      </c>
      <c r="AK14" s="1854" t="str">
        <f t="shared" si="11"/>
        <v/>
      </c>
      <c r="AL14" s="1854" t="str">
        <f t="shared" si="12"/>
        <v/>
      </c>
      <c r="AM14" s="1854" t="str">
        <f t="shared" si="13"/>
        <v/>
      </c>
      <c r="AN14" s="1854" t="str">
        <f t="shared" si="14"/>
        <v/>
      </c>
      <c r="AO14" s="1854" t="str">
        <f t="shared" si="15"/>
        <v/>
      </c>
      <c r="AP14" s="1854" t="str">
        <f t="shared" si="16"/>
        <v/>
      </c>
      <c r="AQ14" s="1854" t="str">
        <f t="shared" si="17"/>
        <v/>
      </c>
      <c r="AR14" s="1854" t="str">
        <f t="shared" si="18"/>
        <v/>
      </c>
      <c r="AS14" s="1854" t="str">
        <f t="shared" si="19"/>
        <v/>
      </c>
      <c r="AT14" s="1854" t="str">
        <f t="shared" si="20"/>
        <v/>
      </c>
      <c r="AU14" s="1854" t="str">
        <f t="shared" si="21"/>
        <v/>
      </c>
      <c r="AV14" s="1383" t="str">
        <f t="shared" si="22"/>
        <v/>
      </c>
      <c r="AW14" s="1384" t="str">
        <f t="shared" si="23"/>
        <v/>
      </c>
      <c r="AX14" s="1383" t="str">
        <f t="shared" si="24"/>
        <v/>
      </c>
      <c r="AY14" s="1385" t="str">
        <f t="shared" si="25"/>
        <v/>
      </c>
      <c r="AZ14" s="1385" t="str">
        <f t="shared" si="26"/>
        <v/>
      </c>
      <c r="BC14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14))),"")</f>
        <v/>
      </c>
      <c r="BD14" s="500" t="str">
        <f t="shared" si="27"/>
        <v/>
      </c>
      <c r="BE14" s="458" t="str">
        <f t="shared" si="28"/>
        <v/>
      </c>
      <c r="BF14" s="458" t="str">
        <f t="shared" si="29"/>
        <v/>
      </c>
    </row>
    <row r="15" spans="1:58" ht="45.75" customHeight="1" thickBot="1">
      <c r="A15" s="2257"/>
      <c r="B15" s="40">
        <f>+PP!B33</f>
        <v>10</v>
      </c>
      <c r="C15" s="1025" t="str">
        <f>+PP!C33</f>
        <v>ALETA PRECOCIDA PARTIDA 300-UP g/pza</v>
      </c>
      <c r="D15" s="214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73"/>
      <c r="W15" s="2988">
        <f t="shared" si="0"/>
        <v>0</v>
      </c>
      <c r="X15" s="150">
        <f t="shared" si="1"/>
        <v>0</v>
      </c>
      <c r="Y15" s="147">
        <f t="shared" si="30"/>
        <v>0</v>
      </c>
      <c r="AA15" s="1381" t="str">
        <f>IFERROR(INDEX($B$6:$B$53,_xlfn.AGGREGATE(15,6,(ROW($B$6:$B$53)-ROW($B$6)+1)/($W$6:$W$53&gt;0),ROWS($AA$6:AA15))),"")</f>
        <v/>
      </c>
      <c r="AB15" s="1382" t="str">
        <f t="shared" si="2"/>
        <v/>
      </c>
      <c r="AC15" s="1854" t="str">
        <f t="shared" si="3"/>
        <v/>
      </c>
      <c r="AD15" s="1854" t="str">
        <f t="shared" si="4"/>
        <v/>
      </c>
      <c r="AE15" s="1854" t="str">
        <f t="shared" si="5"/>
        <v/>
      </c>
      <c r="AF15" s="1854" t="str">
        <f t="shared" si="6"/>
        <v/>
      </c>
      <c r="AG15" s="1854" t="str">
        <f t="shared" si="7"/>
        <v/>
      </c>
      <c r="AH15" s="1854" t="str">
        <f t="shared" si="8"/>
        <v/>
      </c>
      <c r="AI15" s="1854" t="str">
        <f t="shared" si="9"/>
        <v/>
      </c>
      <c r="AJ15" s="1854" t="str">
        <f t="shared" si="10"/>
        <v/>
      </c>
      <c r="AK15" s="1854" t="str">
        <f t="shared" si="11"/>
        <v/>
      </c>
      <c r="AL15" s="1854" t="str">
        <f t="shared" si="12"/>
        <v/>
      </c>
      <c r="AM15" s="1854" t="str">
        <f t="shared" si="13"/>
        <v/>
      </c>
      <c r="AN15" s="1854" t="str">
        <f t="shared" si="14"/>
        <v/>
      </c>
      <c r="AO15" s="1854" t="str">
        <f t="shared" si="15"/>
        <v/>
      </c>
      <c r="AP15" s="1854" t="str">
        <f t="shared" si="16"/>
        <v/>
      </c>
      <c r="AQ15" s="1854" t="str">
        <f t="shared" si="17"/>
        <v/>
      </c>
      <c r="AR15" s="1854" t="str">
        <f t="shared" si="18"/>
        <v/>
      </c>
      <c r="AS15" s="1854" t="str">
        <f t="shared" si="19"/>
        <v/>
      </c>
      <c r="AT15" s="1854" t="str">
        <f t="shared" si="20"/>
        <v/>
      </c>
      <c r="AU15" s="1854" t="str">
        <f t="shared" si="21"/>
        <v/>
      </c>
      <c r="AV15" s="1383" t="str">
        <f t="shared" si="22"/>
        <v/>
      </c>
      <c r="AW15" s="1384" t="str">
        <f t="shared" si="23"/>
        <v/>
      </c>
      <c r="AX15" s="1383" t="str">
        <f t="shared" si="24"/>
        <v/>
      </c>
      <c r="AY15" s="1385" t="str">
        <f t="shared" si="25"/>
        <v/>
      </c>
      <c r="AZ15" s="1385" t="str">
        <f t="shared" si="26"/>
        <v/>
      </c>
      <c r="BC15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15))),"")</f>
        <v/>
      </c>
      <c r="BD15" s="500" t="str">
        <f t="shared" si="27"/>
        <v/>
      </c>
      <c r="BE15" s="458" t="str">
        <f t="shared" si="28"/>
        <v/>
      </c>
      <c r="BF15" s="458" t="str">
        <f t="shared" si="29"/>
        <v/>
      </c>
    </row>
    <row r="16" spans="1:58" ht="45.75" customHeight="1">
      <c r="A16" s="2257"/>
      <c r="B16" s="41">
        <f>+PP!B34</f>
        <v>11</v>
      </c>
      <c r="C16" s="1023" t="str">
        <f>+PP!C34</f>
        <v>BOTON BLANCO SM ST</v>
      </c>
      <c r="D16" s="2999"/>
      <c r="E16" s="1836"/>
      <c r="F16" s="1836"/>
      <c r="G16" s="1836"/>
      <c r="H16" s="1836"/>
      <c r="I16" s="1836"/>
      <c r="J16" s="1836"/>
      <c r="K16" s="1836"/>
      <c r="L16" s="1836"/>
      <c r="M16" s="212"/>
      <c r="N16" s="212"/>
      <c r="O16" s="212"/>
      <c r="P16" s="212"/>
      <c r="Q16" s="212"/>
      <c r="R16" s="212"/>
      <c r="S16" s="212"/>
      <c r="T16" s="212"/>
      <c r="U16" s="212"/>
      <c r="V16" s="231"/>
      <c r="W16" s="548">
        <f t="shared" si="0"/>
        <v>0</v>
      </c>
      <c r="X16" s="148">
        <f t="shared" si="1"/>
        <v>0</v>
      </c>
      <c r="Y16" s="145">
        <f t="shared" si="30"/>
        <v>0</v>
      </c>
      <c r="AA16" s="1381" t="str">
        <f>IFERROR(INDEX($B$6:$B$53,_xlfn.AGGREGATE(15,6,(ROW($B$6:$B$53)-ROW($B$6)+1)/($W$6:$W$53&gt;0),ROWS($AA$6:AA16))),"")</f>
        <v/>
      </c>
      <c r="AB16" s="1382" t="str">
        <f t="shared" si="2"/>
        <v/>
      </c>
      <c r="AC16" s="1854" t="str">
        <f t="shared" si="3"/>
        <v/>
      </c>
      <c r="AD16" s="1854" t="str">
        <f t="shared" si="4"/>
        <v/>
      </c>
      <c r="AE16" s="1854" t="str">
        <f t="shared" si="5"/>
        <v/>
      </c>
      <c r="AF16" s="1854" t="str">
        <f t="shared" si="6"/>
        <v/>
      </c>
      <c r="AG16" s="1854" t="str">
        <f t="shared" si="7"/>
        <v/>
      </c>
      <c r="AH16" s="1854" t="str">
        <f t="shared" si="8"/>
        <v/>
      </c>
      <c r="AI16" s="1854" t="str">
        <f t="shared" si="9"/>
        <v/>
      </c>
      <c r="AJ16" s="1854" t="str">
        <f t="shared" si="10"/>
        <v/>
      </c>
      <c r="AK16" s="1854" t="str">
        <f t="shared" si="11"/>
        <v/>
      </c>
      <c r="AL16" s="1854" t="str">
        <f t="shared" si="12"/>
        <v/>
      </c>
      <c r="AM16" s="1854" t="str">
        <f t="shared" si="13"/>
        <v/>
      </c>
      <c r="AN16" s="1854" t="str">
        <f t="shared" si="14"/>
        <v/>
      </c>
      <c r="AO16" s="1854" t="str">
        <f t="shared" si="15"/>
        <v/>
      </c>
      <c r="AP16" s="1854" t="str">
        <f t="shared" si="16"/>
        <v/>
      </c>
      <c r="AQ16" s="1854" t="str">
        <f t="shared" si="17"/>
        <v/>
      </c>
      <c r="AR16" s="1854" t="str">
        <f t="shared" si="18"/>
        <v/>
      </c>
      <c r="AS16" s="1854" t="str">
        <f t="shared" si="19"/>
        <v/>
      </c>
      <c r="AT16" s="1854" t="str">
        <f t="shared" si="20"/>
        <v/>
      </c>
      <c r="AU16" s="1854" t="str">
        <f t="shared" si="21"/>
        <v/>
      </c>
      <c r="AV16" s="1383" t="str">
        <f t="shared" si="22"/>
        <v/>
      </c>
      <c r="AW16" s="1384" t="str">
        <f t="shared" si="23"/>
        <v/>
      </c>
      <c r="AX16" s="1383" t="str">
        <f t="shared" si="24"/>
        <v/>
      </c>
      <c r="AY16" s="1385" t="str">
        <f t="shared" si="25"/>
        <v/>
      </c>
      <c r="AZ16" s="1385" t="str">
        <f t="shared" si="26"/>
        <v/>
      </c>
      <c r="BC1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16))),"")</f>
        <v/>
      </c>
      <c r="BD16" s="500" t="str">
        <f t="shared" si="27"/>
        <v/>
      </c>
      <c r="BE16" s="458" t="str">
        <f t="shared" si="28"/>
        <v/>
      </c>
      <c r="BF16" s="458" t="str">
        <f t="shared" si="29"/>
        <v/>
      </c>
    </row>
    <row r="17" spans="1:58" ht="45.75" customHeight="1" thickBot="1">
      <c r="A17" s="2257"/>
      <c r="B17" s="40">
        <f>+PP!B35</f>
        <v>12</v>
      </c>
      <c r="C17" s="1025" t="str">
        <f>+PP!C35</f>
        <v>BOTON AMARILLO SM ST</v>
      </c>
      <c r="D17" s="3000"/>
      <c r="E17" s="3001"/>
      <c r="F17" s="3001"/>
      <c r="G17" s="3001"/>
      <c r="H17" s="3001"/>
      <c r="I17" s="3001"/>
      <c r="J17" s="3001"/>
      <c r="K17" s="3001"/>
      <c r="L17" s="3001"/>
      <c r="M17" s="3001"/>
      <c r="N17" s="215"/>
      <c r="O17" s="215"/>
      <c r="P17" s="215"/>
      <c r="Q17" s="215"/>
      <c r="R17" s="215"/>
      <c r="S17" s="215"/>
      <c r="T17" s="215"/>
      <c r="U17" s="215"/>
      <c r="V17" s="273"/>
      <c r="W17" s="2988">
        <f t="shared" si="0"/>
        <v>0</v>
      </c>
      <c r="X17" s="150">
        <f t="shared" si="1"/>
        <v>0</v>
      </c>
      <c r="Y17" s="147">
        <f t="shared" si="30"/>
        <v>0</v>
      </c>
      <c r="AA17" s="1381" t="str">
        <f>IFERROR(INDEX($B$6:$B$53,_xlfn.AGGREGATE(15,6,(ROW($B$6:$B$53)-ROW($B$6)+1)/($W$6:$W$53&gt;0),ROWS($AA$6:AA17))),"")</f>
        <v/>
      </c>
      <c r="AB17" s="1382" t="str">
        <f t="shared" si="2"/>
        <v/>
      </c>
      <c r="AC17" s="1854" t="str">
        <f t="shared" si="3"/>
        <v/>
      </c>
      <c r="AD17" s="1854" t="str">
        <f t="shared" si="4"/>
        <v/>
      </c>
      <c r="AE17" s="1854" t="str">
        <f t="shared" si="5"/>
        <v/>
      </c>
      <c r="AF17" s="1854" t="str">
        <f t="shared" si="6"/>
        <v/>
      </c>
      <c r="AG17" s="1854" t="str">
        <f t="shared" si="7"/>
        <v/>
      </c>
      <c r="AH17" s="1854" t="str">
        <f t="shared" si="8"/>
        <v/>
      </c>
      <c r="AI17" s="1854" t="str">
        <f t="shared" si="9"/>
        <v/>
      </c>
      <c r="AJ17" s="1854" t="str">
        <f t="shared" si="10"/>
        <v/>
      </c>
      <c r="AK17" s="1854" t="str">
        <f t="shared" si="11"/>
        <v/>
      </c>
      <c r="AL17" s="1854" t="str">
        <f t="shared" si="12"/>
        <v/>
      </c>
      <c r="AM17" s="1854" t="str">
        <f t="shared" si="13"/>
        <v/>
      </c>
      <c r="AN17" s="1854" t="str">
        <f t="shared" si="14"/>
        <v/>
      </c>
      <c r="AO17" s="1854" t="str">
        <f t="shared" si="15"/>
        <v/>
      </c>
      <c r="AP17" s="1854" t="str">
        <f t="shared" si="16"/>
        <v/>
      </c>
      <c r="AQ17" s="1854" t="str">
        <f t="shared" si="17"/>
        <v/>
      </c>
      <c r="AR17" s="1854" t="str">
        <f t="shared" si="18"/>
        <v/>
      </c>
      <c r="AS17" s="1854" t="str">
        <f t="shared" si="19"/>
        <v/>
      </c>
      <c r="AT17" s="1854" t="str">
        <f t="shared" si="20"/>
        <v/>
      </c>
      <c r="AU17" s="1854" t="str">
        <f t="shared" si="21"/>
        <v/>
      </c>
      <c r="AV17" s="1383" t="str">
        <f t="shared" si="22"/>
        <v/>
      </c>
      <c r="AW17" s="1384" t="str">
        <f t="shared" si="23"/>
        <v/>
      </c>
      <c r="AX17" s="1383" t="str">
        <f t="shared" si="24"/>
        <v/>
      </c>
      <c r="AY17" s="1385" t="str">
        <f t="shared" si="25"/>
        <v/>
      </c>
      <c r="AZ17" s="1385" t="str">
        <f t="shared" si="26"/>
        <v/>
      </c>
      <c r="BC1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17))),"")</f>
        <v/>
      </c>
      <c r="BD17" s="500" t="str">
        <f t="shared" si="27"/>
        <v/>
      </c>
      <c r="BE17" s="458" t="str">
        <f t="shared" si="28"/>
        <v/>
      </c>
      <c r="BF17" s="458" t="str">
        <f t="shared" si="29"/>
        <v/>
      </c>
    </row>
    <row r="18" spans="1:58" ht="43.5" customHeight="1" thickBot="1">
      <c r="A18" s="2257"/>
      <c r="B18" s="526">
        <f>+PP!B36</f>
        <v>13</v>
      </c>
      <c r="C18" s="1196" t="str">
        <f>+PP!C36</f>
        <v>CONOS DE POTA</v>
      </c>
      <c r="D18" s="220"/>
      <c r="E18" s="221"/>
      <c r="F18" s="22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996"/>
      <c r="W18" s="1793">
        <f t="shared" si="0"/>
        <v>0</v>
      </c>
      <c r="X18" s="153">
        <f t="shared" si="1"/>
        <v>0</v>
      </c>
      <c r="Y18" s="154">
        <f t="shared" si="30"/>
        <v>0</v>
      </c>
      <c r="AA18" s="1381" t="str">
        <f>IFERROR(INDEX($B$6:$B$53,_xlfn.AGGREGATE(15,6,(ROW($B$6:$B$53)-ROW($B$6)+1)/($W$6:$W$53&gt;0),ROWS($AA$6:AA18))),"")</f>
        <v/>
      </c>
      <c r="AB18" s="1382" t="str">
        <f t="shared" si="2"/>
        <v/>
      </c>
      <c r="AC18" s="1854" t="str">
        <f t="shared" si="3"/>
        <v/>
      </c>
      <c r="AD18" s="1854" t="str">
        <f t="shared" si="4"/>
        <v/>
      </c>
      <c r="AE18" s="1854" t="str">
        <f t="shared" si="5"/>
        <v/>
      </c>
      <c r="AF18" s="1854" t="str">
        <f t="shared" si="6"/>
        <v/>
      </c>
      <c r="AG18" s="1854" t="str">
        <f t="shared" si="7"/>
        <v/>
      </c>
      <c r="AH18" s="1854" t="str">
        <f t="shared" si="8"/>
        <v/>
      </c>
      <c r="AI18" s="1854" t="str">
        <f t="shared" si="9"/>
        <v/>
      </c>
      <c r="AJ18" s="1854" t="str">
        <f t="shared" si="10"/>
        <v/>
      </c>
      <c r="AK18" s="1854" t="str">
        <f t="shared" si="11"/>
        <v/>
      </c>
      <c r="AL18" s="1854" t="str">
        <f t="shared" si="12"/>
        <v/>
      </c>
      <c r="AM18" s="1854" t="str">
        <f t="shared" si="13"/>
        <v/>
      </c>
      <c r="AN18" s="1854" t="str">
        <f t="shared" si="14"/>
        <v/>
      </c>
      <c r="AO18" s="1854" t="str">
        <f t="shared" si="15"/>
        <v/>
      </c>
      <c r="AP18" s="1854" t="str">
        <f t="shared" si="16"/>
        <v/>
      </c>
      <c r="AQ18" s="1854" t="str">
        <f t="shared" si="17"/>
        <v/>
      </c>
      <c r="AR18" s="1854" t="str">
        <f t="shared" si="18"/>
        <v/>
      </c>
      <c r="AS18" s="1854" t="str">
        <f t="shared" si="19"/>
        <v/>
      </c>
      <c r="AT18" s="1854" t="str">
        <f t="shared" si="20"/>
        <v/>
      </c>
      <c r="AU18" s="1854" t="str">
        <f t="shared" si="21"/>
        <v/>
      </c>
      <c r="AV18" s="1383" t="str">
        <f t="shared" si="22"/>
        <v/>
      </c>
      <c r="AW18" s="1384" t="str">
        <f t="shared" si="23"/>
        <v/>
      </c>
      <c r="AX18" s="1383" t="str">
        <f t="shared" si="24"/>
        <v/>
      </c>
      <c r="AY18" s="1385" t="str">
        <f t="shared" si="25"/>
        <v/>
      </c>
      <c r="AZ18" s="1385" t="str">
        <f t="shared" si="26"/>
        <v/>
      </c>
      <c r="BC18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18))),"")</f>
        <v/>
      </c>
      <c r="BD18" s="500" t="str">
        <f t="shared" si="27"/>
        <v/>
      </c>
      <c r="BE18" s="458" t="str">
        <f t="shared" si="28"/>
        <v/>
      </c>
      <c r="BF18" s="458" t="str">
        <f t="shared" si="29"/>
        <v/>
      </c>
    </row>
    <row r="19" spans="1:58" ht="43.5" customHeight="1">
      <c r="A19" s="2257"/>
      <c r="B19" s="41">
        <f>+PP!B37</f>
        <v>14</v>
      </c>
      <c r="C19" s="1023" t="str">
        <f>+PP!C37</f>
        <v>FILETE C/TT DARUMA</v>
      </c>
      <c r="D19" s="211"/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2"/>
      <c r="P19" s="212"/>
      <c r="Q19" s="212"/>
      <c r="R19" s="212"/>
      <c r="S19" s="212"/>
      <c r="T19" s="212"/>
      <c r="U19" s="212"/>
      <c r="V19" s="231"/>
      <c r="W19" s="548">
        <f t="shared" si="0"/>
        <v>0</v>
      </c>
      <c r="X19" s="148">
        <f t="shared" si="1"/>
        <v>0</v>
      </c>
      <c r="Y19" s="145">
        <f t="shared" si="30"/>
        <v>0</v>
      </c>
      <c r="AA19" s="1381" t="str">
        <f>IFERROR(INDEX($B$6:$B$53,_xlfn.AGGREGATE(15,6,(ROW($B$6:$B$53)-ROW($B$6)+1)/($W$6:$W$53&gt;0),ROWS($AA$6:AA19))),"")</f>
        <v/>
      </c>
      <c r="AB19" s="1382" t="str">
        <f t="shared" si="2"/>
        <v/>
      </c>
      <c r="AC19" s="1854" t="str">
        <f t="shared" si="3"/>
        <v/>
      </c>
      <c r="AD19" s="1854" t="str">
        <f t="shared" si="4"/>
        <v/>
      </c>
      <c r="AE19" s="1854" t="str">
        <f t="shared" si="5"/>
        <v/>
      </c>
      <c r="AF19" s="1854" t="str">
        <f t="shared" si="6"/>
        <v/>
      </c>
      <c r="AG19" s="1854" t="str">
        <f t="shared" si="7"/>
        <v/>
      </c>
      <c r="AH19" s="1854" t="str">
        <f t="shared" si="8"/>
        <v/>
      </c>
      <c r="AI19" s="1854" t="str">
        <f t="shared" si="9"/>
        <v/>
      </c>
      <c r="AJ19" s="1854" t="str">
        <f t="shared" si="10"/>
        <v/>
      </c>
      <c r="AK19" s="1854" t="str">
        <f t="shared" si="11"/>
        <v/>
      </c>
      <c r="AL19" s="1854" t="str">
        <f t="shared" si="12"/>
        <v/>
      </c>
      <c r="AM19" s="1854" t="str">
        <f t="shared" si="13"/>
        <v/>
      </c>
      <c r="AN19" s="1854" t="str">
        <f t="shared" si="14"/>
        <v/>
      </c>
      <c r="AO19" s="1854" t="str">
        <f t="shared" si="15"/>
        <v/>
      </c>
      <c r="AP19" s="1854" t="str">
        <f t="shared" si="16"/>
        <v/>
      </c>
      <c r="AQ19" s="1854" t="str">
        <f t="shared" si="17"/>
        <v/>
      </c>
      <c r="AR19" s="1854" t="str">
        <f t="shared" si="18"/>
        <v/>
      </c>
      <c r="AS19" s="1854" t="str">
        <f t="shared" si="19"/>
        <v/>
      </c>
      <c r="AT19" s="1854" t="str">
        <f t="shared" si="20"/>
        <v/>
      </c>
      <c r="AU19" s="1854" t="str">
        <f t="shared" si="21"/>
        <v/>
      </c>
      <c r="AV19" s="1383" t="str">
        <f t="shared" si="22"/>
        <v/>
      </c>
      <c r="AW19" s="1384" t="str">
        <f t="shared" si="23"/>
        <v/>
      </c>
      <c r="AX19" s="1383" t="str">
        <f t="shared" si="24"/>
        <v/>
      </c>
      <c r="AY19" s="1385" t="str">
        <f t="shared" si="25"/>
        <v/>
      </c>
      <c r="AZ19" s="1385" t="str">
        <f t="shared" si="26"/>
        <v/>
      </c>
      <c r="BC19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19))),"")</f>
        <v/>
      </c>
      <c r="BD19" s="500" t="str">
        <f t="shared" si="27"/>
        <v/>
      </c>
      <c r="BE19" s="458" t="str">
        <f t="shared" si="28"/>
        <v/>
      </c>
      <c r="BF19" s="458" t="str">
        <f t="shared" si="29"/>
        <v/>
      </c>
    </row>
    <row r="20" spans="1:58" ht="43.5" customHeight="1">
      <c r="A20" s="2257"/>
      <c r="B20" s="42">
        <f>+PP!B38</f>
        <v>15</v>
      </c>
      <c r="C20" s="1024" t="str">
        <f>+PP!C38</f>
        <v>FILETE C/M C/T TRES PIELES 1.0-2.0 kg/pza</v>
      </c>
      <c r="D20" s="217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76"/>
      <c r="W20" s="551">
        <f t="shared" si="0"/>
        <v>0</v>
      </c>
      <c r="X20" s="149">
        <f t="shared" si="1"/>
        <v>0</v>
      </c>
      <c r="Y20" s="146">
        <f t="shared" si="30"/>
        <v>0</v>
      </c>
      <c r="AA20" s="1381" t="str">
        <f>IFERROR(INDEX($B$6:$B$53,_xlfn.AGGREGATE(15,6,(ROW($B$6:$B$53)-ROW($B$6)+1)/($W$6:$W$53&gt;0),ROWS($AA$6:AA20))),"")</f>
        <v/>
      </c>
      <c r="AB20" s="1382" t="str">
        <f t="shared" si="2"/>
        <v/>
      </c>
      <c r="AC20" s="1854" t="str">
        <f t="shared" si="3"/>
        <v/>
      </c>
      <c r="AD20" s="1854" t="str">
        <f t="shared" si="4"/>
        <v/>
      </c>
      <c r="AE20" s="1854" t="str">
        <f t="shared" si="5"/>
        <v/>
      </c>
      <c r="AF20" s="1854" t="str">
        <f t="shared" si="6"/>
        <v/>
      </c>
      <c r="AG20" s="1854" t="str">
        <f t="shared" si="7"/>
        <v/>
      </c>
      <c r="AH20" s="1854" t="str">
        <f t="shared" si="8"/>
        <v/>
      </c>
      <c r="AI20" s="1854" t="str">
        <f t="shared" si="9"/>
        <v/>
      </c>
      <c r="AJ20" s="1854" t="str">
        <f t="shared" si="10"/>
        <v/>
      </c>
      <c r="AK20" s="1854" t="str">
        <f t="shared" si="11"/>
        <v/>
      </c>
      <c r="AL20" s="1854" t="str">
        <f t="shared" si="12"/>
        <v/>
      </c>
      <c r="AM20" s="1854" t="str">
        <f t="shared" si="13"/>
        <v/>
      </c>
      <c r="AN20" s="1854" t="str">
        <f t="shared" si="14"/>
        <v/>
      </c>
      <c r="AO20" s="1854" t="str">
        <f t="shared" si="15"/>
        <v/>
      </c>
      <c r="AP20" s="1854" t="str">
        <f t="shared" si="16"/>
        <v/>
      </c>
      <c r="AQ20" s="1854" t="str">
        <f t="shared" si="17"/>
        <v/>
      </c>
      <c r="AR20" s="1854" t="str">
        <f t="shared" si="18"/>
        <v/>
      </c>
      <c r="AS20" s="1854" t="str">
        <f t="shared" si="19"/>
        <v/>
      </c>
      <c r="AT20" s="1854" t="str">
        <f t="shared" si="20"/>
        <v/>
      </c>
      <c r="AU20" s="1854" t="str">
        <f t="shared" si="21"/>
        <v/>
      </c>
      <c r="AV20" s="1383" t="str">
        <f t="shared" si="22"/>
        <v/>
      </c>
      <c r="AW20" s="1384" t="str">
        <f t="shared" si="23"/>
        <v/>
      </c>
      <c r="AX20" s="1383" t="str">
        <f t="shared" si="24"/>
        <v/>
      </c>
      <c r="AY20" s="1385" t="str">
        <f t="shared" si="25"/>
        <v/>
      </c>
      <c r="AZ20" s="1385" t="str">
        <f t="shared" si="26"/>
        <v/>
      </c>
      <c r="BC20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20))),"")</f>
        <v/>
      </c>
      <c r="BD20" s="500" t="str">
        <f t="shared" si="27"/>
        <v/>
      </c>
      <c r="BE20" s="458" t="str">
        <f t="shared" si="28"/>
        <v/>
      </c>
      <c r="BF20" s="458" t="str">
        <f t="shared" si="29"/>
        <v/>
      </c>
    </row>
    <row r="21" spans="1:58" ht="43.5" customHeight="1">
      <c r="A21" s="2257"/>
      <c r="B21" s="42">
        <f>+PP!B39</f>
        <v>16</v>
      </c>
      <c r="C21" s="1024" t="str">
        <f>+PP!C39</f>
        <v>FILETE C/M C/T TRES PIELES 2.0-4.0 kg/pza</v>
      </c>
      <c r="D21" s="217"/>
      <c r="E21" s="218"/>
      <c r="F21" s="218"/>
      <c r="G21" s="218"/>
      <c r="H21" s="218"/>
      <c r="I21" s="218"/>
      <c r="J21" s="218"/>
      <c r="K21" s="218"/>
      <c r="L21" s="218"/>
      <c r="M21" s="218"/>
      <c r="N21" s="218"/>
      <c r="O21" s="218"/>
      <c r="P21" s="218"/>
      <c r="Q21" s="218"/>
      <c r="R21" s="218"/>
      <c r="S21" s="218"/>
      <c r="T21" s="218"/>
      <c r="U21" s="218"/>
      <c r="V21" s="276"/>
      <c r="W21" s="551">
        <f t="shared" si="0"/>
        <v>0</v>
      </c>
      <c r="X21" s="149">
        <f t="shared" si="1"/>
        <v>0</v>
      </c>
      <c r="Y21" s="146">
        <f t="shared" si="30"/>
        <v>0</v>
      </c>
      <c r="AA21" s="1381" t="str">
        <f>IFERROR(INDEX($B$6:$B$53,_xlfn.AGGREGATE(15,6,(ROW($B$6:$B$53)-ROW($B$6)+1)/($W$6:$W$53&gt;0),ROWS($AA$6:AA21))),"")</f>
        <v/>
      </c>
      <c r="AB21" s="1382" t="str">
        <f t="shared" si="2"/>
        <v/>
      </c>
      <c r="AC21" s="1380" t="str">
        <f t="shared" si="3"/>
        <v/>
      </c>
      <c r="AD21" s="1380" t="str">
        <f t="shared" si="4"/>
        <v/>
      </c>
      <c r="AE21" s="1380" t="str">
        <f t="shared" si="5"/>
        <v/>
      </c>
      <c r="AF21" s="1380" t="str">
        <f t="shared" si="6"/>
        <v/>
      </c>
      <c r="AG21" s="1380" t="str">
        <f t="shared" si="7"/>
        <v/>
      </c>
      <c r="AH21" s="1380" t="str">
        <f t="shared" si="8"/>
        <v/>
      </c>
      <c r="AI21" s="1380" t="str">
        <f t="shared" si="9"/>
        <v/>
      </c>
      <c r="AJ21" s="1380" t="str">
        <f t="shared" si="10"/>
        <v/>
      </c>
      <c r="AK21" s="1380" t="str">
        <f t="shared" si="11"/>
        <v/>
      </c>
      <c r="AL21" s="1380" t="str">
        <f t="shared" si="12"/>
        <v/>
      </c>
      <c r="AM21" s="1380" t="str">
        <f t="shared" si="13"/>
        <v/>
      </c>
      <c r="AN21" s="1380" t="str">
        <f t="shared" si="14"/>
        <v/>
      </c>
      <c r="AO21" s="1380" t="str">
        <f t="shared" si="15"/>
        <v/>
      </c>
      <c r="AP21" s="1380" t="str">
        <f t="shared" si="16"/>
        <v/>
      </c>
      <c r="AQ21" s="1380" t="str">
        <f t="shared" si="17"/>
        <v/>
      </c>
      <c r="AR21" s="1380" t="str">
        <f t="shared" si="18"/>
        <v/>
      </c>
      <c r="AS21" s="1380" t="str">
        <f t="shared" si="19"/>
        <v/>
      </c>
      <c r="AT21" s="1380" t="str">
        <f t="shared" si="20"/>
        <v/>
      </c>
      <c r="AU21" s="1380" t="str">
        <f t="shared" si="21"/>
        <v/>
      </c>
      <c r="AV21" s="1383" t="str">
        <f t="shared" si="22"/>
        <v/>
      </c>
      <c r="AW21" s="1384" t="str">
        <f t="shared" si="23"/>
        <v/>
      </c>
      <c r="AX21" s="1383" t="str">
        <f t="shared" si="24"/>
        <v/>
      </c>
      <c r="AY21" s="1385" t="str">
        <f t="shared" si="25"/>
        <v/>
      </c>
      <c r="AZ21" s="1385" t="str">
        <f t="shared" si="26"/>
        <v/>
      </c>
      <c r="BC21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21))),"")</f>
        <v/>
      </c>
      <c r="BD21" s="500" t="str">
        <f t="shared" si="27"/>
        <v/>
      </c>
      <c r="BE21" s="458" t="str">
        <f t="shared" si="28"/>
        <v/>
      </c>
      <c r="BF21" s="458" t="str">
        <f t="shared" si="29"/>
        <v/>
      </c>
    </row>
    <row r="22" spans="1:58" ht="43.5" customHeight="1">
      <c r="A22" s="2257"/>
      <c r="B22" s="42">
        <f>+PP!B40</f>
        <v>17</v>
      </c>
      <c r="C22" s="1024" t="str">
        <f>+PP!C40</f>
        <v>FILETE C/M C/T ENTERO BLANCO 1.0-2.0 kg/pza</v>
      </c>
      <c r="D22" s="217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218"/>
      <c r="Q22" s="1198"/>
      <c r="R22" s="388"/>
      <c r="S22" s="388"/>
      <c r="T22" s="388"/>
      <c r="U22" s="388"/>
      <c r="V22" s="1502"/>
      <c r="W22" s="551">
        <f t="shared" si="0"/>
        <v>0</v>
      </c>
      <c r="X22" s="149">
        <f t="shared" si="1"/>
        <v>0</v>
      </c>
      <c r="Y22" s="146">
        <f t="shared" si="30"/>
        <v>0</v>
      </c>
      <c r="AA22" s="1388" t="str">
        <f>IFERROR(INDEX($B$6:$B$53,_xlfn.AGGREGATE(15,6,(ROW($B$6:$B$53)-ROW($B$6)+1)/($W$6:$W$53&gt;0),ROWS($AA$6:AA22))),"")</f>
        <v/>
      </c>
      <c r="AB22" s="1390" t="str">
        <f t="shared" si="2"/>
        <v/>
      </c>
      <c r="AC22" s="1190" t="str">
        <f t="shared" si="3"/>
        <v/>
      </c>
      <c r="AD22" s="1190" t="str">
        <f t="shared" si="4"/>
        <v/>
      </c>
      <c r="AE22" s="1190" t="str">
        <f t="shared" si="5"/>
        <v/>
      </c>
      <c r="AF22" s="1190" t="str">
        <f t="shared" si="6"/>
        <v/>
      </c>
      <c r="AG22" s="1190" t="str">
        <f t="shared" si="7"/>
        <v/>
      </c>
      <c r="AH22" s="1190" t="str">
        <f t="shared" si="8"/>
        <v/>
      </c>
      <c r="AI22" s="1190" t="str">
        <f t="shared" si="9"/>
        <v/>
      </c>
      <c r="AJ22" s="1190" t="str">
        <f t="shared" si="10"/>
        <v/>
      </c>
      <c r="AK22" s="1190" t="str">
        <f t="shared" si="11"/>
        <v/>
      </c>
      <c r="AL22" s="1190" t="str">
        <f t="shared" si="12"/>
        <v/>
      </c>
      <c r="AM22" s="1190" t="str">
        <f t="shared" si="13"/>
        <v/>
      </c>
      <c r="AN22" s="1190" t="str">
        <f t="shared" si="14"/>
        <v/>
      </c>
      <c r="AO22" s="1190" t="str">
        <f t="shared" si="15"/>
        <v/>
      </c>
      <c r="AP22" s="1190" t="str">
        <f t="shared" si="16"/>
        <v/>
      </c>
      <c r="AQ22" s="1190" t="str">
        <f t="shared" si="17"/>
        <v/>
      </c>
      <c r="AR22" s="1190" t="str">
        <f t="shared" si="18"/>
        <v/>
      </c>
      <c r="AS22" s="1190" t="str">
        <f t="shared" si="19"/>
        <v/>
      </c>
      <c r="AT22" s="1190" t="str">
        <f t="shared" si="20"/>
        <v/>
      </c>
      <c r="AU22" s="1190" t="str">
        <f t="shared" si="21"/>
        <v/>
      </c>
      <c r="AV22" s="1389" t="str">
        <f t="shared" si="22"/>
        <v/>
      </c>
      <c r="AW22" s="1176" t="str">
        <f t="shared" si="23"/>
        <v/>
      </c>
      <c r="AX22" s="1175" t="str">
        <f t="shared" si="24"/>
        <v/>
      </c>
      <c r="AY22" s="1172" t="str">
        <f t="shared" si="25"/>
        <v/>
      </c>
      <c r="AZ22" s="1172" t="str">
        <f t="shared" si="26"/>
        <v/>
      </c>
      <c r="BC22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22))),"")</f>
        <v/>
      </c>
      <c r="BD22" s="500" t="str">
        <f t="shared" si="27"/>
        <v/>
      </c>
      <c r="BE22" s="458" t="str">
        <f t="shared" si="28"/>
        <v/>
      </c>
      <c r="BF22" s="458" t="str">
        <f t="shared" si="29"/>
        <v/>
      </c>
    </row>
    <row r="23" spans="1:58" ht="43.5" customHeight="1">
      <c r="A23" s="2257"/>
      <c r="B23" s="42">
        <f>+PP!B41</f>
        <v>18</v>
      </c>
      <c r="C23" s="1024" t="str">
        <f>+PP!C41</f>
        <v>FILETE C/M C/T ENTERO BLANCO 2.0-4.0 kg/pza</v>
      </c>
      <c r="D23" s="217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218"/>
      <c r="Q23" s="1198"/>
      <c r="R23" s="388"/>
      <c r="S23" s="388"/>
      <c r="T23" s="388"/>
      <c r="U23" s="388"/>
      <c r="V23" s="1502"/>
      <c r="W23" s="551">
        <f t="shared" si="0"/>
        <v>0</v>
      </c>
      <c r="X23" s="149">
        <f t="shared" si="1"/>
        <v>0</v>
      </c>
      <c r="Y23" s="146">
        <f t="shared" si="30"/>
        <v>0</v>
      </c>
      <c r="AA23" s="1173" t="str">
        <f>IFERROR(INDEX($B$6:$B$53,_xlfn.AGGREGATE(15,6,(ROW($B$6:$B$53)-ROW($B$6)+1)/($W$6:$W$53&gt;0),ROWS($AA$6:AA23))),"")</f>
        <v/>
      </c>
      <c r="AB23" s="1179" t="str">
        <f t="shared" si="2"/>
        <v/>
      </c>
      <c r="AC23" s="1174" t="str">
        <f t="shared" si="3"/>
        <v/>
      </c>
      <c r="AD23" s="1174" t="str">
        <f t="shared" si="4"/>
        <v/>
      </c>
      <c r="AE23" s="1174" t="str">
        <f t="shared" si="5"/>
        <v/>
      </c>
      <c r="AF23" s="1174" t="str">
        <f t="shared" si="6"/>
        <v/>
      </c>
      <c r="AG23" s="1174" t="str">
        <f t="shared" si="7"/>
        <v/>
      </c>
      <c r="AH23" s="1174" t="str">
        <f t="shared" si="8"/>
        <v/>
      </c>
      <c r="AI23" s="1174" t="str">
        <f t="shared" si="9"/>
        <v/>
      </c>
      <c r="AJ23" s="1174" t="str">
        <f t="shared" si="10"/>
        <v/>
      </c>
      <c r="AK23" s="1174" t="str">
        <f t="shared" si="11"/>
        <v/>
      </c>
      <c r="AL23" s="1174" t="str">
        <f t="shared" si="12"/>
        <v/>
      </c>
      <c r="AM23" s="1174" t="str">
        <f t="shared" si="13"/>
        <v/>
      </c>
      <c r="AN23" s="1174" t="str">
        <f t="shared" si="14"/>
        <v/>
      </c>
      <c r="AO23" s="1174" t="str">
        <f t="shared" si="15"/>
        <v/>
      </c>
      <c r="AP23" s="1174" t="str">
        <f t="shared" si="16"/>
        <v/>
      </c>
      <c r="AQ23" s="1174" t="str">
        <f t="shared" si="17"/>
        <v/>
      </c>
      <c r="AR23" s="1174" t="str">
        <f t="shared" si="18"/>
        <v/>
      </c>
      <c r="AS23" s="1174" t="str">
        <f t="shared" si="19"/>
        <v/>
      </c>
      <c r="AT23" s="1174" t="str">
        <f t="shared" si="20"/>
        <v/>
      </c>
      <c r="AU23" s="1174" t="str">
        <f t="shared" si="21"/>
        <v/>
      </c>
      <c r="AV23" s="1175" t="str">
        <f t="shared" si="22"/>
        <v/>
      </c>
      <c r="AW23" s="1176" t="str">
        <f t="shared" si="23"/>
        <v/>
      </c>
      <c r="AX23" s="1175" t="str">
        <f t="shared" si="24"/>
        <v/>
      </c>
      <c r="AY23" s="1172" t="str">
        <f t="shared" si="25"/>
        <v/>
      </c>
      <c r="AZ23" s="1172" t="str">
        <f t="shared" si="26"/>
        <v/>
      </c>
      <c r="BC23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23))),"")</f>
        <v/>
      </c>
      <c r="BD23" s="500" t="str">
        <f t="shared" si="27"/>
        <v/>
      </c>
      <c r="BE23" s="458" t="str">
        <f t="shared" si="28"/>
        <v/>
      </c>
      <c r="BF23" s="458" t="str">
        <f t="shared" si="29"/>
        <v/>
      </c>
    </row>
    <row r="24" spans="1:58" ht="43.5" customHeight="1" thickBot="1">
      <c r="A24" s="2257"/>
      <c r="B24" s="40">
        <f>+PP!B42</f>
        <v>19</v>
      </c>
      <c r="C24" s="1025" t="str">
        <f>+PP!C42</f>
        <v>FILETE LP C/M C/T ENTERO 2.0-4.0 kg/pza</v>
      </c>
      <c r="D24" s="214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3002"/>
      <c r="R24" s="1008"/>
      <c r="S24" s="1008"/>
      <c r="T24" s="1008"/>
      <c r="U24" s="1008"/>
      <c r="V24" s="1500"/>
      <c r="W24" s="2988">
        <f t="shared" si="0"/>
        <v>0</v>
      </c>
      <c r="X24" s="150">
        <f t="shared" si="1"/>
        <v>0</v>
      </c>
      <c r="Y24" s="147">
        <f t="shared" si="30"/>
        <v>0</v>
      </c>
      <c r="AA24" s="1173" t="str">
        <f>IFERROR(INDEX($B$6:$B$53,_xlfn.AGGREGATE(15,6,(ROW($B$6:$B$53)-ROW($B$6)+1)/($W$6:$W$53&gt;0),ROWS($AA$6:AA24))),"")</f>
        <v/>
      </c>
      <c r="AB24" s="1179" t="str">
        <f t="shared" si="2"/>
        <v/>
      </c>
      <c r="AC24" s="1174" t="str">
        <f t="shared" si="3"/>
        <v/>
      </c>
      <c r="AD24" s="1174" t="str">
        <f t="shared" si="4"/>
        <v/>
      </c>
      <c r="AE24" s="1174" t="str">
        <f t="shared" si="5"/>
        <v/>
      </c>
      <c r="AF24" s="1174" t="str">
        <f t="shared" si="6"/>
        <v/>
      </c>
      <c r="AG24" s="1174" t="str">
        <f t="shared" si="7"/>
        <v/>
      </c>
      <c r="AH24" s="1174" t="str">
        <f t="shared" si="8"/>
        <v/>
      </c>
      <c r="AI24" s="1174" t="str">
        <f t="shared" si="9"/>
        <v/>
      </c>
      <c r="AJ24" s="1174" t="str">
        <f t="shared" si="10"/>
        <v/>
      </c>
      <c r="AK24" s="1174" t="str">
        <f t="shared" si="11"/>
        <v/>
      </c>
      <c r="AL24" s="1174" t="str">
        <f t="shared" si="12"/>
        <v/>
      </c>
      <c r="AM24" s="1174" t="str">
        <f t="shared" si="13"/>
        <v/>
      </c>
      <c r="AN24" s="1174" t="str">
        <f t="shared" si="14"/>
        <v/>
      </c>
      <c r="AO24" s="1174" t="str">
        <f t="shared" si="15"/>
        <v/>
      </c>
      <c r="AP24" s="1174" t="str">
        <f t="shared" si="16"/>
        <v/>
      </c>
      <c r="AQ24" s="1174" t="str">
        <f t="shared" si="17"/>
        <v/>
      </c>
      <c r="AR24" s="1174" t="str">
        <f t="shared" si="18"/>
        <v/>
      </c>
      <c r="AS24" s="1174" t="str">
        <f t="shared" si="19"/>
        <v/>
      </c>
      <c r="AT24" s="1174" t="str">
        <f t="shared" si="20"/>
        <v/>
      </c>
      <c r="AU24" s="1174" t="str">
        <f t="shared" si="21"/>
        <v/>
      </c>
      <c r="AV24" s="1175" t="str">
        <f t="shared" si="22"/>
        <v/>
      </c>
      <c r="AW24" s="1176" t="str">
        <f t="shared" si="23"/>
        <v/>
      </c>
      <c r="AX24" s="1175" t="str">
        <f t="shared" si="24"/>
        <v/>
      </c>
      <c r="AY24" s="1172" t="str">
        <f t="shared" si="25"/>
        <v/>
      </c>
      <c r="AZ24" s="1172" t="str">
        <f t="shared" si="26"/>
        <v/>
      </c>
      <c r="BC24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24))),"")</f>
        <v/>
      </c>
      <c r="BD24" s="500" t="str">
        <f t="shared" si="27"/>
        <v/>
      </c>
      <c r="BE24" s="458" t="str">
        <f t="shared" si="28"/>
        <v/>
      </c>
      <c r="BF24" s="458" t="str">
        <f t="shared" si="29"/>
        <v/>
      </c>
    </row>
    <row r="25" spans="1:58" ht="43.5" customHeight="1">
      <c r="A25" s="2257"/>
      <c r="B25" s="41">
        <f>+PP!B43</f>
        <v>20</v>
      </c>
      <c r="C25" s="1023" t="str">
        <f>+PP!C43</f>
        <v>MANTO BLANCO C/M C/T 500-1000 g/pza</v>
      </c>
      <c r="D25" s="211"/>
      <c r="E25" s="212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1007"/>
      <c r="S25" s="1007"/>
      <c r="T25" s="1007"/>
      <c r="U25" s="1007"/>
      <c r="V25" s="1497"/>
      <c r="W25" s="548">
        <f t="shared" si="0"/>
        <v>0</v>
      </c>
      <c r="X25" s="148">
        <f t="shared" si="1"/>
        <v>0</v>
      </c>
      <c r="Y25" s="145">
        <f t="shared" si="30"/>
        <v>0</v>
      </c>
      <c r="AA25" s="1173" t="str">
        <f>IFERROR(INDEX($B$6:$B$53,_xlfn.AGGREGATE(15,6,(ROW($B$6:$B$53)-ROW($B$6)+1)/($W$6:$W$53&gt;0),ROWS($AA$6:AA25))),"")</f>
        <v/>
      </c>
      <c r="AB25" s="1179" t="str">
        <f t="shared" si="2"/>
        <v/>
      </c>
      <c r="AC25" s="1174" t="str">
        <f t="shared" si="3"/>
        <v/>
      </c>
      <c r="AD25" s="1174" t="str">
        <f t="shared" si="4"/>
        <v/>
      </c>
      <c r="AE25" s="1174" t="str">
        <f t="shared" si="5"/>
        <v/>
      </c>
      <c r="AF25" s="1174" t="str">
        <f t="shared" si="6"/>
        <v/>
      </c>
      <c r="AG25" s="1174" t="str">
        <f t="shared" si="7"/>
        <v/>
      </c>
      <c r="AH25" s="1174" t="str">
        <f t="shared" si="8"/>
        <v/>
      </c>
      <c r="AI25" s="1174" t="str">
        <f t="shared" si="9"/>
        <v/>
      </c>
      <c r="AJ25" s="1174" t="str">
        <f t="shared" si="10"/>
        <v/>
      </c>
      <c r="AK25" s="1174" t="str">
        <f t="shared" si="11"/>
        <v/>
      </c>
      <c r="AL25" s="1174" t="str">
        <f t="shared" si="12"/>
        <v/>
      </c>
      <c r="AM25" s="1174" t="str">
        <f t="shared" si="13"/>
        <v/>
      </c>
      <c r="AN25" s="1174" t="str">
        <f t="shared" si="14"/>
        <v/>
      </c>
      <c r="AO25" s="1174" t="str">
        <f t="shared" si="15"/>
        <v/>
      </c>
      <c r="AP25" s="1174" t="str">
        <f t="shared" si="16"/>
        <v/>
      </c>
      <c r="AQ25" s="1174" t="str">
        <f t="shared" si="17"/>
        <v/>
      </c>
      <c r="AR25" s="1174" t="str">
        <f t="shared" si="18"/>
        <v/>
      </c>
      <c r="AS25" s="1174" t="str">
        <f t="shared" si="19"/>
        <v/>
      </c>
      <c r="AT25" s="1174" t="str">
        <f t="shared" si="20"/>
        <v/>
      </c>
      <c r="AU25" s="1174" t="str">
        <f t="shared" si="21"/>
        <v/>
      </c>
      <c r="AV25" s="1175" t="str">
        <f t="shared" si="22"/>
        <v/>
      </c>
      <c r="AW25" s="1176" t="str">
        <f t="shared" si="23"/>
        <v/>
      </c>
      <c r="AX25" s="1175" t="str">
        <f t="shared" si="24"/>
        <v/>
      </c>
      <c r="AY25" s="1172" t="str">
        <f t="shared" si="25"/>
        <v/>
      </c>
      <c r="AZ25" s="1172" t="str">
        <f t="shared" si="26"/>
        <v/>
      </c>
      <c r="BC25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25))),"")</f>
        <v/>
      </c>
      <c r="BD25" s="500" t="str">
        <f t="shared" si="27"/>
        <v/>
      </c>
      <c r="BE25" s="458" t="str">
        <f t="shared" si="28"/>
        <v/>
      </c>
      <c r="BF25" s="458" t="str">
        <f t="shared" si="29"/>
        <v/>
      </c>
    </row>
    <row r="26" spans="1:58" ht="43.5" customHeight="1">
      <c r="A26" s="2257"/>
      <c r="B26" s="42">
        <f>+PP!B44</f>
        <v>21</v>
      </c>
      <c r="C26" s="1024" t="str">
        <f>+PP!C44</f>
        <v>MANTO BLANCO C/M C/T 1.0-2.0 kg/pza</v>
      </c>
      <c r="D26" s="217"/>
      <c r="E26" s="218"/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388"/>
      <c r="S26" s="388"/>
      <c r="T26" s="388"/>
      <c r="U26" s="388"/>
      <c r="V26" s="1502"/>
      <c r="W26" s="551">
        <f t="shared" si="0"/>
        <v>0</v>
      </c>
      <c r="X26" s="149">
        <f t="shared" si="1"/>
        <v>0</v>
      </c>
      <c r="Y26" s="146">
        <f t="shared" si="30"/>
        <v>0</v>
      </c>
      <c r="AA26" s="1173" t="str">
        <f>IFERROR(INDEX($B$6:$B$53,_xlfn.AGGREGATE(15,6,(ROW($B$6:$B$53)-ROW($B$6)+1)/($W$6:$W$53&gt;0),ROWS($AA$6:AA26))),"")</f>
        <v/>
      </c>
      <c r="AB26" s="1179" t="str">
        <f t="shared" si="2"/>
        <v/>
      </c>
      <c r="AC26" s="1174" t="str">
        <f t="shared" si="3"/>
        <v/>
      </c>
      <c r="AD26" s="1174" t="str">
        <f t="shared" si="4"/>
        <v/>
      </c>
      <c r="AE26" s="1174" t="str">
        <f t="shared" si="5"/>
        <v/>
      </c>
      <c r="AF26" s="1174" t="str">
        <f t="shared" si="6"/>
        <v/>
      </c>
      <c r="AG26" s="1174" t="str">
        <f t="shared" si="7"/>
        <v/>
      </c>
      <c r="AH26" s="1174" t="str">
        <f t="shared" si="8"/>
        <v/>
      </c>
      <c r="AI26" s="1174" t="str">
        <f t="shared" si="9"/>
        <v/>
      </c>
      <c r="AJ26" s="1174" t="str">
        <f t="shared" si="10"/>
        <v/>
      </c>
      <c r="AK26" s="1174" t="str">
        <f t="shared" si="11"/>
        <v/>
      </c>
      <c r="AL26" s="1174" t="str">
        <f t="shared" si="12"/>
        <v/>
      </c>
      <c r="AM26" s="1174" t="str">
        <f t="shared" si="13"/>
        <v/>
      </c>
      <c r="AN26" s="1174" t="str">
        <f t="shared" si="14"/>
        <v/>
      </c>
      <c r="AO26" s="1174" t="str">
        <f t="shared" si="15"/>
        <v/>
      </c>
      <c r="AP26" s="1174" t="str">
        <f t="shared" si="16"/>
        <v/>
      </c>
      <c r="AQ26" s="1174" t="str">
        <f t="shared" si="17"/>
        <v/>
      </c>
      <c r="AR26" s="1174" t="str">
        <f t="shared" si="18"/>
        <v/>
      </c>
      <c r="AS26" s="1174" t="str">
        <f t="shared" si="19"/>
        <v/>
      </c>
      <c r="AT26" s="1174" t="str">
        <f t="shared" si="20"/>
        <v/>
      </c>
      <c r="AU26" s="1174" t="str">
        <f t="shared" si="21"/>
        <v/>
      </c>
      <c r="AV26" s="1175" t="str">
        <f t="shared" si="22"/>
        <v/>
      </c>
      <c r="AW26" s="1176" t="str">
        <f t="shared" si="23"/>
        <v/>
      </c>
      <c r="AX26" s="1175" t="str">
        <f t="shared" si="24"/>
        <v/>
      </c>
      <c r="AY26" s="1172" t="str">
        <f t="shared" si="25"/>
        <v/>
      </c>
      <c r="AZ26" s="1172" t="str">
        <f t="shared" si="26"/>
        <v/>
      </c>
      <c r="BC2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26))),"")</f>
        <v/>
      </c>
      <c r="BD26" s="500" t="str">
        <f t="shared" si="27"/>
        <v/>
      </c>
      <c r="BE26" s="458" t="str">
        <f t="shared" si="28"/>
        <v/>
      </c>
      <c r="BF26" s="458" t="str">
        <f t="shared" si="29"/>
        <v/>
      </c>
    </row>
    <row r="27" spans="1:58" ht="43.5" customHeight="1">
      <c r="A27" s="2257"/>
      <c r="B27" s="42">
        <f>+PP!B45</f>
        <v>22</v>
      </c>
      <c r="C27" s="1024" t="str">
        <f>+PP!C45</f>
        <v>MANTO BLANCO C/M C/T 2.0-4.0 kg/pza</v>
      </c>
      <c r="D27" s="217"/>
      <c r="E27" s="218"/>
      <c r="F27" s="218"/>
      <c r="G27" s="21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388"/>
      <c r="S27" s="388"/>
      <c r="T27" s="388"/>
      <c r="U27" s="388"/>
      <c r="V27" s="1502"/>
      <c r="W27" s="551">
        <f t="shared" si="0"/>
        <v>0</v>
      </c>
      <c r="X27" s="149">
        <f t="shared" si="1"/>
        <v>0</v>
      </c>
      <c r="Y27" s="146">
        <f t="shared" si="30"/>
        <v>0</v>
      </c>
      <c r="AA27" s="1173" t="str">
        <f>IFERROR(INDEX($B$6:$B$53,_xlfn.AGGREGATE(15,6,(ROW($B$6:$B$53)-ROW($B$6)+1)/($W$6:$W$53&gt;0),ROWS($AA$6:AA27))),"")</f>
        <v/>
      </c>
      <c r="AB27" s="1179" t="str">
        <f t="shared" si="2"/>
        <v/>
      </c>
      <c r="AC27" s="1174" t="str">
        <f t="shared" si="3"/>
        <v/>
      </c>
      <c r="AD27" s="1174" t="str">
        <f t="shared" si="4"/>
        <v/>
      </c>
      <c r="AE27" s="1174" t="str">
        <f t="shared" si="5"/>
        <v/>
      </c>
      <c r="AF27" s="1174" t="str">
        <f t="shared" si="6"/>
        <v/>
      </c>
      <c r="AG27" s="1174" t="str">
        <f t="shared" si="7"/>
        <v/>
      </c>
      <c r="AH27" s="1174" t="str">
        <f t="shared" si="8"/>
        <v/>
      </c>
      <c r="AI27" s="1174" t="str">
        <f t="shared" si="9"/>
        <v/>
      </c>
      <c r="AJ27" s="1174" t="str">
        <f t="shared" si="10"/>
        <v/>
      </c>
      <c r="AK27" s="1174" t="str">
        <f t="shared" si="11"/>
        <v/>
      </c>
      <c r="AL27" s="1174" t="str">
        <f t="shared" si="12"/>
        <v/>
      </c>
      <c r="AM27" s="1174" t="str">
        <f t="shared" si="13"/>
        <v/>
      </c>
      <c r="AN27" s="1174" t="str">
        <f t="shared" si="14"/>
        <v/>
      </c>
      <c r="AO27" s="1174" t="str">
        <f t="shared" si="15"/>
        <v/>
      </c>
      <c r="AP27" s="1174" t="str">
        <f t="shared" si="16"/>
        <v/>
      </c>
      <c r="AQ27" s="1174" t="str">
        <f t="shared" si="17"/>
        <v/>
      </c>
      <c r="AR27" s="1174" t="str">
        <f t="shared" si="18"/>
        <v/>
      </c>
      <c r="AS27" s="1174" t="str">
        <f t="shared" si="19"/>
        <v/>
      </c>
      <c r="AT27" s="1174" t="str">
        <f t="shared" si="20"/>
        <v/>
      </c>
      <c r="AU27" s="1174" t="str">
        <f t="shared" si="21"/>
        <v/>
      </c>
      <c r="AV27" s="1175" t="str">
        <f t="shared" si="22"/>
        <v/>
      </c>
      <c r="AW27" s="1176" t="str">
        <f t="shared" si="23"/>
        <v/>
      </c>
      <c r="AX27" s="1175" t="str">
        <f t="shared" si="24"/>
        <v/>
      </c>
      <c r="AY27" s="1172" t="str">
        <f t="shared" si="25"/>
        <v/>
      </c>
      <c r="AZ27" s="1172" t="str">
        <f t="shared" si="26"/>
        <v/>
      </c>
      <c r="BC2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27))),"")</f>
        <v/>
      </c>
      <c r="BD27" s="500" t="str">
        <f t="shared" si="27"/>
        <v/>
      </c>
      <c r="BE27" s="458" t="str">
        <f t="shared" si="28"/>
        <v/>
      </c>
      <c r="BF27" s="458" t="str">
        <f t="shared" si="29"/>
        <v/>
      </c>
    </row>
    <row r="28" spans="1:58" ht="43.5" customHeight="1">
      <c r="A28" s="2257"/>
      <c r="B28" s="42">
        <f>+PP!B46</f>
        <v>23</v>
      </c>
      <c r="C28" s="1024" t="str">
        <f>+PP!C46</f>
        <v>MANTO LP C/M C/T 500-1000 g/pza</v>
      </c>
      <c r="D28" s="217"/>
      <c r="E28" s="218"/>
      <c r="F28" s="218"/>
      <c r="G28" s="218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388"/>
      <c r="S28" s="388"/>
      <c r="T28" s="388"/>
      <c r="U28" s="388"/>
      <c r="V28" s="1502"/>
      <c r="W28" s="551">
        <f t="shared" si="0"/>
        <v>0</v>
      </c>
      <c r="X28" s="149">
        <f t="shared" si="1"/>
        <v>0</v>
      </c>
      <c r="Y28" s="146">
        <f t="shared" si="30"/>
        <v>0</v>
      </c>
      <c r="AA28" s="1173" t="str">
        <f>IFERROR(INDEX($B$6:$B$53,_xlfn.AGGREGATE(15,6,(ROW($B$6:$B$53)-ROW($B$6)+1)/($W$6:$W$53&gt;0),ROWS($AA$6:AA28))),"")</f>
        <v/>
      </c>
      <c r="AB28" s="1179" t="str">
        <f t="shared" si="2"/>
        <v/>
      </c>
      <c r="AC28" s="1174" t="str">
        <f t="shared" si="3"/>
        <v/>
      </c>
      <c r="AD28" s="1174" t="str">
        <f t="shared" si="4"/>
        <v/>
      </c>
      <c r="AE28" s="1174" t="str">
        <f t="shared" si="5"/>
        <v/>
      </c>
      <c r="AF28" s="1174" t="str">
        <f t="shared" si="6"/>
        <v/>
      </c>
      <c r="AG28" s="1174" t="str">
        <f t="shared" si="7"/>
        <v/>
      </c>
      <c r="AH28" s="1174" t="str">
        <f t="shared" si="8"/>
        <v/>
      </c>
      <c r="AI28" s="1174" t="str">
        <f t="shared" si="9"/>
        <v/>
      </c>
      <c r="AJ28" s="1174" t="str">
        <f t="shared" si="10"/>
        <v/>
      </c>
      <c r="AK28" s="1174" t="str">
        <f t="shared" si="11"/>
        <v/>
      </c>
      <c r="AL28" s="1174" t="str">
        <f t="shared" si="12"/>
        <v/>
      </c>
      <c r="AM28" s="1174" t="str">
        <f t="shared" si="13"/>
        <v/>
      </c>
      <c r="AN28" s="1174" t="str">
        <f t="shared" si="14"/>
        <v/>
      </c>
      <c r="AO28" s="1174" t="str">
        <f t="shared" si="15"/>
        <v/>
      </c>
      <c r="AP28" s="1174" t="str">
        <f t="shared" si="16"/>
        <v/>
      </c>
      <c r="AQ28" s="1174" t="str">
        <f t="shared" si="17"/>
        <v/>
      </c>
      <c r="AR28" s="1174" t="str">
        <f t="shared" si="18"/>
        <v/>
      </c>
      <c r="AS28" s="1174" t="str">
        <f t="shared" si="19"/>
        <v/>
      </c>
      <c r="AT28" s="1174" t="str">
        <f t="shared" si="20"/>
        <v/>
      </c>
      <c r="AU28" s="1174" t="str">
        <f t="shared" si="21"/>
        <v/>
      </c>
      <c r="AV28" s="1175" t="str">
        <f t="shared" si="22"/>
        <v/>
      </c>
      <c r="AW28" s="1176" t="str">
        <f t="shared" si="23"/>
        <v/>
      </c>
      <c r="AX28" s="1175" t="str">
        <f t="shared" si="24"/>
        <v/>
      </c>
      <c r="AY28" s="1172" t="str">
        <f t="shared" si="25"/>
        <v/>
      </c>
      <c r="AZ28" s="1172" t="str">
        <f t="shared" si="26"/>
        <v/>
      </c>
      <c r="BC28" s="676" t="s">
        <v>514</v>
      </c>
      <c r="BD28" s="676"/>
      <c r="BE28" s="676">
        <f>COUNT($BC$6:$BC$27)</f>
        <v>0</v>
      </c>
      <c r="BF28" s="676"/>
    </row>
    <row r="29" spans="1:58" ht="42" customHeight="1">
      <c r="A29" s="2257"/>
      <c r="B29" s="42">
        <f>+PP!B47</f>
        <v>24</v>
      </c>
      <c r="C29" s="1024" t="str">
        <f>+PP!C47</f>
        <v>MANTO LP C/M C/T 1.0-2.0 Kg/pza</v>
      </c>
      <c r="D29" s="217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388"/>
      <c r="S29" s="388"/>
      <c r="T29" s="388"/>
      <c r="U29" s="388"/>
      <c r="V29" s="1502"/>
      <c r="W29" s="551">
        <f t="shared" si="0"/>
        <v>0</v>
      </c>
      <c r="X29" s="149">
        <f t="shared" si="1"/>
        <v>0</v>
      </c>
      <c r="Y29" s="168">
        <f t="shared" si="30"/>
        <v>0</v>
      </c>
      <c r="AA29" s="1173" t="str">
        <f>IFERROR(INDEX($B$6:$B$53,_xlfn.AGGREGATE(15,6,(ROW($B$6:$B$53)-ROW($B$6)+1)/($W$6:$W$53&gt;0),ROWS($AA$6:AA29))),"")</f>
        <v/>
      </c>
      <c r="AB29" s="1179" t="str">
        <f t="shared" si="2"/>
        <v/>
      </c>
      <c r="AC29" s="1174" t="str">
        <f t="shared" si="3"/>
        <v/>
      </c>
      <c r="AD29" s="1174" t="str">
        <f t="shared" si="4"/>
        <v/>
      </c>
      <c r="AE29" s="1174" t="str">
        <f t="shared" si="5"/>
        <v/>
      </c>
      <c r="AF29" s="1174" t="str">
        <f t="shared" si="6"/>
        <v/>
      </c>
      <c r="AG29" s="1174" t="str">
        <f t="shared" si="7"/>
        <v/>
      </c>
      <c r="AH29" s="1174" t="str">
        <f t="shared" si="8"/>
        <v/>
      </c>
      <c r="AI29" s="1174" t="str">
        <f t="shared" si="9"/>
        <v/>
      </c>
      <c r="AJ29" s="1174" t="str">
        <f t="shared" si="10"/>
        <v/>
      </c>
      <c r="AK29" s="1174" t="str">
        <f t="shared" si="11"/>
        <v/>
      </c>
      <c r="AL29" s="1174" t="str">
        <f t="shared" si="12"/>
        <v/>
      </c>
      <c r="AM29" s="1174" t="str">
        <f t="shared" si="13"/>
        <v/>
      </c>
      <c r="AN29" s="1174" t="str">
        <f t="shared" si="14"/>
        <v/>
      </c>
      <c r="AO29" s="1174" t="str">
        <f t="shared" si="15"/>
        <v/>
      </c>
      <c r="AP29" s="1174" t="str">
        <f t="shared" si="16"/>
        <v/>
      </c>
      <c r="AQ29" s="1174" t="str">
        <f t="shared" si="17"/>
        <v/>
      </c>
      <c r="AR29" s="1174" t="str">
        <f t="shared" si="18"/>
        <v/>
      </c>
      <c r="AS29" s="1174" t="str">
        <f t="shared" si="19"/>
        <v/>
      </c>
      <c r="AT29" s="1174" t="str">
        <f t="shared" si="20"/>
        <v/>
      </c>
      <c r="AU29" s="1174" t="str">
        <f t="shared" si="21"/>
        <v/>
      </c>
      <c r="AV29" s="1175" t="str">
        <f t="shared" si="22"/>
        <v/>
      </c>
      <c r="AW29" s="1177" t="str">
        <f t="shared" si="23"/>
        <v/>
      </c>
      <c r="AX29" s="1178" t="str">
        <f t="shared" si="24"/>
        <v/>
      </c>
      <c r="AY29" s="1172" t="str">
        <f t="shared" si="25"/>
        <v/>
      </c>
      <c r="AZ29" s="1172" t="str">
        <f t="shared" si="26"/>
        <v/>
      </c>
    </row>
    <row r="30" spans="1:58" ht="42" customHeight="1" thickBot="1">
      <c r="A30" s="2257"/>
      <c r="B30" s="537">
        <f>+PP!B48</f>
        <v>25</v>
      </c>
      <c r="C30" s="1026" t="str">
        <f>+PP!C48</f>
        <v>MANTO LP C/M C/T 2.0-4.0 Kg/pza</v>
      </c>
      <c r="D30" s="226"/>
      <c r="E30" s="227"/>
      <c r="F30" s="227"/>
      <c r="G30" s="227"/>
      <c r="H30" s="227"/>
      <c r="I30" s="227"/>
      <c r="J30" s="227"/>
      <c r="K30" s="227"/>
      <c r="L30" s="227"/>
      <c r="M30" s="227"/>
      <c r="N30" s="227"/>
      <c r="O30" s="227"/>
      <c r="P30" s="227"/>
      <c r="Q30" s="227"/>
      <c r="R30" s="1154"/>
      <c r="S30" s="1154"/>
      <c r="T30" s="1154"/>
      <c r="U30" s="1154"/>
      <c r="V30" s="1957"/>
      <c r="W30" s="555">
        <f t="shared" si="0"/>
        <v>0</v>
      </c>
      <c r="X30" s="155">
        <f t="shared" si="1"/>
        <v>0</v>
      </c>
      <c r="Y30" s="156">
        <f t="shared" si="30"/>
        <v>0</v>
      </c>
      <c r="AA30" s="1729" t="str">
        <f>IFERROR(INDEX($B$6:$B$53,_xlfn.AGGREGATE(15,6,(ROW($B$6:$B$53)-ROW($B$6)+1)/($W$6:$W$53&gt;0),ROWS($AA$6:AA30))),"")</f>
        <v/>
      </c>
      <c r="AB30" s="1855" t="str">
        <f t="shared" si="2"/>
        <v/>
      </c>
      <c r="AC30" s="1856" t="str">
        <f t="shared" si="3"/>
        <v/>
      </c>
      <c r="AD30" s="1856" t="str">
        <f t="shared" si="4"/>
        <v/>
      </c>
      <c r="AE30" s="1856" t="str">
        <f t="shared" si="5"/>
        <v/>
      </c>
      <c r="AF30" s="1856" t="str">
        <f t="shared" si="6"/>
        <v/>
      </c>
      <c r="AG30" s="1856" t="str">
        <f t="shared" si="7"/>
        <v/>
      </c>
      <c r="AH30" s="1856" t="str">
        <f t="shared" si="8"/>
        <v/>
      </c>
      <c r="AI30" s="1856" t="str">
        <f t="shared" si="9"/>
        <v/>
      </c>
      <c r="AJ30" s="1856" t="str">
        <f t="shared" si="10"/>
        <v/>
      </c>
      <c r="AK30" s="1856" t="str">
        <f t="shared" si="11"/>
        <v/>
      </c>
      <c r="AL30" s="1856" t="str">
        <f t="shared" si="12"/>
        <v/>
      </c>
      <c r="AM30" s="1856" t="str">
        <f t="shared" si="13"/>
        <v/>
      </c>
      <c r="AN30" s="1856" t="str">
        <f t="shared" si="14"/>
        <v/>
      </c>
      <c r="AO30" s="1856" t="str">
        <f t="shared" si="15"/>
        <v/>
      </c>
      <c r="AP30" s="1856" t="str">
        <f t="shared" si="16"/>
        <v/>
      </c>
      <c r="AQ30" s="1856" t="str">
        <f t="shared" si="17"/>
        <v/>
      </c>
      <c r="AR30" s="1856" t="str">
        <f t="shared" si="18"/>
        <v/>
      </c>
      <c r="AS30" s="1856" t="str">
        <f t="shared" si="19"/>
        <v/>
      </c>
      <c r="AT30" s="1856" t="str">
        <f t="shared" si="20"/>
        <v/>
      </c>
      <c r="AU30" s="1856" t="str">
        <f t="shared" si="21"/>
        <v/>
      </c>
      <c r="AV30" s="1857" t="str">
        <f t="shared" si="22"/>
        <v/>
      </c>
      <c r="AW30" s="1858" t="str">
        <f t="shared" si="23"/>
        <v/>
      </c>
      <c r="AX30" s="1857" t="str">
        <f t="shared" si="24"/>
        <v/>
      </c>
      <c r="AY30" s="1859" t="str">
        <f t="shared" si="25"/>
        <v/>
      </c>
      <c r="AZ30" s="1859" t="str">
        <f t="shared" si="26"/>
        <v/>
      </c>
    </row>
    <row r="31" spans="1:58" ht="42" customHeight="1">
      <c r="A31" s="2257"/>
      <c r="B31" s="157">
        <f>+PP!B49</f>
        <v>26</v>
      </c>
      <c r="C31" s="162" t="str">
        <f>+PP!C49</f>
        <v>NUCA C/C CERRADO 0-100 g/pza</v>
      </c>
      <c r="D31" s="3006"/>
      <c r="E31" s="1836"/>
      <c r="F31" s="1836"/>
      <c r="G31" s="212"/>
      <c r="H31" s="212"/>
      <c r="I31" s="212"/>
      <c r="J31" s="212"/>
      <c r="K31" s="212"/>
      <c r="L31" s="212"/>
      <c r="M31" s="212"/>
      <c r="N31" s="212"/>
      <c r="O31" s="212"/>
      <c r="P31" s="212"/>
      <c r="Q31" s="3003"/>
      <c r="R31" s="1007"/>
      <c r="S31" s="1007"/>
      <c r="T31" s="1007"/>
      <c r="U31" s="1007"/>
      <c r="V31" s="1503"/>
      <c r="W31" s="573">
        <f t="shared" si="0"/>
        <v>0</v>
      </c>
      <c r="X31" s="148">
        <f t="shared" si="1"/>
        <v>0</v>
      </c>
      <c r="Y31" s="145">
        <f t="shared" si="30"/>
        <v>0</v>
      </c>
      <c r="AA31" s="1860" t="str">
        <f>IFERROR(INDEX($B$6:$B$53,_xlfn.AGGREGATE(15,6,(ROW($B$6:$B$53)-ROW($B$6)+1)/($W$6:$W$53&gt;0),ROWS($AA$6:AA31))),"")</f>
        <v/>
      </c>
      <c r="AB31" s="1861" t="str">
        <f t="shared" si="2"/>
        <v/>
      </c>
      <c r="AC31" s="1862" t="str">
        <f t="shared" si="3"/>
        <v/>
      </c>
      <c r="AD31" s="1862" t="str">
        <f t="shared" si="4"/>
        <v/>
      </c>
      <c r="AE31" s="1862" t="str">
        <f t="shared" si="5"/>
        <v/>
      </c>
      <c r="AF31" s="1862" t="str">
        <f t="shared" si="6"/>
        <v/>
      </c>
      <c r="AG31" s="1862" t="str">
        <f t="shared" si="7"/>
        <v/>
      </c>
      <c r="AH31" s="1862" t="str">
        <f t="shared" si="8"/>
        <v/>
      </c>
      <c r="AI31" s="1862" t="str">
        <f t="shared" si="9"/>
        <v/>
      </c>
      <c r="AJ31" s="1862" t="str">
        <f t="shared" si="10"/>
        <v/>
      </c>
      <c r="AK31" s="1862" t="str">
        <f t="shared" si="11"/>
        <v/>
      </c>
      <c r="AL31" s="1862" t="str">
        <f t="shared" si="12"/>
        <v/>
      </c>
      <c r="AM31" s="1862" t="str">
        <f t="shared" si="13"/>
        <v/>
      </c>
      <c r="AN31" s="1862" t="str">
        <f t="shared" si="14"/>
        <v/>
      </c>
      <c r="AO31" s="1862" t="str">
        <f t="shared" si="15"/>
        <v/>
      </c>
      <c r="AP31" s="1862" t="str">
        <f t="shared" si="16"/>
        <v/>
      </c>
      <c r="AQ31" s="1862" t="str">
        <f t="shared" si="17"/>
        <v/>
      </c>
      <c r="AR31" s="1862" t="str">
        <f t="shared" si="18"/>
        <v/>
      </c>
      <c r="AS31" s="1862" t="str">
        <f t="shared" si="19"/>
        <v/>
      </c>
      <c r="AT31" s="1862" t="str">
        <f t="shared" si="20"/>
        <v/>
      </c>
      <c r="AU31" s="1862" t="str">
        <f t="shared" si="21"/>
        <v/>
      </c>
      <c r="AV31" s="1863" t="str">
        <f t="shared" si="22"/>
        <v/>
      </c>
      <c r="AW31" s="1864" t="str">
        <f t="shared" si="23"/>
        <v/>
      </c>
      <c r="AX31" s="1863" t="str">
        <f t="shared" si="24"/>
        <v/>
      </c>
      <c r="AY31" s="1865" t="str">
        <f t="shared" si="25"/>
        <v/>
      </c>
      <c r="AZ31" s="1865" t="str">
        <f t="shared" si="26"/>
        <v/>
      </c>
    </row>
    <row r="32" spans="1:58" ht="42" customHeight="1">
      <c r="A32" s="2257"/>
      <c r="B32" s="159">
        <f>+PP!B50</f>
        <v>27</v>
      </c>
      <c r="C32" s="164" t="str">
        <f>+PP!C50</f>
        <v>NUCA C/C ABIERTO 100-300 g/pza</v>
      </c>
      <c r="D32" s="3007"/>
      <c r="E32" s="1831"/>
      <c r="F32" s="1831"/>
      <c r="G32" s="218"/>
      <c r="H32" s="218"/>
      <c r="I32" s="218"/>
      <c r="J32" s="218"/>
      <c r="K32" s="218"/>
      <c r="L32" s="218"/>
      <c r="M32" s="218"/>
      <c r="N32" s="218"/>
      <c r="O32" s="218"/>
      <c r="P32" s="218"/>
      <c r="Q32" s="1198"/>
      <c r="R32" s="388"/>
      <c r="S32" s="388"/>
      <c r="T32" s="388"/>
      <c r="U32" s="388"/>
      <c r="V32" s="1504"/>
      <c r="W32" s="579">
        <f t="shared" si="0"/>
        <v>0</v>
      </c>
      <c r="X32" s="149">
        <f t="shared" si="1"/>
        <v>0</v>
      </c>
      <c r="Y32" s="146">
        <f t="shared" si="30"/>
        <v>0</v>
      </c>
      <c r="Z32" s="452"/>
      <c r="AA32" s="1866" t="str">
        <f>IFERROR(INDEX($B$6:$B$53,_xlfn.AGGREGATE(15,6,(ROW($B$6:$B$53)-ROW($B$6)+1)/($W$6:$W$53&gt;0),ROWS($AA$6:AA32))),"")</f>
        <v/>
      </c>
      <c r="AB32" s="1867" t="str">
        <f t="shared" si="2"/>
        <v/>
      </c>
      <c r="AC32" s="1862" t="str">
        <f t="shared" si="3"/>
        <v/>
      </c>
      <c r="AD32" s="1862" t="str">
        <f t="shared" si="4"/>
        <v/>
      </c>
      <c r="AE32" s="1862" t="str">
        <f t="shared" si="5"/>
        <v/>
      </c>
      <c r="AF32" s="1862" t="str">
        <f t="shared" si="6"/>
        <v/>
      </c>
      <c r="AG32" s="1862" t="str">
        <f t="shared" si="7"/>
        <v/>
      </c>
      <c r="AH32" s="1862" t="str">
        <f t="shared" si="8"/>
        <v/>
      </c>
      <c r="AI32" s="1862" t="str">
        <f t="shared" si="9"/>
        <v/>
      </c>
      <c r="AJ32" s="1862" t="str">
        <f t="shared" si="10"/>
        <v/>
      </c>
      <c r="AK32" s="1862" t="str">
        <f t="shared" si="11"/>
        <v/>
      </c>
      <c r="AL32" s="1862" t="str">
        <f t="shared" si="12"/>
        <v/>
      </c>
      <c r="AM32" s="1862" t="str">
        <f t="shared" si="13"/>
        <v/>
      </c>
      <c r="AN32" s="1862" t="str">
        <f t="shared" si="14"/>
        <v/>
      </c>
      <c r="AO32" s="1862" t="str">
        <f t="shared" si="15"/>
        <v/>
      </c>
      <c r="AP32" s="1862" t="str">
        <f t="shared" si="16"/>
        <v/>
      </c>
      <c r="AQ32" s="1862" t="str">
        <f t="shared" si="17"/>
        <v/>
      </c>
      <c r="AR32" s="1862" t="str">
        <f t="shared" si="18"/>
        <v/>
      </c>
      <c r="AS32" s="1862" t="str">
        <f t="shared" si="19"/>
        <v/>
      </c>
      <c r="AT32" s="1862" t="str">
        <f t="shared" si="20"/>
        <v/>
      </c>
      <c r="AU32" s="1862" t="str">
        <f t="shared" si="21"/>
        <v/>
      </c>
      <c r="AV32" s="1863" t="str">
        <f t="shared" si="22"/>
        <v/>
      </c>
      <c r="AW32" s="1864" t="str">
        <f t="shared" si="23"/>
        <v/>
      </c>
      <c r="AX32" s="1863" t="str">
        <f t="shared" si="24"/>
        <v/>
      </c>
      <c r="AY32" s="1865" t="str">
        <f t="shared" si="25"/>
        <v/>
      </c>
      <c r="AZ32" s="1865" t="str">
        <f t="shared" si="26"/>
        <v/>
      </c>
    </row>
    <row r="33" spans="1:52" ht="42" customHeight="1">
      <c r="A33" s="2257"/>
      <c r="B33" s="159">
        <f>+PP!B51</f>
        <v>28</v>
      </c>
      <c r="C33" s="164" t="str">
        <f>+PP!C51</f>
        <v>NUCA C/C ABIERTO 300-500 g/pza</v>
      </c>
      <c r="D33" s="3007"/>
      <c r="E33" s="1831"/>
      <c r="F33" s="1831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1198"/>
      <c r="R33" s="388"/>
      <c r="S33" s="388"/>
      <c r="T33" s="388"/>
      <c r="U33" s="388"/>
      <c r="V33" s="1504"/>
      <c r="W33" s="579">
        <f t="shared" si="0"/>
        <v>0</v>
      </c>
      <c r="X33" s="149">
        <f t="shared" si="1"/>
        <v>0</v>
      </c>
      <c r="Y33" s="146">
        <f t="shared" si="30"/>
        <v>0</v>
      </c>
      <c r="Z33" s="452"/>
      <c r="AA33" s="1866" t="str">
        <f>IFERROR(INDEX($B$6:$B$53,_xlfn.AGGREGATE(15,6,(ROW($B$6:$B$53)-ROW($B$6)+1)/($W$6:$W$53&gt;0),ROWS($AA$6:AA33))),"")</f>
        <v/>
      </c>
      <c r="AB33" s="1867" t="str">
        <f t="shared" si="2"/>
        <v/>
      </c>
      <c r="AC33" s="1862" t="str">
        <f t="shared" si="3"/>
        <v/>
      </c>
      <c r="AD33" s="1862" t="str">
        <f t="shared" si="4"/>
        <v/>
      </c>
      <c r="AE33" s="1862" t="str">
        <f t="shared" si="5"/>
        <v/>
      </c>
      <c r="AF33" s="1862" t="str">
        <f t="shared" si="6"/>
        <v/>
      </c>
      <c r="AG33" s="1862" t="str">
        <f t="shared" si="7"/>
        <v/>
      </c>
      <c r="AH33" s="1862" t="str">
        <f t="shared" si="8"/>
        <v/>
      </c>
      <c r="AI33" s="1862" t="str">
        <f t="shared" si="9"/>
        <v/>
      </c>
      <c r="AJ33" s="1862" t="str">
        <f t="shared" si="10"/>
        <v/>
      </c>
      <c r="AK33" s="1862" t="str">
        <f t="shared" si="11"/>
        <v/>
      </c>
      <c r="AL33" s="1862" t="str">
        <f t="shared" si="12"/>
        <v/>
      </c>
      <c r="AM33" s="1862" t="str">
        <f t="shared" si="13"/>
        <v/>
      </c>
      <c r="AN33" s="1862" t="str">
        <f t="shared" si="14"/>
        <v/>
      </c>
      <c r="AO33" s="1862" t="str">
        <f t="shared" si="15"/>
        <v/>
      </c>
      <c r="AP33" s="1862" t="str">
        <f t="shared" si="16"/>
        <v/>
      </c>
      <c r="AQ33" s="1862" t="str">
        <f t="shared" si="17"/>
        <v/>
      </c>
      <c r="AR33" s="1862" t="str">
        <f t="shared" si="18"/>
        <v/>
      </c>
      <c r="AS33" s="1862" t="str">
        <f t="shared" si="19"/>
        <v/>
      </c>
      <c r="AT33" s="1862" t="str">
        <f t="shared" si="20"/>
        <v/>
      </c>
      <c r="AU33" s="1862" t="str">
        <f t="shared" si="21"/>
        <v/>
      </c>
      <c r="AV33" s="1863" t="str">
        <f t="shared" si="22"/>
        <v/>
      </c>
      <c r="AW33" s="1864" t="str">
        <f t="shared" si="23"/>
        <v/>
      </c>
      <c r="AX33" s="1863" t="str">
        <f t="shared" si="24"/>
        <v/>
      </c>
      <c r="AY33" s="1865" t="str">
        <f t="shared" si="25"/>
        <v/>
      </c>
      <c r="AZ33" s="1865" t="str">
        <f t="shared" si="26"/>
        <v/>
      </c>
    </row>
    <row r="34" spans="1:52" ht="42" customHeight="1">
      <c r="A34" s="2257"/>
      <c r="B34" s="159">
        <f>+PP!B52</f>
        <v>29</v>
      </c>
      <c r="C34" s="164" t="str">
        <f>+PP!C52</f>
        <v>NUCA C/C ABIERTO 500-1000 g/pza</v>
      </c>
      <c r="D34" s="3007"/>
      <c r="E34" s="1831"/>
      <c r="F34" s="1831"/>
      <c r="G34" s="218"/>
      <c r="H34" s="218"/>
      <c r="I34" s="218"/>
      <c r="J34" s="218"/>
      <c r="K34" s="218"/>
      <c r="L34" s="218"/>
      <c r="M34" s="218"/>
      <c r="N34" s="218"/>
      <c r="O34" s="218"/>
      <c r="P34" s="218"/>
      <c r="Q34" s="1198"/>
      <c r="R34" s="388"/>
      <c r="S34" s="388"/>
      <c r="T34" s="388"/>
      <c r="U34" s="388"/>
      <c r="V34" s="1504"/>
      <c r="W34" s="579">
        <f t="shared" si="0"/>
        <v>0</v>
      </c>
      <c r="X34" s="149">
        <f t="shared" si="1"/>
        <v>0</v>
      </c>
      <c r="Y34" s="146">
        <f t="shared" si="30"/>
        <v>0</v>
      </c>
      <c r="Z34" s="452"/>
      <c r="AA34" s="1866" t="str">
        <f>IFERROR(INDEX($B$6:$B$53,_xlfn.AGGREGATE(15,6,(ROW($B$6:$B$53)-ROW($B$6)+1)/($W$6:$W$53&gt;0),ROWS($AA$6:AA34))),"")</f>
        <v/>
      </c>
      <c r="AB34" s="1867" t="str">
        <f t="shared" si="2"/>
        <v/>
      </c>
      <c r="AC34" s="1862" t="str">
        <f t="shared" si="3"/>
        <v/>
      </c>
      <c r="AD34" s="1862" t="str">
        <f t="shared" si="4"/>
        <v/>
      </c>
      <c r="AE34" s="1862" t="str">
        <f t="shared" si="5"/>
        <v/>
      </c>
      <c r="AF34" s="1862" t="str">
        <f t="shared" si="6"/>
        <v/>
      </c>
      <c r="AG34" s="1862" t="str">
        <f t="shared" si="7"/>
        <v/>
      </c>
      <c r="AH34" s="1862" t="str">
        <f t="shared" si="8"/>
        <v/>
      </c>
      <c r="AI34" s="1862" t="str">
        <f t="shared" si="9"/>
        <v/>
      </c>
      <c r="AJ34" s="1862" t="str">
        <f t="shared" si="10"/>
        <v/>
      </c>
      <c r="AK34" s="1862" t="str">
        <f t="shared" si="11"/>
        <v/>
      </c>
      <c r="AL34" s="1862" t="str">
        <f t="shared" si="12"/>
        <v/>
      </c>
      <c r="AM34" s="1862" t="str">
        <f t="shared" si="13"/>
        <v/>
      </c>
      <c r="AN34" s="1862" t="str">
        <f t="shared" si="14"/>
        <v/>
      </c>
      <c r="AO34" s="1862" t="str">
        <f t="shared" si="15"/>
        <v/>
      </c>
      <c r="AP34" s="1862" t="str">
        <f t="shared" si="16"/>
        <v/>
      </c>
      <c r="AQ34" s="1862" t="str">
        <f t="shared" si="17"/>
        <v/>
      </c>
      <c r="AR34" s="1862" t="str">
        <f t="shared" si="18"/>
        <v/>
      </c>
      <c r="AS34" s="1862" t="str">
        <f t="shared" si="19"/>
        <v/>
      </c>
      <c r="AT34" s="1862" t="str">
        <f t="shared" si="20"/>
        <v/>
      </c>
      <c r="AU34" s="1862" t="str">
        <f t="shared" si="21"/>
        <v/>
      </c>
      <c r="AV34" s="1863" t="str">
        <f t="shared" si="22"/>
        <v/>
      </c>
      <c r="AW34" s="1864" t="str">
        <f t="shared" si="23"/>
        <v/>
      </c>
      <c r="AX34" s="1863" t="str">
        <f t="shared" si="24"/>
        <v/>
      </c>
      <c r="AY34" s="1865" t="str">
        <f t="shared" si="25"/>
        <v/>
      </c>
      <c r="AZ34" s="1865" t="str">
        <f t="shared" si="26"/>
        <v/>
      </c>
    </row>
    <row r="35" spans="1:52" ht="41.25" customHeight="1" thickBot="1">
      <c r="A35" s="2257"/>
      <c r="B35" s="158">
        <f>+PP!B53</f>
        <v>30</v>
      </c>
      <c r="C35" s="163" t="str">
        <f>+PP!C53</f>
        <v>NUCA C/C ABIERTO 1.0 - UP kg/pza</v>
      </c>
      <c r="D35" s="3008"/>
      <c r="E35" s="3004"/>
      <c r="F35" s="3004"/>
      <c r="G35" s="3004"/>
      <c r="H35" s="3004"/>
      <c r="I35" s="3004"/>
      <c r="J35" s="3004"/>
      <c r="K35" s="3004"/>
      <c r="L35" s="3004"/>
      <c r="M35" s="3004"/>
      <c r="N35" s="227"/>
      <c r="O35" s="227"/>
      <c r="P35" s="227"/>
      <c r="Q35" s="3005"/>
      <c r="R35" s="1154"/>
      <c r="S35" s="1154"/>
      <c r="T35" s="1154"/>
      <c r="U35" s="1154"/>
      <c r="V35" s="1505"/>
      <c r="W35" s="582">
        <f t="shared" si="0"/>
        <v>0</v>
      </c>
      <c r="X35" s="155">
        <f t="shared" si="1"/>
        <v>0</v>
      </c>
      <c r="Y35" s="156">
        <f t="shared" si="30"/>
        <v>0</v>
      </c>
      <c r="Z35" s="452"/>
      <c r="AA35" s="1868"/>
      <c r="AB35" s="1869" t="s">
        <v>3</v>
      </c>
      <c r="AC35" s="1862" t="str">
        <f t="shared" si="3"/>
        <v/>
      </c>
      <c r="AD35" s="1862" t="str">
        <f t="shared" si="4"/>
        <v/>
      </c>
      <c r="AE35" s="1862" t="str">
        <f t="shared" si="5"/>
        <v/>
      </c>
      <c r="AF35" s="1862" t="str">
        <f t="shared" si="6"/>
        <v/>
      </c>
      <c r="AG35" s="1862" t="str">
        <f t="shared" si="7"/>
        <v/>
      </c>
      <c r="AH35" s="1862" t="str">
        <f t="shared" si="8"/>
        <v/>
      </c>
      <c r="AI35" s="1862" t="str">
        <f t="shared" si="9"/>
        <v/>
      </c>
      <c r="AJ35" s="1862" t="str">
        <f t="shared" si="10"/>
        <v/>
      </c>
      <c r="AK35" s="1862" t="str">
        <f t="shared" si="11"/>
        <v/>
      </c>
      <c r="AL35" s="1862" t="str">
        <f t="shared" si="12"/>
        <v/>
      </c>
      <c r="AM35" s="1862" t="str">
        <f t="shared" si="13"/>
        <v/>
      </c>
      <c r="AN35" s="1862" t="str">
        <f t="shared" si="14"/>
        <v/>
      </c>
      <c r="AO35" s="1862" t="str">
        <f t="shared" si="15"/>
        <v/>
      </c>
      <c r="AP35" s="1862" t="str">
        <f t="shared" si="16"/>
        <v/>
      </c>
      <c r="AQ35" s="1862" t="str">
        <f t="shared" si="17"/>
        <v/>
      </c>
      <c r="AR35" s="1862" t="str">
        <f t="shared" si="18"/>
        <v/>
      </c>
      <c r="AS35" s="1862" t="str">
        <f t="shared" si="19"/>
        <v/>
      </c>
      <c r="AT35" s="1862" t="str">
        <f t="shared" si="20"/>
        <v/>
      </c>
      <c r="AU35" s="1862" t="str">
        <f t="shared" si="21"/>
        <v/>
      </c>
      <c r="AV35" s="1862">
        <f t="shared" ref="AV35:AX35" si="31">SUM(AV6:AV34)</f>
        <v>0</v>
      </c>
      <c r="AW35" s="1870">
        <f t="shared" si="31"/>
        <v>0</v>
      </c>
      <c r="AX35" s="1862">
        <f t="shared" si="31"/>
        <v>0</v>
      </c>
      <c r="AY35" s="1871" t="str">
        <f>IF(AV35=SUM($W$6:$W$53),"OK","REVISAR")</f>
        <v>OK</v>
      </c>
      <c r="AZ35" s="1871" t="str">
        <f>IF(COUNTIF(AZ6:AZ34,"SÍ")&gt;0,"HAY","NO")</f>
        <v>NO</v>
      </c>
    </row>
    <row r="36" spans="1:52" ht="40.5" customHeight="1">
      <c r="A36" s="2257"/>
      <c r="B36" s="160">
        <f>+PP!B54</f>
        <v>31</v>
      </c>
      <c r="C36" s="162" t="str">
        <f>+PP!C54</f>
        <v>RECORTE BLANCO SM ST</v>
      </c>
      <c r="D36" s="3006"/>
      <c r="E36" s="1836"/>
      <c r="F36" s="1836"/>
      <c r="G36" s="1836"/>
      <c r="H36" s="1836"/>
      <c r="I36" s="1836"/>
      <c r="J36" s="1836"/>
      <c r="K36" s="1836"/>
      <c r="L36" s="212"/>
      <c r="M36" s="212"/>
      <c r="N36" s="212"/>
      <c r="O36" s="212"/>
      <c r="P36" s="212"/>
      <c r="Q36" s="212"/>
      <c r="R36" s="212"/>
      <c r="S36" s="212"/>
      <c r="T36" s="212"/>
      <c r="U36" s="212"/>
      <c r="V36" s="213"/>
      <c r="W36" s="573">
        <f t="shared" si="0"/>
        <v>0</v>
      </c>
      <c r="X36" s="148">
        <f t="shared" si="1"/>
        <v>0</v>
      </c>
      <c r="Y36" s="145">
        <f t="shared" si="30"/>
        <v>0</v>
      </c>
      <c r="Z36" s="452"/>
      <c r="AA36" s="1792"/>
      <c r="AB36" s="1792"/>
      <c r="AC36" s="425" t="str">
        <f t="shared" si="3"/>
        <v/>
      </c>
      <c r="AD36" s="425" t="str">
        <f t="shared" si="4"/>
        <v/>
      </c>
      <c r="AE36" s="425" t="str">
        <f t="shared" si="5"/>
        <v/>
      </c>
      <c r="AF36" s="425" t="str">
        <f t="shared" si="6"/>
        <v/>
      </c>
      <c r="AG36" s="425" t="str">
        <f t="shared" si="7"/>
        <v/>
      </c>
      <c r="AH36" s="425" t="str">
        <f t="shared" si="8"/>
        <v/>
      </c>
      <c r="AI36" s="425" t="str">
        <f t="shared" si="9"/>
        <v/>
      </c>
      <c r="AJ36" s="425" t="str">
        <f t="shared" si="10"/>
        <v/>
      </c>
      <c r="AK36" s="425" t="str">
        <f t="shared" si="11"/>
        <v/>
      </c>
      <c r="AL36" s="425" t="str">
        <f t="shared" si="12"/>
        <v/>
      </c>
      <c r="AM36" s="425" t="str">
        <f t="shared" si="13"/>
        <v/>
      </c>
      <c r="AN36" s="425" t="str">
        <f t="shared" si="14"/>
        <v/>
      </c>
      <c r="AO36" s="425" t="str">
        <f t="shared" si="15"/>
        <v/>
      </c>
      <c r="AP36" s="1862" t="str">
        <f t="shared" si="16"/>
        <v/>
      </c>
      <c r="AQ36" s="425" t="str">
        <f t="shared" si="17"/>
        <v/>
      </c>
      <c r="AR36" s="425" t="str">
        <f t="shared" si="18"/>
        <v/>
      </c>
      <c r="AS36" s="425" t="str">
        <f t="shared" si="19"/>
        <v/>
      </c>
      <c r="AT36" s="425" t="str">
        <f t="shared" si="20"/>
        <v/>
      </c>
      <c r="AU36" s="425" t="str">
        <f t="shared" si="21"/>
        <v/>
      </c>
      <c r="AV36" s="425"/>
      <c r="AW36" s="425"/>
      <c r="AX36" s="425"/>
      <c r="AY36" s="425"/>
      <c r="AZ36" s="425"/>
    </row>
    <row r="37" spans="1:52" ht="45.75" customHeight="1">
      <c r="A37" s="2257"/>
      <c r="B37" s="159">
        <f>+PP!B55</f>
        <v>32</v>
      </c>
      <c r="C37" s="164" t="str">
        <f>+PP!C55</f>
        <v>RECORTE AMARILLO SM ST</v>
      </c>
      <c r="D37" s="257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9"/>
      <c r="W37" s="579">
        <f t="shared" si="0"/>
        <v>0</v>
      </c>
      <c r="X37" s="149">
        <f t="shared" si="1"/>
        <v>0</v>
      </c>
      <c r="Y37" s="146">
        <f t="shared" si="30"/>
        <v>0</v>
      </c>
      <c r="Z37" s="452"/>
      <c r="AA37" s="1724"/>
      <c r="AB37" s="1730"/>
      <c r="AC37" t="str">
        <f t="shared" si="3"/>
        <v/>
      </c>
      <c r="AD37" t="str">
        <f t="shared" si="4"/>
        <v/>
      </c>
      <c r="AE37" t="str">
        <f t="shared" si="5"/>
        <v/>
      </c>
      <c r="AF37" t="str">
        <f t="shared" si="6"/>
        <v/>
      </c>
      <c r="AG37" t="str">
        <f t="shared" si="7"/>
        <v/>
      </c>
      <c r="AH37" t="str">
        <f t="shared" si="8"/>
        <v/>
      </c>
      <c r="AI37" t="str">
        <f t="shared" si="9"/>
        <v/>
      </c>
      <c r="AJ37" t="str">
        <f t="shared" si="10"/>
        <v/>
      </c>
      <c r="AK37" t="str">
        <f t="shared" si="11"/>
        <v/>
      </c>
      <c r="AL37" t="str">
        <f t="shared" si="12"/>
        <v/>
      </c>
      <c r="AM37" t="str">
        <f t="shared" si="13"/>
        <v/>
      </c>
      <c r="AN37" t="str">
        <f t="shared" si="14"/>
        <v/>
      </c>
      <c r="AO37" t="str">
        <f t="shared" si="15"/>
        <v/>
      </c>
      <c r="AP37" t="str">
        <f t="shared" si="16"/>
        <v/>
      </c>
      <c r="AQ37" t="str">
        <f t="shared" si="17"/>
        <v/>
      </c>
      <c r="AR37" t="str">
        <f t="shared" si="18"/>
        <v/>
      </c>
      <c r="AS37" t="str">
        <f t="shared" si="19"/>
        <v/>
      </c>
      <c r="AT37" t="str">
        <f t="shared" si="20"/>
        <v/>
      </c>
      <c r="AU37" t="str">
        <f t="shared" si="21"/>
        <v/>
      </c>
      <c r="AV37"/>
      <c r="AW37"/>
      <c r="AX37"/>
      <c r="AY37"/>
      <c r="AZ37"/>
    </row>
    <row r="38" spans="1:52" ht="41.25" customHeight="1" thickBot="1">
      <c r="A38" s="2257"/>
      <c r="B38" s="159">
        <f>+PP!B56</f>
        <v>33</v>
      </c>
      <c r="C38" s="163" t="str">
        <f>+PP!C56</f>
        <v>RECORTE PRECOCIDO</v>
      </c>
      <c r="D38" s="255"/>
      <c r="E38" s="227"/>
      <c r="F38" s="227"/>
      <c r="G38" s="227"/>
      <c r="H38" s="227"/>
      <c r="I38" s="227"/>
      <c r="J38" s="227"/>
      <c r="K38" s="227"/>
      <c r="L38" s="227"/>
      <c r="M38" s="227"/>
      <c r="N38" s="227"/>
      <c r="O38" s="227"/>
      <c r="P38" s="227"/>
      <c r="Q38" s="227"/>
      <c r="R38" s="227"/>
      <c r="S38" s="227"/>
      <c r="T38" s="227"/>
      <c r="U38" s="227"/>
      <c r="V38" s="228"/>
      <c r="W38" s="581">
        <f t="shared" si="0"/>
        <v>0</v>
      </c>
      <c r="X38" s="155">
        <f t="shared" si="1"/>
        <v>0</v>
      </c>
      <c r="Y38" s="156">
        <f t="shared" si="30"/>
        <v>0</v>
      </c>
      <c r="Z38" s="452"/>
      <c r="AA38" s="1724"/>
      <c r="AB38" s="1730"/>
      <c r="AC38" t="str">
        <f t="shared" si="3"/>
        <v/>
      </c>
      <c r="AD38" t="str">
        <f t="shared" si="4"/>
        <v/>
      </c>
      <c r="AE38" t="str">
        <f t="shared" si="5"/>
        <v/>
      </c>
      <c r="AF38" t="str">
        <f t="shared" si="6"/>
        <v/>
      </c>
      <c r="AG38" t="str">
        <f t="shared" si="7"/>
        <v/>
      </c>
      <c r="AH38" t="str">
        <f t="shared" si="8"/>
        <v/>
      </c>
      <c r="AI38" t="str">
        <f t="shared" si="9"/>
        <v/>
      </c>
      <c r="AJ38" t="str">
        <f t="shared" si="10"/>
        <v/>
      </c>
      <c r="AK38" t="str">
        <f t="shared" si="11"/>
        <v/>
      </c>
      <c r="AL38" t="str">
        <f t="shared" si="12"/>
        <v/>
      </c>
      <c r="AM38" t="str">
        <f t="shared" si="13"/>
        <v/>
      </c>
      <c r="AN38" t="str">
        <f t="shared" si="14"/>
        <v/>
      </c>
      <c r="AO38" t="str">
        <f t="shared" si="15"/>
        <v/>
      </c>
      <c r="AP38" t="str">
        <f t="shared" si="16"/>
        <v/>
      </c>
      <c r="AQ38" t="str">
        <f t="shared" si="17"/>
        <v/>
      </c>
      <c r="AR38" t="str">
        <f t="shared" si="18"/>
        <v/>
      </c>
      <c r="AS38" t="str">
        <f t="shared" si="19"/>
        <v/>
      </c>
      <c r="AT38" t="str">
        <f t="shared" si="20"/>
        <v/>
      </c>
      <c r="AU38" t="str">
        <f t="shared" si="21"/>
        <v/>
      </c>
      <c r="AV38"/>
      <c r="AW38"/>
      <c r="AX38"/>
      <c r="AY38"/>
      <c r="AZ38"/>
    </row>
    <row r="39" spans="1:52" ht="40.5" customHeight="1">
      <c r="A39" s="2257"/>
      <c r="B39" s="159">
        <f>+PP!B57</f>
        <v>34</v>
      </c>
      <c r="C39" s="162" t="str">
        <f>+PP!C57</f>
        <v>REPRODUCTORES SV, PEQUEÑO</v>
      </c>
      <c r="D39" s="3006"/>
      <c r="E39" s="1836"/>
      <c r="F39" s="1836"/>
      <c r="G39" s="1836"/>
      <c r="H39" s="1836"/>
      <c r="I39" s="1836"/>
      <c r="J39" s="1836"/>
      <c r="K39" s="212"/>
      <c r="L39" s="212"/>
      <c r="M39" s="212"/>
      <c r="N39" s="212"/>
      <c r="O39" s="212"/>
      <c r="P39" s="212"/>
      <c r="Q39" s="212"/>
      <c r="R39" s="212"/>
      <c r="S39" s="212"/>
      <c r="T39" s="212"/>
      <c r="U39" s="212"/>
      <c r="V39" s="213"/>
      <c r="W39" s="573">
        <f t="shared" si="0"/>
        <v>0</v>
      </c>
      <c r="X39" s="148">
        <f t="shared" si="1"/>
        <v>0</v>
      </c>
      <c r="Y39" s="145">
        <f t="shared" si="30"/>
        <v>0</v>
      </c>
      <c r="AA39"/>
      <c r="AB39" s="1386"/>
      <c r="AC39" t="str">
        <f t="shared" si="3"/>
        <v/>
      </c>
      <c r="AD39" t="str">
        <f t="shared" si="4"/>
        <v/>
      </c>
      <c r="AE39" t="str">
        <f t="shared" si="5"/>
        <v/>
      </c>
      <c r="AF39" t="str">
        <f t="shared" si="6"/>
        <v/>
      </c>
      <c r="AG39" t="str">
        <f t="shared" si="7"/>
        <v/>
      </c>
      <c r="AH39" t="str">
        <f t="shared" si="8"/>
        <v/>
      </c>
      <c r="AI39" t="str">
        <f t="shared" si="9"/>
        <v/>
      </c>
      <c r="AJ39" t="str">
        <f t="shared" si="10"/>
        <v/>
      </c>
      <c r="AK39" t="str">
        <f t="shared" si="11"/>
        <v/>
      </c>
      <c r="AL39" t="str">
        <f t="shared" si="12"/>
        <v/>
      </c>
      <c r="AM39" t="str">
        <f t="shared" si="13"/>
        <v/>
      </c>
      <c r="AN39" t="str">
        <f t="shared" si="14"/>
        <v/>
      </c>
      <c r="AO39" t="str">
        <f t="shared" si="15"/>
        <v/>
      </c>
      <c r="AP39" t="str">
        <f t="shared" si="16"/>
        <v/>
      </c>
      <c r="AQ39" t="str">
        <f t="shared" si="17"/>
        <v/>
      </c>
      <c r="AR39" t="str">
        <f t="shared" si="18"/>
        <v/>
      </c>
      <c r="AS39" t="str">
        <f t="shared" si="19"/>
        <v/>
      </c>
      <c r="AT39" t="str">
        <f t="shared" si="20"/>
        <v/>
      </c>
      <c r="AU39" t="str">
        <f t="shared" si="21"/>
        <v/>
      </c>
      <c r="AV39"/>
      <c r="AW39"/>
      <c r="AX39"/>
      <c r="AY39"/>
      <c r="AZ39"/>
    </row>
    <row r="40" spans="1:52" ht="45" customHeight="1" thickBot="1">
      <c r="A40" s="2257"/>
      <c r="B40" s="159">
        <f>+PP!B58</f>
        <v>35</v>
      </c>
      <c r="C40" s="163" t="str">
        <f>+PP!C58</f>
        <v>REPRODUCTOR SV GRANDE</v>
      </c>
      <c r="D40" s="951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5"/>
      <c r="P40" s="215"/>
      <c r="Q40" s="215"/>
      <c r="R40" s="215"/>
      <c r="S40" s="215"/>
      <c r="T40" s="215"/>
      <c r="U40" s="215"/>
      <c r="V40" s="216"/>
      <c r="W40" s="582">
        <f t="shared" si="0"/>
        <v>0</v>
      </c>
      <c r="X40" s="150">
        <f t="shared" si="1"/>
        <v>0</v>
      </c>
      <c r="Y40" s="147">
        <f t="shared" si="30"/>
        <v>0</v>
      </c>
      <c r="AA40"/>
      <c r="AB40" s="1386"/>
      <c r="AC40" t="str">
        <f t="shared" si="3"/>
        <v/>
      </c>
      <c r="AD40" t="str">
        <f t="shared" si="4"/>
        <v/>
      </c>
      <c r="AE40" t="str">
        <f t="shared" si="5"/>
        <v/>
      </c>
      <c r="AF40" t="str">
        <f t="shared" si="6"/>
        <v/>
      </c>
      <c r="AG40" t="str">
        <f t="shared" si="7"/>
        <v/>
      </c>
      <c r="AH40" t="str">
        <f t="shared" si="8"/>
        <v/>
      </c>
      <c r="AI40" t="str">
        <f t="shared" si="9"/>
        <v/>
      </c>
      <c r="AJ40" t="str">
        <f t="shared" si="10"/>
        <v/>
      </c>
      <c r="AK40" t="str">
        <f t="shared" si="11"/>
        <v/>
      </c>
      <c r="AL40" t="str">
        <f t="shared" si="12"/>
        <v/>
      </c>
      <c r="AM40" t="str">
        <f t="shared" si="13"/>
        <v/>
      </c>
      <c r="AN40" t="str">
        <f t="shared" si="14"/>
        <v/>
      </c>
      <c r="AO40" t="str">
        <f t="shared" si="15"/>
        <v/>
      </c>
      <c r="AP40" t="str">
        <f t="shared" si="16"/>
        <v/>
      </c>
      <c r="AQ40" t="str">
        <f t="shared" si="17"/>
        <v/>
      </c>
      <c r="AR40" t="str">
        <f t="shared" si="18"/>
        <v/>
      </c>
      <c r="AS40" t="str">
        <f t="shared" si="19"/>
        <v/>
      </c>
      <c r="AT40" t="str">
        <f t="shared" si="20"/>
        <v/>
      </c>
      <c r="AU40" t="str">
        <f t="shared" si="21"/>
        <v/>
      </c>
      <c r="AV40"/>
      <c r="AW40"/>
      <c r="AX40"/>
      <c r="AY40"/>
      <c r="AZ40"/>
    </row>
    <row r="41" spans="1:52" ht="42.75" customHeight="1" thickBot="1">
      <c r="A41" s="2257"/>
      <c r="B41" s="42">
        <f>+PP!B59</f>
        <v>36</v>
      </c>
      <c r="C41" s="2015" t="str">
        <f>+PP!C59</f>
        <v>TUBO ALETA 1.0-2.0 Kg/pza</v>
      </c>
      <c r="D41" s="220"/>
      <c r="E41" s="221"/>
      <c r="F41" s="221"/>
      <c r="G41" s="221"/>
      <c r="H41" s="221"/>
      <c r="I41" s="221"/>
      <c r="J41" s="221"/>
      <c r="K41" s="221"/>
      <c r="L41" s="221"/>
      <c r="M41" s="221"/>
      <c r="N41" s="221"/>
      <c r="O41" s="221"/>
      <c r="P41" s="221"/>
      <c r="Q41" s="221"/>
      <c r="R41" s="221"/>
      <c r="S41" s="221"/>
      <c r="T41" s="221"/>
      <c r="U41" s="221"/>
      <c r="V41" s="222"/>
      <c r="W41" s="584">
        <f t="shared" si="0"/>
        <v>0</v>
      </c>
      <c r="X41" s="153">
        <f t="shared" si="1"/>
        <v>0</v>
      </c>
      <c r="Y41" s="154">
        <f t="shared" si="30"/>
        <v>0</v>
      </c>
      <c r="AA41"/>
      <c r="AB41" s="1386"/>
      <c r="AC41" t="str">
        <f t="shared" si="3"/>
        <v/>
      </c>
      <c r="AD41" t="str">
        <f t="shared" si="4"/>
        <v/>
      </c>
      <c r="AE41" t="str">
        <f t="shared" si="5"/>
        <v/>
      </c>
      <c r="AF41" t="str">
        <f t="shared" si="6"/>
        <v/>
      </c>
      <c r="AG41" t="str">
        <f t="shared" si="7"/>
        <v/>
      </c>
      <c r="AH41" t="str">
        <f t="shared" si="8"/>
        <v/>
      </c>
      <c r="AI41" t="str">
        <f t="shared" si="9"/>
        <v/>
      </c>
      <c r="AJ41" t="str">
        <f t="shared" si="10"/>
        <v/>
      </c>
      <c r="AK41" t="str">
        <f t="shared" si="11"/>
        <v/>
      </c>
      <c r="AL41" t="str">
        <f t="shared" si="12"/>
        <v/>
      </c>
      <c r="AM41" t="str">
        <f t="shared" si="13"/>
        <v/>
      </c>
      <c r="AN41" t="str">
        <f t="shared" si="14"/>
        <v/>
      </c>
      <c r="AO41" t="str">
        <f t="shared" si="15"/>
        <v/>
      </c>
      <c r="AP41" t="str">
        <f t="shared" si="16"/>
        <v/>
      </c>
      <c r="AQ41" t="str">
        <f t="shared" si="17"/>
        <v/>
      </c>
      <c r="AR41" t="str">
        <f t="shared" si="18"/>
        <v/>
      </c>
      <c r="AS41" t="str">
        <f t="shared" si="19"/>
        <v/>
      </c>
      <c r="AT41" t="str">
        <f t="shared" si="20"/>
        <v/>
      </c>
      <c r="AU41" t="str">
        <f t="shared" si="21"/>
        <v/>
      </c>
      <c r="AV41"/>
      <c r="AW41"/>
      <c r="AX41"/>
      <c r="AY41"/>
      <c r="AZ41"/>
    </row>
    <row r="42" spans="1:52" ht="42.75" customHeight="1">
      <c r="A42" s="2257"/>
      <c r="B42" s="42">
        <f>+PP!B60</f>
        <v>37</v>
      </c>
      <c r="C42" s="1022" t="str">
        <f>+PP!C60</f>
        <v>TENTACULO C/B C/V SR 100-300 g/pza (SUCIO)</v>
      </c>
      <c r="D42" s="223"/>
      <c r="E42" s="224"/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994"/>
      <c r="W42" s="573">
        <f t="shared" si="0"/>
        <v>0</v>
      </c>
      <c r="X42" s="151">
        <f t="shared" si="1"/>
        <v>0</v>
      </c>
      <c r="Y42" s="152">
        <f t="shared" si="30"/>
        <v>0</v>
      </c>
      <c r="AA42"/>
      <c r="AB42" s="1386"/>
      <c r="AC42" t="str">
        <f t="shared" si="3"/>
        <v/>
      </c>
      <c r="AD42" t="str">
        <f t="shared" si="4"/>
        <v/>
      </c>
      <c r="AE42" t="str">
        <f t="shared" si="5"/>
        <v/>
      </c>
      <c r="AF42" t="str">
        <f t="shared" si="6"/>
        <v/>
      </c>
      <c r="AG42" t="str">
        <f t="shared" si="7"/>
        <v/>
      </c>
      <c r="AH42" t="str">
        <f t="shared" si="8"/>
        <v/>
      </c>
      <c r="AI42" t="str">
        <f t="shared" si="9"/>
        <v/>
      </c>
      <c r="AJ42" t="str">
        <f t="shared" si="10"/>
        <v/>
      </c>
      <c r="AK42" t="str">
        <f t="shared" si="11"/>
        <v/>
      </c>
      <c r="AL42" t="str">
        <f t="shared" si="12"/>
        <v/>
      </c>
      <c r="AM42" t="str">
        <f t="shared" si="13"/>
        <v/>
      </c>
      <c r="AN42" t="str">
        <f t="shared" si="14"/>
        <v/>
      </c>
      <c r="AO42" t="str">
        <f t="shared" si="15"/>
        <v/>
      </c>
      <c r="AP42" t="str">
        <f t="shared" si="16"/>
        <v/>
      </c>
      <c r="AQ42" t="str">
        <f t="shared" si="17"/>
        <v/>
      </c>
      <c r="AR42" t="str">
        <f t="shared" si="18"/>
        <v/>
      </c>
      <c r="AS42" t="str">
        <f t="shared" si="19"/>
        <v/>
      </c>
      <c r="AT42" t="str">
        <f t="shared" si="20"/>
        <v/>
      </c>
      <c r="AU42" t="str">
        <f t="shared" si="21"/>
        <v/>
      </c>
      <c r="AV42"/>
      <c r="AW42"/>
      <c r="AX42"/>
      <c r="AY42"/>
      <c r="AZ42"/>
    </row>
    <row r="43" spans="1:52" ht="50.25" customHeight="1">
      <c r="A43" s="2257"/>
      <c r="B43" s="42">
        <f>+PP!B61</f>
        <v>38</v>
      </c>
      <c r="C43" s="1024" t="str">
        <f>+PP!C61</f>
        <v>TENTACULO C/B C/V SR 300-500 g/pza (SUCIO)</v>
      </c>
      <c r="D43" s="217"/>
      <c r="E43" s="218"/>
      <c r="F43" s="218"/>
      <c r="G43" s="218"/>
      <c r="H43" s="218"/>
      <c r="I43" s="218"/>
      <c r="J43" s="218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276"/>
      <c r="W43" s="579">
        <f t="shared" si="0"/>
        <v>0</v>
      </c>
      <c r="X43" s="149">
        <f t="shared" si="1"/>
        <v>0</v>
      </c>
      <c r="Y43" s="146">
        <f t="shared" si="30"/>
        <v>0</v>
      </c>
      <c r="AA43"/>
      <c r="AB43" s="1386"/>
      <c r="AC43" t="str">
        <f t="shared" si="3"/>
        <v/>
      </c>
      <c r="AD43" t="str">
        <f t="shared" si="4"/>
        <v/>
      </c>
      <c r="AE43" t="str">
        <f t="shared" si="5"/>
        <v/>
      </c>
      <c r="AF43" t="str">
        <f t="shared" si="6"/>
        <v/>
      </c>
      <c r="AG43" t="str">
        <f t="shared" si="7"/>
        <v/>
      </c>
      <c r="AH43" t="str">
        <f t="shared" si="8"/>
        <v/>
      </c>
      <c r="AI43" t="str">
        <f t="shared" si="9"/>
        <v/>
      </c>
      <c r="AJ43" t="str">
        <f t="shared" si="10"/>
        <v/>
      </c>
      <c r="AK43" t="str">
        <f t="shared" si="11"/>
        <v/>
      </c>
      <c r="AL43" t="str">
        <f t="shared" si="12"/>
        <v/>
      </c>
      <c r="AM43" t="str">
        <f t="shared" si="13"/>
        <v/>
      </c>
      <c r="AN43" t="str">
        <f t="shared" si="14"/>
        <v/>
      </c>
      <c r="AO43" t="str">
        <f t="shared" si="15"/>
        <v/>
      </c>
      <c r="AP43" t="str">
        <f t="shared" si="16"/>
        <v/>
      </c>
      <c r="AQ43" t="str">
        <f t="shared" si="17"/>
        <v/>
      </c>
      <c r="AR43" t="str">
        <f t="shared" si="18"/>
        <v/>
      </c>
      <c r="AS43" t="str">
        <f t="shared" si="19"/>
        <v/>
      </c>
      <c r="AT43" t="str">
        <f t="shared" si="20"/>
        <v/>
      </c>
      <c r="AU43" t="str">
        <f t="shared" si="21"/>
        <v/>
      </c>
      <c r="AV43"/>
      <c r="AW43"/>
      <c r="AX43"/>
      <c r="AY43"/>
      <c r="AZ43"/>
    </row>
    <row r="44" spans="1:52" ht="45.75">
      <c r="A44" s="2257"/>
      <c r="B44" s="42">
        <f>+PP!B62</f>
        <v>39</v>
      </c>
      <c r="C44" s="1024" t="str">
        <f>+PP!C62</f>
        <v>TENTACULO C/B S/V SR 100-300 g/pza</v>
      </c>
      <c r="D44" s="217"/>
      <c r="E44" s="218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76"/>
      <c r="W44" s="579">
        <f t="shared" si="0"/>
        <v>0</v>
      </c>
      <c r="X44" s="149">
        <f t="shared" si="1"/>
        <v>0</v>
      </c>
      <c r="Y44" s="146">
        <f t="shared" si="30"/>
        <v>0</v>
      </c>
      <c r="AA44"/>
      <c r="AB44"/>
      <c r="AC44" t="str">
        <f t="shared" si="3"/>
        <v/>
      </c>
      <c r="AD44" t="str">
        <f t="shared" si="4"/>
        <v/>
      </c>
      <c r="AE44" t="str">
        <f t="shared" si="5"/>
        <v/>
      </c>
      <c r="AF44" t="str">
        <f t="shared" si="6"/>
        <v/>
      </c>
      <c r="AG44" t="str">
        <f t="shared" si="7"/>
        <v/>
      </c>
      <c r="AH44" t="str">
        <f t="shared" si="8"/>
        <v/>
      </c>
      <c r="AI44" t="str">
        <f t="shared" si="9"/>
        <v/>
      </c>
      <c r="AJ44" t="str">
        <f t="shared" si="10"/>
        <v/>
      </c>
      <c r="AK44" t="str">
        <f t="shared" si="11"/>
        <v/>
      </c>
      <c r="AL44" t="str">
        <f t="shared" si="12"/>
        <v/>
      </c>
      <c r="AM44" t="str">
        <f t="shared" si="13"/>
        <v/>
      </c>
      <c r="AN44" t="str">
        <f t="shared" si="14"/>
        <v/>
      </c>
      <c r="AO44" t="str">
        <f t="shared" si="15"/>
        <v/>
      </c>
      <c r="AP44" t="str">
        <f t="shared" si="16"/>
        <v/>
      </c>
      <c r="AQ44" t="str">
        <f t="shared" si="17"/>
        <v/>
      </c>
      <c r="AR44" t="str">
        <f t="shared" si="18"/>
        <v/>
      </c>
      <c r="AS44" t="str">
        <f t="shared" si="19"/>
        <v/>
      </c>
      <c r="AT44" t="str">
        <f t="shared" si="20"/>
        <v/>
      </c>
      <c r="AU44" t="str">
        <f t="shared" si="21"/>
        <v/>
      </c>
      <c r="AV44"/>
      <c r="AW44"/>
      <c r="AX44"/>
      <c r="AY44"/>
      <c r="AZ44"/>
    </row>
    <row r="45" spans="1:52" ht="45.75" customHeight="1">
      <c r="A45" s="2257"/>
      <c r="B45" s="42">
        <f>+PP!B63</f>
        <v>40</v>
      </c>
      <c r="C45" s="1024" t="str">
        <f>+PP!C63</f>
        <v>TENTACULO C/B C/V SR 100-500 g/pza (SUCIO)</v>
      </c>
      <c r="D45" s="217"/>
      <c r="E45" s="218"/>
      <c r="F45" s="218"/>
      <c r="G45" s="218"/>
      <c r="H45" s="218"/>
      <c r="I45" s="218"/>
      <c r="J45" s="218"/>
      <c r="K45" s="218"/>
      <c r="L45" s="218"/>
      <c r="M45" s="218"/>
      <c r="N45" s="218"/>
      <c r="O45" s="218"/>
      <c r="P45" s="218"/>
      <c r="Q45" s="218"/>
      <c r="R45" s="218"/>
      <c r="S45" s="218"/>
      <c r="T45" s="218"/>
      <c r="U45" s="218"/>
      <c r="V45" s="276"/>
      <c r="W45" s="579">
        <f t="shared" si="0"/>
        <v>0</v>
      </c>
      <c r="X45" s="149">
        <f t="shared" si="1"/>
        <v>0</v>
      </c>
      <c r="Y45" s="146">
        <f t="shared" si="30"/>
        <v>0</v>
      </c>
      <c r="AA45"/>
      <c r="AB45" s="1199"/>
      <c r="AC45" s="1199" t="str">
        <f t="shared" si="3"/>
        <v/>
      </c>
      <c r="AD45" s="1199" t="str">
        <f t="shared" si="4"/>
        <v/>
      </c>
      <c r="AE45" s="1199" t="str">
        <f t="shared" si="5"/>
        <v/>
      </c>
      <c r="AF45" s="1199" t="str">
        <f t="shared" si="6"/>
        <v/>
      </c>
      <c r="AG45" s="1199" t="str">
        <f t="shared" si="7"/>
        <v/>
      </c>
      <c r="AH45" t="str">
        <f t="shared" si="8"/>
        <v/>
      </c>
      <c r="AI45" t="str">
        <f t="shared" si="9"/>
        <v/>
      </c>
      <c r="AJ45" t="str">
        <f t="shared" si="10"/>
        <v/>
      </c>
      <c r="AK45" t="str">
        <f t="shared" si="11"/>
        <v/>
      </c>
      <c r="AL45" t="str">
        <f t="shared" si="12"/>
        <v/>
      </c>
      <c r="AM45" t="str">
        <f t="shared" si="13"/>
        <v/>
      </c>
      <c r="AN45" t="str">
        <f t="shared" si="14"/>
        <v/>
      </c>
      <c r="AO45" t="str">
        <f t="shared" si="15"/>
        <v/>
      </c>
      <c r="AP45" t="str">
        <f t="shared" si="16"/>
        <v/>
      </c>
      <c r="AQ45" t="str">
        <f t="shared" si="17"/>
        <v/>
      </c>
      <c r="AR45" t="str">
        <f t="shared" si="18"/>
        <v/>
      </c>
      <c r="AS45" t="str">
        <f t="shared" si="19"/>
        <v/>
      </c>
      <c r="AT45" t="str">
        <f t="shared" si="20"/>
        <v/>
      </c>
      <c r="AU45" t="str">
        <f t="shared" si="21"/>
        <v/>
      </c>
      <c r="AV45"/>
      <c r="AW45"/>
      <c r="AX45"/>
      <c r="AY45"/>
      <c r="AZ45"/>
    </row>
    <row r="46" spans="1:52" ht="45.75">
      <c r="A46" s="2257"/>
      <c r="B46" s="42">
        <f>+PP!B64</f>
        <v>41</v>
      </c>
      <c r="C46" s="1024" t="str">
        <f>+PP!C64</f>
        <v>TENTACULO C/B S/V SR 100-500 g/pza</v>
      </c>
      <c r="D46" s="1837"/>
      <c r="E46" s="1831"/>
      <c r="F46" s="1831"/>
      <c r="G46" s="1831"/>
      <c r="H46" s="1831"/>
      <c r="I46" s="1831"/>
      <c r="J46" s="1831"/>
      <c r="K46" s="218"/>
      <c r="L46" s="218"/>
      <c r="M46" s="218"/>
      <c r="N46" s="218"/>
      <c r="O46" s="218"/>
      <c r="P46" s="218"/>
      <c r="Q46" s="218"/>
      <c r="R46" s="218"/>
      <c r="S46" s="218"/>
      <c r="T46" s="218"/>
      <c r="U46" s="218"/>
      <c r="V46" s="276"/>
      <c r="W46" s="579">
        <f t="shared" si="0"/>
        <v>0</v>
      </c>
      <c r="X46" s="149">
        <f t="shared" si="1"/>
        <v>0</v>
      </c>
      <c r="Y46" s="146">
        <f t="shared" si="30"/>
        <v>0</v>
      </c>
      <c r="AA46"/>
      <c r="AB46" s="1199"/>
      <c r="AC46" s="1199" t="str">
        <f t="shared" si="3"/>
        <v/>
      </c>
      <c r="AD46" s="1199" t="str">
        <f t="shared" si="4"/>
        <v/>
      </c>
      <c r="AE46" s="1199" t="str">
        <f t="shared" si="5"/>
        <v/>
      </c>
      <c r="AF46" s="1199" t="str">
        <f t="shared" si="6"/>
        <v/>
      </c>
      <c r="AG46" s="1199" t="str">
        <f t="shared" si="7"/>
        <v/>
      </c>
      <c r="AH46" t="str">
        <f t="shared" si="8"/>
        <v/>
      </c>
      <c r="AI46" t="str">
        <f t="shared" si="9"/>
        <v/>
      </c>
      <c r="AJ46" t="str">
        <f t="shared" si="10"/>
        <v/>
      </c>
      <c r="AK46" t="str">
        <f t="shared" si="11"/>
        <v/>
      </c>
      <c r="AL46" t="str">
        <f t="shared" si="12"/>
        <v/>
      </c>
      <c r="AM46" t="str">
        <f t="shared" si="13"/>
        <v/>
      </c>
      <c r="AN46" t="str">
        <f t="shared" si="14"/>
        <v/>
      </c>
      <c r="AO46" t="str">
        <f t="shared" si="15"/>
        <v/>
      </c>
      <c r="AP46" t="str">
        <f t="shared" si="16"/>
        <v/>
      </c>
      <c r="AQ46" t="str">
        <f t="shared" si="17"/>
        <v/>
      </c>
      <c r="AR46" t="str">
        <f t="shared" si="18"/>
        <v/>
      </c>
      <c r="AS46" t="str">
        <f t="shared" si="19"/>
        <v/>
      </c>
      <c r="AT46" t="str">
        <f t="shared" si="20"/>
        <v/>
      </c>
      <c r="AU46" t="str">
        <f t="shared" si="21"/>
        <v/>
      </c>
      <c r="AV46"/>
      <c r="AW46"/>
      <c r="AX46"/>
      <c r="AY46"/>
      <c r="AZ46"/>
    </row>
    <row r="47" spans="1:52" ht="45.75">
      <c r="A47" s="2257"/>
      <c r="B47" s="42">
        <f>+PP!B65</f>
        <v>42</v>
      </c>
      <c r="C47" s="1024" t="str">
        <f>+PP!C65</f>
        <v>TENTACULO C/B S/V SR 300-500 g/pza</v>
      </c>
      <c r="D47" s="1837"/>
      <c r="E47" s="1831"/>
      <c r="F47" s="1831"/>
      <c r="G47" s="1831"/>
      <c r="H47" s="1831"/>
      <c r="I47" s="1831"/>
      <c r="J47" s="1831"/>
      <c r="K47" s="218"/>
      <c r="L47" s="218"/>
      <c r="M47" s="218"/>
      <c r="N47" s="218"/>
      <c r="O47" s="218"/>
      <c r="P47" s="218"/>
      <c r="Q47" s="218"/>
      <c r="R47" s="218"/>
      <c r="S47" s="218"/>
      <c r="T47" s="218"/>
      <c r="U47" s="218"/>
      <c r="V47" s="276"/>
      <c r="W47" s="579">
        <f t="shared" si="0"/>
        <v>0</v>
      </c>
      <c r="X47" s="149">
        <f t="shared" si="1"/>
        <v>0</v>
      </c>
      <c r="Y47" s="146">
        <f t="shared" si="30"/>
        <v>0</v>
      </c>
      <c r="AA47"/>
      <c r="AB47" s="1199"/>
      <c r="AC47" s="1199" t="str">
        <f t="shared" si="3"/>
        <v/>
      </c>
      <c r="AD47" s="1199" t="str">
        <f t="shared" si="4"/>
        <v/>
      </c>
      <c r="AE47" s="1199" t="str">
        <f t="shared" si="5"/>
        <v/>
      </c>
      <c r="AF47" s="1199" t="str">
        <f t="shared" si="6"/>
        <v/>
      </c>
      <c r="AG47" s="1199" t="str">
        <f t="shared" si="7"/>
        <v/>
      </c>
      <c r="AH47" t="str">
        <f t="shared" si="8"/>
        <v/>
      </c>
      <c r="AI47" t="str">
        <f t="shared" si="9"/>
        <v/>
      </c>
      <c r="AJ47" t="str">
        <f t="shared" si="10"/>
        <v/>
      </c>
      <c r="AK47" t="str">
        <f t="shared" si="11"/>
        <v/>
      </c>
      <c r="AL47" t="str">
        <f t="shared" si="12"/>
        <v/>
      </c>
      <c r="AM47" t="str">
        <f t="shared" si="13"/>
        <v/>
      </c>
      <c r="AN47" t="str">
        <f t="shared" si="14"/>
        <v/>
      </c>
      <c r="AO47" t="str">
        <f t="shared" si="15"/>
        <v/>
      </c>
      <c r="AP47" t="str">
        <f t="shared" si="16"/>
        <v/>
      </c>
      <c r="AQ47" t="str">
        <f t="shared" si="17"/>
        <v/>
      </c>
      <c r="AR47" t="str">
        <f t="shared" si="18"/>
        <v/>
      </c>
      <c r="AS47" t="str">
        <f t="shared" si="19"/>
        <v/>
      </c>
      <c r="AT47" t="str">
        <f t="shared" si="20"/>
        <v/>
      </c>
      <c r="AU47" t="str">
        <f t="shared" si="21"/>
        <v/>
      </c>
      <c r="AV47"/>
      <c r="AW47"/>
      <c r="AX47"/>
      <c r="AY47"/>
      <c r="AZ47"/>
    </row>
    <row r="48" spans="1:52" ht="45.75" customHeight="1">
      <c r="A48" s="2257"/>
      <c r="B48" s="42">
        <f>+PP!B66</f>
        <v>43</v>
      </c>
      <c r="C48" s="1024" t="str">
        <f>+PP!C66</f>
        <v>TENTACULO C/B C/V SR 500-1000 g/pza (SUCIO)</v>
      </c>
      <c r="D48" s="1837"/>
      <c r="E48" s="1831"/>
      <c r="F48" s="1831"/>
      <c r="G48" s="1831"/>
      <c r="H48" s="1831"/>
      <c r="I48" s="1831"/>
      <c r="J48" s="1831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76"/>
      <c r="W48" s="579">
        <f t="shared" si="0"/>
        <v>0</v>
      </c>
      <c r="X48" s="149">
        <f t="shared" si="1"/>
        <v>0</v>
      </c>
      <c r="Y48" s="146">
        <f t="shared" si="30"/>
        <v>0</v>
      </c>
      <c r="AA48"/>
      <c r="AB48" s="1199"/>
      <c r="AC48" s="1199" t="str">
        <f t="shared" si="3"/>
        <v/>
      </c>
      <c r="AD48" s="1199" t="str">
        <f t="shared" si="4"/>
        <v/>
      </c>
      <c r="AE48" s="1199" t="str">
        <f t="shared" si="5"/>
        <v/>
      </c>
      <c r="AF48" s="1199" t="str">
        <f t="shared" si="6"/>
        <v/>
      </c>
      <c r="AG48" s="1199" t="str">
        <f t="shared" si="7"/>
        <v/>
      </c>
      <c r="AH48" t="str">
        <f t="shared" si="8"/>
        <v/>
      </c>
      <c r="AI48" t="str">
        <f t="shared" si="9"/>
        <v/>
      </c>
      <c r="AJ48" t="str">
        <f t="shared" si="10"/>
        <v/>
      </c>
      <c r="AK48" t="str">
        <f t="shared" si="11"/>
        <v/>
      </c>
      <c r="AL48" t="str">
        <f t="shared" si="12"/>
        <v/>
      </c>
      <c r="AM48" t="str">
        <f t="shared" si="13"/>
        <v/>
      </c>
      <c r="AN48" t="str">
        <f t="shared" si="14"/>
        <v/>
      </c>
      <c r="AO48" t="str">
        <f t="shared" si="15"/>
        <v/>
      </c>
      <c r="AP48" t="str">
        <f t="shared" si="16"/>
        <v/>
      </c>
      <c r="AQ48" t="str">
        <f t="shared" si="17"/>
        <v/>
      </c>
      <c r="AR48" t="str">
        <f t="shared" si="18"/>
        <v/>
      </c>
      <c r="AS48" t="str">
        <f t="shared" si="19"/>
        <v/>
      </c>
      <c r="AT48" t="str">
        <f t="shared" si="20"/>
        <v/>
      </c>
      <c r="AU48" t="str">
        <f t="shared" si="21"/>
        <v/>
      </c>
      <c r="AV48"/>
      <c r="AW48"/>
      <c r="AX48"/>
      <c r="AY48"/>
      <c r="AZ48"/>
    </row>
    <row r="49" spans="1:87" ht="51.75" customHeight="1">
      <c r="A49" s="2257"/>
      <c r="B49" s="42">
        <f>+PP!B67</f>
        <v>44</v>
      </c>
      <c r="C49" s="1024" t="str">
        <f>+PP!C67</f>
        <v>TENTACULO C/B S/V SR 500-1000 g/pza</v>
      </c>
      <c r="D49" s="1837"/>
      <c r="E49" s="1831"/>
      <c r="F49" s="1831"/>
      <c r="G49" s="1831"/>
      <c r="H49" s="1831"/>
      <c r="I49" s="1831"/>
      <c r="J49" s="1831"/>
      <c r="K49" s="218"/>
      <c r="L49" s="218"/>
      <c r="M49" s="218"/>
      <c r="N49" s="218"/>
      <c r="O49" s="218"/>
      <c r="P49" s="218"/>
      <c r="Q49" s="218"/>
      <c r="R49" s="218"/>
      <c r="S49" s="218"/>
      <c r="T49" s="218"/>
      <c r="U49" s="218"/>
      <c r="V49" s="276"/>
      <c r="W49" s="579">
        <f t="shared" si="0"/>
        <v>0</v>
      </c>
      <c r="X49" s="149">
        <f t="shared" si="1"/>
        <v>0</v>
      </c>
      <c r="Y49" s="146">
        <f t="shared" si="30"/>
        <v>0</v>
      </c>
      <c r="AA49"/>
      <c r="AB49" s="1199"/>
      <c r="AC49" s="1199" t="str">
        <f t="shared" si="3"/>
        <v/>
      </c>
      <c r="AD49" s="1199" t="str">
        <f t="shared" si="4"/>
        <v/>
      </c>
      <c r="AE49" s="1199" t="str">
        <f t="shared" si="5"/>
        <v/>
      </c>
      <c r="AF49" s="1199" t="str">
        <f t="shared" si="6"/>
        <v/>
      </c>
      <c r="AG49" s="1199" t="str">
        <f t="shared" si="7"/>
        <v/>
      </c>
      <c r="AH49" t="str">
        <f t="shared" si="8"/>
        <v/>
      </c>
      <c r="AI49" t="str">
        <f t="shared" si="9"/>
        <v/>
      </c>
      <c r="AJ49" t="str">
        <f t="shared" si="10"/>
        <v/>
      </c>
      <c r="AK49" t="str">
        <f t="shared" si="11"/>
        <v/>
      </c>
      <c r="AL49" t="str">
        <f t="shared" si="12"/>
        <v/>
      </c>
      <c r="AM49" t="str">
        <f t="shared" si="13"/>
        <v/>
      </c>
      <c r="AN49" t="str">
        <f t="shared" si="14"/>
        <v/>
      </c>
      <c r="AO49" t="str">
        <f t="shared" si="15"/>
        <v/>
      </c>
      <c r="AP49" t="str">
        <f t="shared" si="16"/>
        <v/>
      </c>
      <c r="AQ49" t="str">
        <f t="shared" si="17"/>
        <v/>
      </c>
      <c r="AR49" t="str">
        <f t="shared" si="18"/>
        <v/>
      </c>
      <c r="AS49" t="str">
        <f t="shared" si="19"/>
        <v/>
      </c>
      <c r="AT49" t="str">
        <f t="shared" si="20"/>
        <v/>
      </c>
      <c r="AU49" t="str">
        <f t="shared" si="21"/>
        <v/>
      </c>
      <c r="AV49"/>
      <c r="AW49"/>
      <c r="AX49"/>
      <c r="AY49"/>
      <c r="AZ49"/>
    </row>
    <row r="50" spans="1:87" ht="45.75" customHeight="1">
      <c r="A50" s="2257"/>
      <c r="B50" s="42">
        <f>+PP!B68</f>
        <v>45</v>
      </c>
      <c r="C50" s="1024" t="str">
        <f>+PP!C68</f>
        <v>TENTACULO C/B C/V SR 1.0-2.0 Kg/pza (SUCIO)</v>
      </c>
      <c r="D50" s="1837"/>
      <c r="E50" s="1831"/>
      <c r="F50" s="1831"/>
      <c r="G50" s="1831"/>
      <c r="H50" s="1831"/>
      <c r="I50" s="1831"/>
      <c r="J50" s="1831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76"/>
      <c r="W50" s="579">
        <f t="shared" si="0"/>
        <v>0</v>
      </c>
      <c r="X50" s="149">
        <f t="shared" si="1"/>
        <v>0</v>
      </c>
      <c r="Y50" s="146">
        <f t="shared" si="30"/>
        <v>0</v>
      </c>
      <c r="AA50"/>
      <c r="AB50" s="1199"/>
      <c r="AC50" s="1199" t="str">
        <f t="shared" si="3"/>
        <v/>
      </c>
      <c r="AD50" s="1199" t="str">
        <f t="shared" si="4"/>
        <v/>
      </c>
      <c r="AE50" s="1199" t="str">
        <f t="shared" si="5"/>
        <v/>
      </c>
      <c r="AF50" s="1199" t="str">
        <f t="shared" si="6"/>
        <v/>
      </c>
      <c r="AG50" s="1199" t="str">
        <f t="shared" si="7"/>
        <v/>
      </c>
      <c r="AH50" t="str">
        <f t="shared" si="8"/>
        <v/>
      </c>
      <c r="AI50" t="str">
        <f t="shared" si="9"/>
        <v/>
      </c>
      <c r="AJ50" t="str">
        <f t="shared" si="10"/>
        <v/>
      </c>
      <c r="AK50" t="str">
        <f t="shared" si="11"/>
        <v/>
      </c>
      <c r="AL50" t="str">
        <f t="shared" si="12"/>
        <v/>
      </c>
      <c r="AM50" t="str">
        <f t="shared" si="13"/>
        <v/>
      </c>
      <c r="AN50" t="str">
        <f t="shared" si="14"/>
        <v/>
      </c>
      <c r="AO50" t="str">
        <f t="shared" si="15"/>
        <v/>
      </c>
      <c r="AP50" t="str">
        <f t="shared" si="16"/>
        <v/>
      </c>
      <c r="AQ50" t="str">
        <f t="shared" si="17"/>
        <v/>
      </c>
      <c r="AR50" t="str">
        <f t="shared" si="18"/>
        <v/>
      </c>
      <c r="AS50" t="str">
        <f t="shared" si="19"/>
        <v/>
      </c>
      <c r="AT50" t="str">
        <f t="shared" si="20"/>
        <v/>
      </c>
      <c r="AU50" t="str">
        <f t="shared" si="21"/>
        <v/>
      </c>
      <c r="AV50"/>
      <c r="AW50"/>
      <c r="AX50"/>
      <c r="AY50"/>
      <c r="AZ50"/>
    </row>
    <row r="51" spans="1:87" ht="45.75">
      <c r="A51" s="2257"/>
      <c r="B51" s="42">
        <f>+PP!B69</f>
        <v>46</v>
      </c>
      <c r="C51" s="1024" t="str">
        <f>+PP!C69</f>
        <v>TENTACULO C/B S/V SR 1.0-2.0 Kg/pza</v>
      </c>
      <c r="D51" s="1837"/>
      <c r="E51" s="1831"/>
      <c r="F51" s="1831"/>
      <c r="G51" s="1831"/>
      <c r="H51" s="1831"/>
      <c r="I51" s="1831"/>
      <c r="J51" s="1831"/>
      <c r="K51" s="218"/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76"/>
      <c r="W51" s="579">
        <f t="shared" si="0"/>
        <v>0</v>
      </c>
      <c r="X51" s="149">
        <f t="shared" si="1"/>
        <v>0</v>
      </c>
      <c r="Y51" s="146">
        <f t="shared" si="30"/>
        <v>0</v>
      </c>
      <c r="AA51"/>
      <c r="AB51" s="1199"/>
      <c r="AC51" s="1199" t="str">
        <f t="shared" si="3"/>
        <v/>
      </c>
      <c r="AD51" s="1199" t="str">
        <f t="shared" si="4"/>
        <v/>
      </c>
      <c r="AE51" s="1199" t="str">
        <f t="shared" si="5"/>
        <v/>
      </c>
      <c r="AF51" s="1199" t="str">
        <f t="shared" si="6"/>
        <v/>
      </c>
      <c r="AG51" s="1199" t="str">
        <f t="shared" si="7"/>
        <v/>
      </c>
      <c r="AH51" t="str">
        <f t="shared" si="8"/>
        <v/>
      </c>
      <c r="AI51" t="str">
        <f t="shared" si="9"/>
        <v/>
      </c>
      <c r="AJ51" t="str">
        <f t="shared" si="10"/>
        <v/>
      </c>
      <c r="AK51" t="str">
        <f t="shared" si="11"/>
        <v/>
      </c>
      <c r="AL51" t="str">
        <f t="shared" si="12"/>
        <v/>
      </c>
      <c r="AM51" t="str">
        <f t="shared" si="13"/>
        <v/>
      </c>
      <c r="AN51" t="str">
        <f t="shared" si="14"/>
        <v/>
      </c>
      <c r="AO51" t="str">
        <f t="shared" si="15"/>
        <v/>
      </c>
      <c r="AP51" t="str">
        <f t="shared" si="16"/>
        <v/>
      </c>
      <c r="AQ51" t="str">
        <f t="shared" si="17"/>
        <v/>
      </c>
      <c r="AR51" t="str">
        <f t="shared" si="18"/>
        <v/>
      </c>
      <c r="AS51" t="str">
        <f t="shared" si="19"/>
        <v/>
      </c>
      <c r="AT51" t="str">
        <f t="shared" si="20"/>
        <v/>
      </c>
      <c r="AU51" t="str">
        <f t="shared" si="21"/>
        <v/>
      </c>
      <c r="AV51"/>
      <c r="AW51"/>
      <c r="AX51"/>
      <c r="AY51"/>
      <c r="AZ51"/>
    </row>
    <row r="52" spans="1:87" ht="45" customHeight="1" thickBot="1">
      <c r="A52" s="2257"/>
      <c r="B52" s="42">
        <f>+PP!B70</f>
        <v>47</v>
      </c>
      <c r="C52" s="1026" t="str">
        <f>+PP!C70</f>
        <v>TENTACULO C/B S/V SR 2 UP Kg/pza</v>
      </c>
      <c r="D52" s="3009"/>
      <c r="E52" s="3004"/>
      <c r="F52" s="3004"/>
      <c r="G52" s="3004"/>
      <c r="H52" s="3004"/>
      <c r="I52" s="3004"/>
      <c r="J52" s="3004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3010"/>
      <c r="W52" s="581">
        <f t="shared" si="0"/>
        <v>0</v>
      </c>
      <c r="X52" s="155">
        <f t="shared" si="1"/>
        <v>0</v>
      </c>
      <c r="Y52" s="156">
        <f t="shared" si="30"/>
        <v>0</v>
      </c>
      <c r="AA52"/>
      <c r="AB52" s="1199"/>
      <c r="AC52" s="1199" t="str">
        <f t="shared" si="3"/>
        <v/>
      </c>
      <c r="AD52" s="1199" t="str">
        <f t="shared" si="4"/>
        <v/>
      </c>
      <c r="AE52" s="1199" t="str">
        <f t="shared" si="5"/>
        <v/>
      </c>
      <c r="AF52" s="1199" t="str">
        <f t="shared" si="6"/>
        <v/>
      </c>
      <c r="AG52" s="1199" t="str">
        <f t="shared" si="7"/>
        <v/>
      </c>
      <c r="AH52" t="str">
        <f t="shared" si="8"/>
        <v/>
      </c>
      <c r="AI52" t="str">
        <f t="shared" si="9"/>
        <v/>
      </c>
      <c r="AJ52" t="str">
        <f t="shared" si="10"/>
        <v/>
      </c>
      <c r="AK52" t="str">
        <f t="shared" si="11"/>
        <v/>
      </c>
      <c r="AL52" t="str">
        <f t="shared" si="12"/>
        <v/>
      </c>
      <c r="AM52" t="str">
        <f t="shared" si="13"/>
        <v/>
      </c>
      <c r="AN52" t="str">
        <f t="shared" si="14"/>
        <v/>
      </c>
      <c r="AO52" t="str">
        <f t="shared" si="15"/>
        <v/>
      </c>
      <c r="AP52" t="str">
        <f t="shared" si="16"/>
        <v/>
      </c>
      <c r="AQ52" t="str">
        <f t="shared" si="17"/>
        <v/>
      </c>
      <c r="AR52" t="str">
        <f t="shared" si="18"/>
        <v/>
      </c>
      <c r="AS52" t="str">
        <f t="shared" si="19"/>
        <v/>
      </c>
      <c r="AT52" t="str">
        <f t="shared" si="20"/>
        <v/>
      </c>
      <c r="AU52" t="str">
        <f t="shared" si="21"/>
        <v/>
      </c>
      <c r="AV52"/>
      <c r="AW52"/>
      <c r="AX52"/>
      <c r="AY52"/>
      <c r="AZ52"/>
    </row>
    <row r="53" spans="1:87" ht="46.5" thickBot="1">
      <c r="A53" s="2257"/>
      <c r="B53" s="40">
        <f>+PP!B71</f>
        <v>48</v>
      </c>
      <c r="C53" s="2015" t="str">
        <f>+PP!C71</f>
        <v>TUBO ALETA 500-1000 g/pza</v>
      </c>
      <c r="D53" s="220"/>
      <c r="E53" s="221"/>
      <c r="F53" s="221"/>
      <c r="G53" s="221"/>
      <c r="H53" s="221"/>
      <c r="I53" s="221"/>
      <c r="J53" s="221"/>
      <c r="K53" s="221"/>
      <c r="L53" s="221"/>
      <c r="M53" s="221"/>
      <c r="N53" s="221"/>
      <c r="O53" s="221"/>
      <c r="P53" s="221"/>
      <c r="Q53" s="221"/>
      <c r="R53" s="221"/>
      <c r="S53" s="221"/>
      <c r="T53" s="221"/>
      <c r="U53" s="221"/>
      <c r="V53" s="2996"/>
      <c r="W53" s="584">
        <f t="shared" si="0"/>
        <v>0</v>
      </c>
      <c r="X53" s="153">
        <f t="shared" si="1"/>
        <v>0</v>
      </c>
      <c r="Y53" s="154">
        <f t="shared" si="30"/>
        <v>0</v>
      </c>
      <c r="AA53"/>
      <c r="AB53" s="1199"/>
      <c r="AC53" s="1199" t="str">
        <f t="shared" si="3"/>
        <v/>
      </c>
      <c r="AD53" s="1199" t="str">
        <f t="shared" si="4"/>
        <v/>
      </c>
      <c r="AE53" s="1199" t="str">
        <f t="shared" si="5"/>
        <v/>
      </c>
      <c r="AF53" s="1199" t="str">
        <f t="shared" si="6"/>
        <v/>
      </c>
      <c r="AG53" s="1199" t="str">
        <f t="shared" si="7"/>
        <v/>
      </c>
      <c r="AH53" t="str">
        <f t="shared" si="8"/>
        <v/>
      </c>
      <c r="AI53" t="str">
        <f t="shared" si="9"/>
        <v/>
      </c>
      <c r="AJ53" t="str">
        <f t="shared" si="10"/>
        <v/>
      </c>
      <c r="AK53" t="str">
        <f t="shared" si="11"/>
        <v/>
      </c>
      <c r="AL53" t="str">
        <f t="shared" si="12"/>
        <v/>
      </c>
      <c r="AM53" t="str">
        <f t="shared" si="13"/>
        <v/>
      </c>
      <c r="AN53" t="str">
        <f t="shared" si="14"/>
        <v/>
      </c>
      <c r="AO53" t="str">
        <f t="shared" si="15"/>
        <v/>
      </c>
      <c r="AP53" t="str">
        <f t="shared" si="16"/>
        <v/>
      </c>
      <c r="AQ53" t="str">
        <f t="shared" si="17"/>
        <v/>
      </c>
      <c r="AR53" t="str">
        <f t="shared" si="18"/>
        <v/>
      </c>
      <c r="AS53" t="str">
        <f t="shared" si="19"/>
        <v/>
      </c>
      <c r="AT53" t="str">
        <f t="shared" si="20"/>
        <v/>
      </c>
      <c r="AU53" t="str">
        <f t="shared" si="21"/>
        <v/>
      </c>
      <c r="AV53"/>
      <c r="AW53"/>
      <c r="AX53"/>
      <c r="AY53"/>
      <c r="AZ53"/>
    </row>
    <row r="54" spans="1:87" ht="70.150000000000006" customHeight="1" thickBot="1">
      <c r="A54" s="2257"/>
      <c r="C54" s="1791" t="s">
        <v>38</v>
      </c>
      <c r="D54" s="1832">
        <f t="shared" ref="D54:Y54" si="32">SUM(D6:D53)</f>
        <v>0</v>
      </c>
      <c r="E54" s="1833">
        <f t="shared" si="32"/>
        <v>0</v>
      </c>
      <c r="F54" s="1833">
        <f t="shared" si="32"/>
        <v>0</v>
      </c>
      <c r="G54" s="1833">
        <f t="shared" si="32"/>
        <v>0</v>
      </c>
      <c r="H54" s="1833">
        <f t="shared" si="32"/>
        <v>0</v>
      </c>
      <c r="I54" s="1833">
        <f t="shared" si="32"/>
        <v>0</v>
      </c>
      <c r="J54" s="1833">
        <f t="shared" si="32"/>
        <v>0</v>
      </c>
      <c r="K54" s="1833">
        <f t="shared" si="32"/>
        <v>0</v>
      </c>
      <c r="L54" s="1833">
        <f t="shared" si="32"/>
        <v>0</v>
      </c>
      <c r="M54" s="1833">
        <f t="shared" si="32"/>
        <v>0</v>
      </c>
      <c r="N54" s="1833">
        <f t="shared" si="32"/>
        <v>0</v>
      </c>
      <c r="O54" s="1833">
        <f t="shared" si="32"/>
        <v>0</v>
      </c>
      <c r="P54" s="1833">
        <f t="shared" si="32"/>
        <v>0</v>
      </c>
      <c r="Q54" s="1833">
        <f t="shared" si="32"/>
        <v>0</v>
      </c>
      <c r="R54" s="1834">
        <f t="shared" si="32"/>
        <v>0</v>
      </c>
      <c r="S54" s="1834">
        <f t="shared" si="32"/>
        <v>0</v>
      </c>
      <c r="T54" s="1834">
        <f t="shared" si="32"/>
        <v>0</v>
      </c>
      <c r="U54" s="1834">
        <f t="shared" si="32"/>
        <v>0</v>
      </c>
      <c r="V54" s="1835">
        <f t="shared" si="32"/>
        <v>0</v>
      </c>
      <c r="W54" s="2906">
        <f t="shared" si="32"/>
        <v>0</v>
      </c>
      <c r="X54" s="2228">
        <f t="shared" si="32"/>
        <v>0</v>
      </c>
      <c r="Y54" s="541">
        <f t="shared" si="32"/>
        <v>0</v>
      </c>
      <c r="AA54"/>
      <c r="AB54" s="1199"/>
      <c r="AC54" s="1199"/>
      <c r="AD54" s="1199"/>
      <c r="AE54" s="1199"/>
      <c r="AF54" s="1199"/>
      <c r="AG54" s="1199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87" ht="30.75" thickBot="1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452"/>
      <c r="V55" s="452"/>
      <c r="W55" s="452"/>
      <c r="X55" s="452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87" ht="46.5" customHeight="1" thickBot="1">
      <c r="C56" s="46" t="s">
        <v>122</v>
      </c>
      <c r="D56" s="2258" t="s">
        <v>119</v>
      </c>
      <c r="E56" s="2259"/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60"/>
      <c r="S56" s="2260"/>
      <c r="T56" s="2260"/>
      <c r="U56" s="2260"/>
      <c r="V56" s="2261"/>
      <c r="W56" s="452"/>
      <c r="X56" s="452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CH56" s="33" t="s">
        <v>77</v>
      </c>
      <c r="CI56" s="31" t="e">
        <f>+Y54/PP!K20*100</f>
        <v>#DIV/0!</v>
      </c>
    </row>
    <row r="57" spans="1:87" ht="30"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1718"/>
      <c r="S57" s="1718"/>
      <c r="T57" s="1718"/>
      <c r="U57" s="1718"/>
      <c r="V57" s="1718"/>
      <c r="W57" s="1718"/>
      <c r="X57" s="1718"/>
      <c r="Y57" s="30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87" ht="30"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1718"/>
      <c r="S58" s="1718"/>
      <c r="T58" s="1718"/>
      <c r="U58" s="1718"/>
      <c r="V58" s="1718"/>
      <c r="W58" s="1718"/>
      <c r="X58" s="1718"/>
      <c r="Y58" s="30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87" ht="46.5" thickBot="1">
      <c r="B59" s="98"/>
      <c r="C59" s="98"/>
      <c r="D59" s="98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1718"/>
      <c r="S59" s="1718"/>
      <c r="T59" s="1718"/>
      <c r="U59" s="1718"/>
      <c r="V59" s="1718"/>
      <c r="W59" s="1718"/>
      <c r="X59" s="1718"/>
      <c r="Y59" s="30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87" ht="33.950000000000003" customHeight="1" thickBot="1">
      <c r="B60" s="98"/>
      <c r="C60" s="2239" t="s">
        <v>657</v>
      </c>
      <c r="D60" s="2240"/>
      <c r="E60" s="2240"/>
      <c r="F60" s="2240"/>
      <c r="G60" s="2240"/>
      <c r="H60" s="2240"/>
      <c r="I60" s="2240"/>
      <c r="J60" s="2241"/>
      <c r="K60" s="28"/>
      <c r="O60" s="30"/>
      <c r="P60" s="30"/>
      <c r="Q60" s="2239" t="s">
        <v>604</v>
      </c>
      <c r="R60" s="2253"/>
      <c r="S60" s="2254"/>
      <c r="T60" s="1718"/>
      <c r="U60" s="1718"/>
      <c r="V60" s="1718"/>
      <c r="W60" s="1718"/>
      <c r="X60" s="1718"/>
      <c r="Y60" s="3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87" ht="30.95" customHeight="1" thickBot="1">
      <c r="B61" s="98"/>
      <c r="C61" s="2242" t="s">
        <v>15</v>
      </c>
      <c r="D61" s="2243"/>
      <c r="E61" s="2243"/>
      <c r="F61" s="2243"/>
      <c r="G61" s="2243"/>
      <c r="H61" s="1454" t="s">
        <v>186</v>
      </c>
      <c r="I61" s="1454" t="s">
        <v>670</v>
      </c>
      <c r="J61" s="1454" t="s">
        <v>667</v>
      </c>
      <c r="K61" s="1454" t="s">
        <v>671</v>
      </c>
      <c r="L61" s="1471" t="s">
        <v>38</v>
      </c>
      <c r="M61" s="1463"/>
      <c r="P61" s="30"/>
      <c r="Q61" s="2255" t="s">
        <v>658</v>
      </c>
      <c r="R61" s="2256"/>
      <c r="S61" s="2109">
        <f>+Y54</f>
        <v>0</v>
      </c>
      <c r="T61" s="1718"/>
      <c r="U61" s="1718"/>
      <c r="V61" s="1718"/>
      <c r="W61" s="1718"/>
      <c r="X61" s="1718"/>
      <c r="Y61" s="30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87" ht="30.95" customHeight="1" thickBot="1">
      <c r="B62" s="98"/>
      <c r="C62" s="2244">
        <v>1</v>
      </c>
      <c r="D62" s="2245"/>
      <c r="E62" s="2245"/>
      <c r="F62" s="2245"/>
      <c r="G62" s="2245"/>
      <c r="H62" s="1455" t="str">
        <f>+'T1'!E62</f>
        <v xml:space="preserve">ANDRES </v>
      </c>
      <c r="I62" s="1456"/>
      <c r="J62" s="1456"/>
      <c r="K62" s="1456"/>
      <c r="L62" s="1456">
        <f t="shared" ref="L62:L72" si="33">SUM(I62+J62+K62)</f>
        <v>0</v>
      </c>
      <c r="M62" s="1464"/>
      <c r="P62" s="30"/>
      <c r="Q62" s="2255" t="s">
        <v>8</v>
      </c>
      <c r="R62" s="2256"/>
      <c r="S62" s="2109">
        <f>+L73</f>
        <v>0</v>
      </c>
      <c r="T62" s="1718"/>
      <c r="U62" s="1718"/>
      <c r="V62" s="1718"/>
      <c r="W62" s="1718"/>
      <c r="X62" s="1718"/>
      <c r="Y62" s="30"/>
    </row>
    <row r="63" spans="1:87" ht="30.95" customHeight="1" thickBot="1">
      <c r="B63" s="98"/>
      <c r="C63" s="2244">
        <v>2</v>
      </c>
      <c r="D63" s="2245"/>
      <c r="E63" s="2245"/>
      <c r="F63" s="2245"/>
      <c r="G63" s="2245"/>
      <c r="H63" s="1455" t="str">
        <f>+'T1'!E63</f>
        <v xml:space="preserve">FLOR </v>
      </c>
      <c r="I63" s="1457"/>
      <c r="J63" s="1457"/>
      <c r="K63" s="1457"/>
      <c r="L63" s="1456">
        <f t="shared" si="33"/>
        <v>0</v>
      </c>
      <c r="M63" s="1464"/>
      <c r="P63" s="30"/>
      <c r="Q63" s="2251" t="s">
        <v>659</v>
      </c>
      <c r="R63" s="2252"/>
      <c r="S63" s="2108">
        <f>S61-S62</f>
        <v>0</v>
      </c>
      <c r="T63" s="30"/>
      <c r="U63" s="30"/>
      <c r="V63" s="30"/>
      <c r="W63" s="30"/>
      <c r="X63" s="30"/>
      <c r="Y63" s="30"/>
    </row>
    <row r="64" spans="1:87" ht="30.95" customHeight="1" thickBot="1">
      <c r="C64" s="2244">
        <v>3</v>
      </c>
      <c r="D64" s="2245"/>
      <c r="E64" s="2245"/>
      <c r="F64" s="2245"/>
      <c r="G64" s="2245"/>
      <c r="H64" s="1455" t="str">
        <f>+'T1'!E64</f>
        <v>HANNOY</v>
      </c>
      <c r="I64" s="1456"/>
      <c r="J64" s="1456"/>
      <c r="K64" s="1456"/>
      <c r="L64" s="1456">
        <f t="shared" si="33"/>
        <v>0</v>
      </c>
      <c r="M64" s="1464"/>
      <c r="P64" s="30"/>
      <c r="Q64" s="2251" t="s">
        <v>449</v>
      </c>
      <c r="R64" s="2252"/>
      <c r="S64" s="2110" t="str">
        <f>IF(S63&lt;0,"SOBRA",IF(S63&gt;0,"FALTA","OK"))</f>
        <v>OK</v>
      </c>
      <c r="T64" s="30"/>
      <c r="U64" s="30"/>
      <c r="V64" s="30"/>
      <c r="W64" s="30"/>
      <c r="X64" s="30"/>
      <c r="Y64" s="30"/>
    </row>
    <row r="65" spans="3:25" ht="30.95" customHeight="1">
      <c r="C65" s="2244">
        <v>4</v>
      </c>
      <c r="D65" s="2245"/>
      <c r="E65" s="2245"/>
      <c r="F65" s="2245"/>
      <c r="G65" s="2245"/>
      <c r="H65" s="1455" t="str">
        <f>+'T1'!E65</f>
        <v>CHERLITA</v>
      </c>
      <c r="I65" s="1456"/>
      <c r="J65" s="1456"/>
      <c r="K65" s="1456"/>
      <c r="L65" s="1456">
        <f t="shared" si="33"/>
        <v>0</v>
      </c>
      <c r="M65" s="1464"/>
      <c r="P65" s="30"/>
      <c r="Q65" s="30"/>
      <c r="R65" s="30"/>
      <c r="S65" s="30"/>
      <c r="T65" s="30"/>
      <c r="U65" s="30"/>
      <c r="V65" s="30"/>
      <c r="W65" s="30"/>
      <c r="X65" s="30"/>
      <c r="Y65" s="30"/>
    </row>
    <row r="66" spans="3:25" ht="33.950000000000003" customHeight="1">
      <c r="C66" s="2244">
        <v>5</v>
      </c>
      <c r="D66" s="2245"/>
      <c r="E66" s="2245"/>
      <c r="F66" s="2245"/>
      <c r="G66" s="2245"/>
      <c r="H66" s="1455" t="str">
        <f>+'T1'!E66</f>
        <v>CHARLY</v>
      </c>
      <c r="I66" s="1456"/>
      <c r="J66" s="1456"/>
      <c r="K66" s="1456"/>
      <c r="L66" s="1456">
        <f t="shared" si="33"/>
        <v>0</v>
      </c>
      <c r="M66" s="1464"/>
      <c r="P66" s="30"/>
      <c r="Q66" s="2249" t="s">
        <v>660</v>
      </c>
      <c r="R66" s="2250"/>
      <c r="S66" s="2250"/>
      <c r="T66" s="30"/>
      <c r="U66" s="30"/>
      <c r="V66" s="30"/>
      <c r="W66" s="30"/>
      <c r="X66" s="30"/>
      <c r="Y66" s="30"/>
    </row>
    <row r="67" spans="3:25" ht="33.950000000000003" customHeight="1">
      <c r="C67" s="2244">
        <v>6</v>
      </c>
      <c r="D67" s="2245"/>
      <c r="E67" s="2245"/>
      <c r="F67" s="2245"/>
      <c r="G67" s="2245"/>
      <c r="H67" s="1455" t="str">
        <f>+'T1'!E67</f>
        <v>POLANCO</v>
      </c>
      <c r="I67" s="1456"/>
      <c r="J67" s="1456"/>
      <c r="K67" s="1456"/>
      <c r="L67" s="1456">
        <f t="shared" si="33"/>
        <v>0</v>
      </c>
      <c r="M67" s="1464"/>
      <c r="P67" s="30"/>
      <c r="Q67" s="2250" t="s">
        <v>662</v>
      </c>
      <c r="R67" s="2250"/>
      <c r="S67" s="2250"/>
      <c r="T67" s="30"/>
      <c r="U67" s="30"/>
      <c r="V67" s="30"/>
      <c r="W67" s="30"/>
      <c r="X67" s="30"/>
      <c r="Y67" s="30"/>
    </row>
    <row r="68" spans="3:25" ht="33.950000000000003" customHeight="1">
      <c r="C68" s="2244">
        <v>7</v>
      </c>
      <c r="D68" s="2245"/>
      <c r="E68" s="2245"/>
      <c r="F68" s="2245"/>
      <c r="G68" s="2245"/>
      <c r="H68" s="1455" t="str">
        <f>+'T1'!E68</f>
        <v>ELIANA</v>
      </c>
      <c r="I68" s="1456"/>
      <c r="J68" s="1456"/>
      <c r="K68" s="1456"/>
      <c r="L68" s="1456">
        <f t="shared" si="33"/>
        <v>0</v>
      </c>
      <c r="M68" s="1464"/>
      <c r="P68" s="30"/>
      <c r="Q68" s="30"/>
      <c r="R68" s="30"/>
      <c r="S68" s="30"/>
      <c r="T68" s="30"/>
      <c r="U68" s="30"/>
      <c r="V68" s="30"/>
      <c r="W68" s="30"/>
      <c r="X68" s="30"/>
      <c r="Y68" s="30"/>
    </row>
    <row r="69" spans="3:25" ht="33.950000000000003" customHeight="1">
      <c r="C69" s="2244">
        <v>8</v>
      </c>
      <c r="D69" s="2245"/>
      <c r="E69" s="2245"/>
      <c r="F69" s="2245"/>
      <c r="G69" s="2245"/>
      <c r="H69" s="1455" t="str">
        <f>+'T1'!E69</f>
        <v>ALENET</v>
      </c>
      <c r="I69" s="1456"/>
      <c r="J69" s="1456"/>
      <c r="K69" s="1456"/>
      <c r="L69" s="1456">
        <f t="shared" si="33"/>
        <v>0</v>
      </c>
      <c r="M69" s="1464"/>
      <c r="P69" s="30"/>
      <c r="Q69" s="30"/>
      <c r="R69" s="30"/>
      <c r="S69" s="30"/>
      <c r="T69" s="30"/>
      <c r="U69" s="30"/>
      <c r="V69" s="30"/>
      <c r="W69" s="30"/>
      <c r="X69" s="30"/>
      <c r="Y69" s="30"/>
    </row>
    <row r="70" spans="3:25" ht="33.950000000000003" customHeight="1">
      <c r="C70" s="2244">
        <v>9</v>
      </c>
      <c r="D70" s="2245"/>
      <c r="E70" s="2245"/>
      <c r="F70" s="2245"/>
      <c r="G70" s="2245"/>
      <c r="H70" s="1455" t="str">
        <f>+'T1'!E70</f>
        <v>ERIKA</v>
      </c>
      <c r="I70" s="1456"/>
      <c r="J70" s="1456"/>
      <c r="K70" s="1456"/>
      <c r="L70" s="1456">
        <f t="shared" si="33"/>
        <v>0</v>
      </c>
      <c r="M70" s="1464"/>
      <c r="P70" s="30"/>
      <c r="Q70" s="30"/>
      <c r="R70" s="30"/>
      <c r="S70" s="30"/>
      <c r="T70" s="30"/>
      <c r="U70" s="30"/>
      <c r="V70" s="30"/>
      <c r="W70" s="30"/>
      <c r="X70" s="30"/>
      <c r="Y70" s="30"/>
    </row>
    <row r="71" spans="3:25" ht="30.95" customHeight="1">
      <c r="C71" s="2244">
        <v>10</v>
      </c>
      <c r="D71" s="2245"/>
      <c r="E71" s="2245"/>
      <c r="F71" s="2245"/>
      <c r="G71" s="2245"/>
      <c r="H71" s="1455" t="str">
        <f>+'T1'!E71</f>
        <v>MARILU</v>
      </c>
      <c r="I71" s="1456"/>
      <c r="J71" s="1456"/>
      <c r="K71" s="1456"/>
      <c r="L71" s="1456">
        <f t="shared" si="33"/>
        <v>0</v>
      </c>
      <c r="M71" s="1464"/>
      <c r="P71" s="30"/>
      <c r="Q71" s="30"/>
      <c r="R71" s="30"/>
      <c r="S71" s="30"/>
      <c r="T71" s="30"/>
      <c r="U71" s="30"/>
      <c r="V71" s="30"/>
      <c r="W71" s="30"/>
      <c r="X71" s="30"/>
      <c r="Y71" s="30"/>
    </row>
    <row r="72" spans="3:25" ht="30.95" customHeight="1" thickBot="1">
      <c r="C72" s="2244">
        <v>11</v>
      </c>
      <c r="D72" s="2245"/>
      <c r="E72" s="2245"/>
      <c r="F72" s="2245"/>
      <c r="G72" s="2245"/>
      <c r="H72" s="1455" t="str">
        <f>+'T1'!E72</f>
        <v>WALLDO</v>
      </c>
      <c r="I72" s="1458"/>
      <c r="J72" s="1458"/>
      <c r="K72" s="1458"/>
      <c r="L72" s="1456">
        <f t="shared" si="33"/>
        <v>0</v>
      </c>
      <c r="M72" s="1464"/>
      <c r="P72" s="30"/>
      <c r="Q72" s="30"/>
      <c r="R72" s="30"/>
      <c r="S72" s="30"/>
      <c r="T72" s="30"/>
      <c r="U72" s="30"/>
      <c r="V72" s="30"/>
      <c r="W72" s="30"/>
      <c r="X72" s="30"/>
      <c r="Y72" s="30"/>
    </row>
    <row r="73" spans="3:25" ht="30.95" customHeight="1" thickBot="1">
      <c r="C73" s="2246" t="s">
        <v>3</v>
      </c>
      <c r="D73" s="2247"/>
      <c r="E73" s="2247"/>
      <c r="F73" s="2247"/>
      <c r="G73" s="2247"/>
      <c r="H73" s="2248"/>
      <c r="I73" s="1453">
        <f>SUM(I62:I72)</f>
        <v>0</v>
      </c>
      <c r="J73" s="1453">
        <f>SUM(J62:J72)</f>
        <v>0</v>
      </c>
      <c r="K73" s="1453">
        <f>SUM(K62:K72)</f>
        <v>0</v>
      </c>
      <c r="L73" s="1472">
        <f>SUM(L62:L72)</f>
        <v>0</v>
      </c>
      <c r="M73" s="1465"/>
      <c r="P73" s="30"/>
      <c r="Q73" s="30"/>
      <c r="R73" s="30"/>
      <c r="S73" s="30"/>
      <c r="T73" s="30"/>
      <c r="U73" s="30"/>
      <c r="V73" s="30"/>
      <c r="W73" s="30"/>
      <c r="X73" s="30"/>
      <c r="Y73" s="30"/>
    </row>
    <row r="74" spans="3:25" ht="30">
      <c r="D74"/>
      <c r="E74"/>
      <c r="F74"/>
      <c r="G74"/>
      <c r="H74"/>
      <c r="I74"/>
      <c r="J74"/>
      <c r="K74"/>
      <c r="L74"/>
      <c r="M74"/>
      <c r="N74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</row>
    <row r="75" spans="3:25" ht="30">
      <c r="D75"/>
      <c r="E75"/>
      <c r="F75"/>
      <c r="G75"/>
      <c r="H75"/>
      <c r="I75"/>
      <c r="J75"/>
      <c r="K75"/>
      <c r="L75"/>
      <c r="M75"/>
      <c r="N75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</row>
    <row r="76" spans="3:25" ht="30">
      <c r="D76"/>
      <c r="E76"/>
      <c r="F76"/>
      <c r="G76"/>
      <c r="H76"/>
      <c r="I76"/>
      <c r="J76"/>
      <c r="K76"/>
      <c r="L76"/>
      <c r="M76"/>
      <c r="N76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</row>
    <row r="77" spans="3:25" ht="33.75">
      <c r="C77" s="947"/>
      <c r="D77" s="1199"/>
      <c r="E77" s="1199"/>
      <c r="F77" s="1199"/>
      <c r="G77" s="1199"/>
      <c r="H77" s="1199"/>
      <c r="I77" s="1199"/>
      <c r="J77" s="1199"/>
      <c r="K77" s="1199"/>
      <c r="L77"/>
      <c r="M77"/>
      <c r="N77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</row>
    <row r="78" spans="3:25" ht="33.75">
      <c r="C78" s="947"/>
      <c r="D78" s="947"/>
      <c r="E78" s="947"/>
      <c r="F78" s="947"/>
      <c r="G78" s="947"/>
      <c r="H78" s="947"/>
      <c r="I78" s="947"/>
      <c r="J78" s="947"/>
      <c r="K78" s="947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</row>
    <row r="79" spans="3:25" ht="33.75">
      <c r="C79" s="947"/>
      <c r="D79" s="947"/>
      <c r="E79" s="947"/>
      <c r="F79" s="947"/>
      <c r="G79" s="947"/>
      <c r="H79" s="947"/>
      <c r="I79" s="947"/>
      <c r="J79" s="947"/>
      <c r="K79" s="947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</row>
    <row r="80" spans="3:25" ht="33.75">
      <c r="C80" s="947"/>
      <c r="D80" s="947"/>
      <c r="E80" s="947"/>
      <c r="F80" s="947"/>
      <c r="G80" s="947"/>
      <c r="H80" s="947"/>
      <c r="I80" s="947"/>
      <c r="J80" s="947"/>
      <c r="K80" s="947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</row>
    <row r="81" spans="3:25" ht="33.75">
      <c r="C81" s="947"/>
      <c r="D81" s="947"/>
      <c r="E81" s="947"/>
      <c r="F81" s="947"/>
      <c r="G81" s="947"/>
      <c r="H81" s="947"/>
      <c r="I81" s="947"/>
      <c r="J81" s="947"/>
      <c r="K81" s="947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</row>
    <row r="82" spans="3:25" ht="33.75">
      <c r="C82" s="947"/>
      <c r="D82" s="947"/>
      <c r="E82" s="947"/>
      <c r="F82" s="947"/>
      <c r="G82" s="947"/>
      <c r="H82" s="947"/>
      <c r="I82" s="947"/>
      <c r="J82" s="947"/>
      <c r="K82" s="947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</row>
    <row r="83" spans="3:25" ht="33.75">
      <c r="C83" s="947"/>
      <c r="D83" s="947"/>
      <c r="E83" s="947"/>
      <c r="F83" s="2164"/>
      <c r="G83" s="947"/>
      <c r="H83" s="947"/>
      <c r="I83" s="947"/>
      <c r="J83" s="947"/>
      <c r="K83" s="947"/>
    </row>
    <row r="84" spans="3:25" ht="33.75">
      <c r="C84" s="947"/>
      <c r="D84" s="947"/>
      <c r="E84" s="947"/>
      <c r="F84" s="947"/>
      <c r="G84" s="947"/>
      <c r="H84" s="947"/>
      <c r="I84" s="947"/>
      <c r="J84" s="947"/>
      <c r="K84" s="947"/>
    </row>
    <row r="85" spans="3:25" ht="33.75">
      <c r="C85" s="947"/>
      <c r="D85" s="947"/>
      <c r="E85" s="947"/>
      <c r="F85" s="947"/>
      <c r="G85" s="947"/>
      <c r="H85" s="947"/>
      <c r="I85" s="947"/>
      <c r="J85" s="947"/>
      <c r="K85" s="947"/>
    </row>
    <row r="86" spans="3:25" ht="33.75">
      <c r="C86" s="947"/>
      <c r="D86" s="947"/>
      <c r="E86" s="947"/>
      <c r="F86" s="947"/>
      <c r="G86" s="947"/>
      <c r="H86" s="947"/>
      <c r="I86" s="947"/>
      <c r="J86" s="947"/>
      <c r="K86" s="947"/>
    </row>
    <row r="87" spans="3:25" ht="33.75">
      <c r="C87" s="947"/>
      <c r="D87" s="947"/>
      <c r="E87" s="947"/>
      <c r="F87" s="947"/>
      <c r="G87" s="947"/>
      <c r="H87" s="947"/>
      <c r="I87" s="947"/>
      <c r="J87" s="947"/>
      <c r="K87" s="947"/>
    </row>
    <row r="88" spans="3:25" ht="33.75">
      <c r="C88" s="947"/>
      <c r="D88" s="947"/>
      <c r="E88" s="947"/>
      <c r="F88" s="947"/>
      <c r="G88" s="947"/>
      <c r="H88" s="947"/>
      <c r="I88" s="947"/>
      <c r="J88" s="947"/>
      <c r="K88" s="947"/>
    </row>
  </sheetData>
  <autoFilter ref="C5:C54" xr:uid="{0B021B42-56CE-49E7-AB34-22D2A6174BC8}"/>
  <mergeCells count="28">
    <mergeCell ref="C72:G72"/>
    <mergeCell ref="C73:H73"/>
    <mergeCell ref="C67:G67"/>
    <mergeCell ref="Q67:S67"/>
    <mergeCell ref="C68:G68"/>
    <mergeCell ref="C69:G69"/>
    <mergeCell ref="C70:G70"/>
    <mergeCell ref="C71:G71"/>
    <mergeCell ref="C63:G63"/>
    <mergeCell ref="Q63:R63"/>
    <mergeCell ref="C64:G64"/>
    <mergeCell ref="Q64:R64"/>
    <mergeCell ref="C65:G65"/>
    <mergeCell ref="C66:G66"/>
    <mergeCell ref="Q66:S66"/>
    <mergeCell ref="D56:V56"/>
    <mergeCell ref="C60:J60"/>
    <mergeCell ref="Q60:S60"/>
    <mergeCell ref="C61:G61"/>
    <mergeCell ref="Q61:R61"/>
    <mergeCell ref="C62:G62"/>
    <mergeCell ref="Q62:R62"/>
    <mergeCell ref="B2:C2"/>
    <mergeCell ref="D2:M2"/>
    <mergeCell ref="D4:V4"/>
    <mergeCell ref="AA4:AZ4"/>
    <mergeCell ref="BC4:BF4"/>
    <mergeCell ref="A5:A54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E0DF9-6AEE-4D2A-8053-7334AF812B37}">
  <sheetPr codeName="Hoja12">
    <pageSetUpPr fitToPage="1"/>
  </sheetPr>
  <dimension ref="A1:AX108"/>
  <sheetViews>
    <sheetView topLeftCell="B1" zoomScale="40" zoomScaleNormal="40" workbookViewId="0">
      <selection activeCell="I10" sqref="I10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100" style="26" customWidth="1"/>
    <col min="5" max="5" width="30.5703125" style="26" bestFit="1" customWidth="1"/>
    <col min="6" max="6" width="28" style="26" customWidth="1"/>
    <col min="7" max="7" width="18.5703125" style="26" customWidth="1"/>
    <col min="8" max="8" width="28" style="26" bestFit="1" customWidth="1"/>
    <col min="9" max="9" width="19.7109375" style="26" customWidth="1"/>
    <col min="10" max="10" width="30.5703125" style="26" bestFit="1" customWidth="1"/>
    <col min="11" max="11" width="19.7109375" style="26" customWidth="1"/>
    <col min="12" max="12" width="30.5703125" style="26" bestFit="1" customWidth="1"/>
    <col min="13" max="13" width="21.42578125" style="26" customWidth="1"/>
    <col min="14" max="14" width="31.28515625" style="26" bestFit="1" customWidth="1"/>
    <col min="15" max="15" width="21.28515625" style="26" customWidth="1"/>
    <col min="16" max="16" width="32.5703125" style="26" customWidth="1"/>
    <col min="17" max="17" width="31.28515625" style="26" customWidth="1"/>
    <col min="18" max="18" width="29.42578125" style="26" customWidth="1"/>
    <col min="19" max="19" width="30.85546875" style="26" customWidth="1"/>
    <col min="20" max="20" width="29.42578125" style="26" bestFit="1" customWidth="1"/>
    <col min="21" max="21" width="14.7109375" style="26" customWidth="1"/>
    <col min="22" max="22" width="29" style="26" customWidth="1"/>
    <col min="23" max="23" width="24.28515625" style="26" customWidth="1"/>
    <col min="24" max="24" width="13.42578125" style="26" customWidth="1"/>
    <col min="25" max="25" width="36.5703125" style="26" bestFit="1" customWidth="1"/>
    <col min="26" max="26" width="60.85546875" style="26" customWidth="1"/>
    <col min="27" max="27" width="34.140625" style="26" bestFit="1" customWidth="1"/>
    <col min="28" max="29" width="34.140625" style="452" customWidth="1"/>
    <col min="30" max="30" width="11.85546875" style="452" customWidth="1"/>
    <col min="31" max="31" width="116.28515625" style="26" customWidth="1"/>
    <col min="32" max="37" width="20.7109375" style="26" customWidth="1"/>
    <col min="38" max="38" width="25" style="26" customWidth="1"/>
    <col min="39" max="39" width="27" style="26" customWidth="1"/>
    <col min="40" max="41" width="20.7109375" style="26" customWidth="1"/>
    <col min="42" max="42" width="47" style="26" customWidth="1"/>
    <col min="43" max="44" width="13.85546875" style="26" customWidth="1"/>
    <col min="45" max="45" width="18" style="26" customWidth="1"/>
    <col min="46" max="46" width="99.28515625" style="26" customWidth="1"/>
    <col min="47" max="47" width="22.85546875" style="26" customWidth="1"/>
    <col min="48" max="48" width="16.28515625" style="26" customWidth="1"/>
    <col min="49" max="49" width="95.7109375" style="26" customWidth="1"/>
    <col min="50" max="76" width="13.85546875" style="26" customWidth="1"/>
    <col min="77" max="77" width="12.140625" style="26" bestFit="1" customWidth="1"/>
    <col min="78" max="80" width="28.28515625" style="26" customWidth="1"/>
    <col min="81" max="16384" width="11.42578125" style="26"/>
  </cols>
  <sheetData>
    <row r="1" spans="1:50" ht="45.75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449"/>
      <c r="AC1" s="449"/>
      <c r="AD1" s="449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</row>
    <row r="2" spans="1:50" ht="53.25" thickBot="1">
      <c r="B2" s="38"/>
      <c r="C2" s="2266" t="s">
        <v>41</v>
      </c>
      <c r="D2" s="2267"/>
      <c r="E2" s="2502" t="str">
        <f>+'EM-TUN'!D2</f>
        <v>1055PPF26062026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70"/>
      <c r="P2" s="62"/>
      <c r="Q2" s="38"/>
      <c r="R2" s="38"/>
      <c r="S2" s="38"/>
      <c r="T2" s="38"/>
      <c r="U2" s="38"/>
      <c r="V2" s="1716"/>
      <c r="W2" s="1717"/>
      <c r="X2" s="1717"/>
      <c r="Y2" s="1717"/>
      <c r="Z2" s="1717"/>
      <c r="AA2" s="450"/>
      <c r="AB2" s="450"/>
      <c r="AC2" s="450"/>
      <c r="AD2" s="450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</row>
    <row r="3" spans="1:50" ht="53.25" thickBot="1">
      <c r="C3" s="28"/>
      <c r="V3" s="452"/>
      <c r="W3" s="451"/>
      <c r="X3" s="451"/>
      <c r="Y3" s="451"/>
      <c r="Z3" s="451"/>
      <c r="AA3" s="451"/>
      <c r="AB3" s="451"/>
      <c r="AC3" s="451"/>
      <c r="AD3" s="451"/>
      <c r="AV3" s="28"/>
      <c r="AW3" s="28"/>
      <c r="AX3" s="28"/>
    </row>
    <row r="4" spans="1:50" ht="39" customHeight="1" thickBot="1">
      <c r="C4" s="28"/>
      <c r="E4" s="34"/>
      <c r="F4" s="34"/>
      <c r="G4" s="34"/>
      <c r="H4" s="34"/>
      <c r="V4" s="452"/>
      <c r="W4" s="451"/>
      <c r="X4" s="451"/>
      <c r="Y4" s="451"/>
      <c r="Z4" s="451"/>
      <c r="AA4" s="451"/>
      <c r="AB4" s="451"/>
      <c r="AC4" s="451"/>
      <c r="AD4" s="2600" t="s">
        <v>510</v>
      </c>
      <c r="AE4" s="2601"/>
      <c r="AF4" s="2601"/>
      <c r="AG4" s="2601"/>
      <c r="AH4" s="2601"/>
      <c r="AI4" s="2601"/>
      <c r="AJ4" s="2601"/>
      <c r="AK4" s="2601"/>
      <c r="AL4" s="2601"/>
      <c r="AM4" s="2601"/>
      <c r="AN4" s="2601"/>
      <c r="AO4" s="2601"/>
      <c r="AP4" s="2602"/>
      <c r="AS4" s="2631" t="s">
        <v>511</v>
      </c>
      <c r="AT4" s="2632"/>
      <c r="AU4" s="2632"/>
      <c r="AV4" s="2632"/>
      <c r="AW4" s="2633"/>
      <c r="AX4" s="28"/>
    </row>
    <row r="5" spans="1:50" ht="102" thickBot="1">
      <c r="A5" s="2257"/>
      <c r="C5" s="543" t="s">
        <v>15</v>
      </c>
      <c r="D5" s="963" t="s">
        <v>6</v>
      </c>
      <c r="E5" s="1993" t="s">
        <v>123</v>
      </c>
      <c r="F5" s="3013" t="s">
        <v>702</v>
      </c>
      <c r="G5" s="1994" t="s">
        <v>124</v>
      </c>
      <c r="H5" s="3013" t="s">
        <v>732</v>
      </c>
      <c r="I5" s="1993" t="s">
        <v>125</v>
      </c>
      <c r="J5" s="3013" t="s">
        <v>733</v>
      </c>
      <c r="K5" s="3012" t="s">
        <v>126</v>
      </c>
      <c r="L5" s="3013" t="s">
        <v>734</v>
      </c>
      <c r="M5" s="1995" t="s">
        <v>127</v>
      </c>
      <c r="N5" s="3013" t="s">
        <v>735</v>
      </c>
      <c r="O5" s="1993" t="s">
        <v>128</v>
      </c>
      <c r="P5" s="3013" t="s">
        <v>736</v>
      </c>
      <c r="Q5" s="49" t="s">
        <v>108</v>
      </c>
      <c r="R5" s="170" t="s">
        <v>107</v>
      </c>
      <c r="S5" s="966" t="s">
        <v>8</v>
      </c>
      <c r="V5" s="452"/>
      <c r="W5" s="451"/>
      <c r="X5" s="451"/>
      <c r="Y5" s="451"/>
      <c r="Z5" s="451"/>
      <c r="AA5" s="451"/>
      <c r="AB5" s="451"/>
      <c r="AC5" s="451"/>
      <c r="AD5" s="447" t="s">
        <v>15</v>
      </c>
      <c r="AE5" s="476" t="s">
        <v>6</v>
      </c>
      <c r="AF5" s="457" t="s">
        <v>123</v>
      </c>
      <c r="AG5" s="457" t="s">
        <v>124</v>
      </c>
      <c r="AH5" s="457" t="s">
        <v>125</v>
      </c>
      <c r="AI5" s="457" t="s">
        <v>126</v>
      </c>
      <c r="AJ5" s="457" t="s">
        <v>127</v>
      </c>
      <c r="AK5" s="457" t="s">
        <v>128</v>
      </c>
      <c r="AL5" s="457" t="s">
        <v>346</v>
      </c>
      <c r="AM5" s="457" t="s">
        <v>108</v>
      </c>
      <c r="AN5" s="457" t="s">
        <v>107</v>
      </c>
      <c r="AO5" s="457" t="s">
        <v>509</v>
      </c>
      <c r="AP5" s="483" t="s">
        <v>512</v>
      </c>
      <c r="AS5" s="441" t="s">
        <v>15</v>
      </c>
      <c r="AT5" s="448" t="s">
        <v>6</v>
      </c>
      <c r="AU5" s="464" t="s">
        <v>8</v>
      </c>
      <c r="AV5" s="465" t="s">
        <v>513</v>
      </c>
      <c r="AW5" s="466" t="s">
        <v>515</v>
      </c>
    </row>
    <row r="6" spans="1:50" ht="52.5">
      <c r="A6" s="2257"/>
      <c r="C6" s="41">
        <f>+PP!B24</f>
        <v>1</v>
      </c>
      <c r="D6" s="1197" t="str">
        <f>+PP!C24</f>
        <v>ANILLAS BLANCAS SM ST</v>
      </c>
      <c r="E6" s="2184">
        <f>+'T1'!Q6</f>
        <v>0</v>
      </c>
      <c r="F6" s="2185">
        <f>+'T1 (2)'!Y6</f>
        <v>0</v>
      </c>
      <c r="G6" s="2185">
        <f>+'T2'!Q6</f>
        <v>0</v>
      </c>
      <c r="H6" s="2185">
        <f>+'T2 (2)'!Q10</f>
        <v>0</v>
      </c>
      <c r="I6" s="2185">
        <f>+'T3'!Y6</f>
        <v>0</v>
      </c>
      <c r="J6" s="2185">
        <f>+'T3 (2)'!Y6</f>
        <v>0</v>
      </c>
      <c r="K6" s="2185">
        <f>+'T4'!Y6</f>
        <v>0</v>
      </c>
      <c r="L6" s="2185">
        <f>+'T4 (2)'!Y6</f>
        <v>0</v>
      </c>
      <c r="M6" s="2185">
        <f>+'T5'!AB6</f>
        <v>0</v>
      </c>
      <c r="N6" s="2185">
        <f>+'T5 (2)'!AB6</f>
        <v>0</v>
      </c>
      <c r="O6" s="2185">
        <f>+'T6'!W6</f>
        <v>0</v>
      </c>
      <c r="P6" s="2186">
        <f>+'T6 (2)'!W6</f>
        <v>0</v>
      </c>
      <c r="Q6" s="964">
        <f t="shared" ref="Q6:Q53" si="0">SUM(E6:P6)</f>
        <v>0</v>
      </c>
      <c r="R6" s="50">
        <f t="shared" ref="R6:R39" si="1">Q6/2</f>
        <v>0</v>
      </c>
      <c r="S6" s="51">
        <f>+Q6*10</f>
        <v>0</v>
      </c>
      <c r="V6" s="452"/>
      <c r="W6" s="451"/>
      <c r="X6" s="451"/>
      <c r="Y6" s="451"/>
      <c r="Z6" s="451"/>
      <c r="AA6" s="451"/>
      <c r="AB6" s="451"/>
      <c r="AC6" s="451"/>
      <c r="AD6" s="443" t="str">
        <f>IFERROR(INDEX($C$6:$C$53,_xlfn.AGGREGATE(15,6,(ROW($Q$6:$Q$53)-ROW($Q$6)+1)/($Q$6:$Q$53&gt;0),1)),"")</f>
        <v/>
      </c>
      <c r="AE6" s="477" t="str">
        <f>IF($AD6="","",IFERROR(INDEX($D$6:$D$53,_xlfn.AGGREGATE(15,6,(ROW($Q$6:$Q$53)-ROW($Q$6)+1)/($Q$6:$Q$53&gt;0),1))&amp;"",""))</f>
        <v/>
      </c>
      <c r="AF6" s="442" t="str">
        <f>IF($AD6="","",IFERROR(INDEX($E$6:$E$53,_xlfn.AGGREGATE(15,6,(ROW($Q$6:$Q$53)-ROW($Q$6)+1)/($Q$6:$Q$53&gt;0),1)),""))</f>
        <v/>
      </c>
      <c r="AG6" s="442" t="str">
        <f>IF($AD6="","",IFERROR(INDEX($G$6:$G$53,_xlfn.AGGREGATE(15,6,(ROW($Q$6:$Q$53)-ROW($Q$6)+1)/($Q$6:$Q$53&gt;0),1)),""))</f>
        <v/>
      </c>
      <c r="AH6" s="442" t="str">
        <f>IF($AD6="","",IFERROR(INDEX($I$6:$I$53,_xlfn.AGGREGATE(15,6,(ROW($Q$6:$Q$53)-ROW($Q$6)+1)/($Q$6:$Q$53&gt;0),1)),""))</f>
        <v/>
      </c>
      <c r="AI6" s="442" t="str">
        <f>IF($AD6="","",IFERROR(INDEX($K$6:$K$53,_xlfn.AGGREGATE(15,6,(ROW($Q$6:$Q$53)-ROW($Q$6)+1)/($Q$6:$Q$53&gt;0),1)),""))</f>
        <v/>
      </c>
      <c r="AJ6" s="442" t="str">
        <f>IF($AD6="","",IFERROR(INDEX($M$6:$M$53,_xlfn.AGGREGATE(15,6,(ROW($Q$6:$Q$53)-ROW($Q$6)+1)/($Q$6:$Q$53&gt;0),1)),""))</f>
        <v/>
      </c>
      <c r="AK6" s="442" t="str">
        <f>IF($AD6="","",IFERROR(INDEX($O$6:$O$53,_xlfn.AGGREGATE(15,6,(ROW($Q$6:$Q$53)-ROW($Q$6)+1)/($Q$6:$Q$53&gt;0),1)),""))</f>
        <v/>
      </c>
      <c r="AL6" s="442" t="str">
        <f>IF($AD6="","",IFERROR(INDEX($P$6:$P$53,_xlfn.AGGREGATE(15,6,(ROW($Q$6:$Q$53)-ROW($Q$6)+1)/($Q$6:$Q$53&gt;0),1)),""))</f>
        <v/>
      </c>
      <c r="AM6" s="442" t="str">
        <f t="shared" ref="AM6:AM27" si="2">IF($AD6="","",SUM($AF6:$AL6))</f>
        <v/>
      </c>
      <c r="AN6" s="442" t="str">
        <f t="shared" ref="AN6:AN27" si="3">IF($AD6="","",$AM6/2)</f>
        <v/>
      </c>
      <c r="AO6" s="442" t="str">
        <f t="shared" ref="AO6:AO27" si="4">IF($AD6="","",$AM6*10)</f>
        <v/>
      </c>
      <c r="AP6" s="446" t="str">
        <f t="shared" ref="AP6:AP27" si="5">IF($AD6="","",IF(MOD($AO6,20)=10,"SÍ","NO"))</f>
        <v/>
      </c>
      <c r="AS6" s="473" t="str">
        <f>IFERROR(INDEX($C$6:$C$53,_xlfn.AGGREGATE(15,6,(ROW($C$6:$C$53)-ROW($C$6)+1)/(($Q$6:$Q$53&gt;0)*(MOD($S$6:$S$53,20)=10)),ROWS($AS$6:AS6))),"")</f>
        <v/>
      </c>
      <c r="AT6" s="470" t="str">
        <f>IF($AS6="","",IFERROR(INDEX($D$6:$D$53,_xlfn.AGGREGATE(15,6,(ROW($C$6:$C$53)-ROW($C$6)+1)/(($Q$6:$Q$53&gt;0)*(MOD($S$6:$S$53,20)=10)),ROWS($AS$6:AS6))),""))</f>
        <v/>
      </c>
      <c r="AU6" s="462" t="str">
        <f>IF($AS6="","",IFERROR(INDEX($S$6:$S$53,_xlfn.AGGREGATE(15,6,(ROW($C$6:$C$53)-ROW($C$6)+1)/(($Q$6:$Q$53&gt;0)*(MOD($S$6:$S$53,20)=10)),ROWS($AS$6:AS6))),""))</f>
        <v/>
      </c>
      <c r="AV6" s="463" t="str">
        <f t="shared" ref="AV6:AV27" si="6">IF($AS6="","","10 KG")</f>
        <v/>
      </c>
      <c r="AW6" s="469" t="str">
        <f t="shared" ref="AW6:AW27" si="7">IF($AS6="","",IF(IFERROR(MOD(INDEX($E$6:$E$53,MATCH($AS6,$C$6:$C$53,0))*10,20)=10,FALSE),$E$5&amp;"="&amp;INDEX($E$6:$E$53,MATCH($AS6,$C$6:$C$53,0))&amp;"  ","")&amp;IF(IFERROR(MOD(INDEX($G$6:$G$53,MATCH($AS6,$C$6:$C$53,0))*10,20)=10,FALSE),$G$5&amp;"="&amp;INDEX($G$6:$G$53,MATCH($AS6,$C$6:$C$53,0))&amp;"  ","")&amp;IF(IFERROR(MOD(INDEX($I$6:$I$53,MATCH($AS6,$C$6:$C$53,0))*10,20)=10,FALSE),$I$5&amp;"="&amp;INDEX($I$6:$I$53,MATCH($AS6,$C$6:$C$53,0))&amp;"  ","")&amp;IF(IFERROR(MOD(INDEX($K$6:$K$53,MATCH($AS6,$C$6:$C$53,0))*10,20)=10,FALSE),$K$5&amp;"="&amp;INDEX($K$6:$K$53,MATCH($AS6,$C$6:$C$53,0))&amp;"  ","")&amp;IF(IFERROR(MOD(INDEX($M$6:$M$53,MATCH($AS6,$C$6:$C$53,0))*10,20)=10,FALSE),$M$5&amp;"="&amp;INDEX($M$6:$M$53,MATCH($AS6,$C$6:$C$53,0))&amp;"  ","")&amp;IF(IFERROR(MOD(INDEX($O$6:$O$53,MATCH($AS6,$C$6:$C$53,0))*10,20)=10,FALSE),$O$5&amp;"="&amp;INDEX($O$6:$O$53,MATCH($AS6,$C$6:$C$53,0))&amp;"  ","")&amp;IF(IFERROR(MOD(INDEX($P$6:$P$53,MATCH($AS6,$C$6:$C$53,0))*10,20)=10,FALSE),$P$5&amp;"="&amp;INDEX($P$6:$P$53,MATCH($AS6,$C$6:$C$53,0))&amp;"  ",""))</f>
        <v/>
      </c>
    </row>
    <row r="7" spans="1:50" ht="52.5">
      <c r="A7" s="2257"/>
      <c r="C7" s="42">
        <f>+PP!B25</f>
        <v>2</v>
      </c>
      <c r="D7" s="1700" t="str">
        <f>+PP!C25</f>
        <v>ANILLAS AMARILLAS SM ST</v>
      </c>
      <c r="E7" s="2187">
        <f>+'T1'!Q7</f>
        <v>0</v>
      </c>
      <c r="F7" s="2052">
        <f>+'T1 (2)'!Y7</f>
        <v>0</v>
      </c>
      <c r="G7" s="2052">
        <f>+'T2'!Q7</f>
        <v>0</v>
      </c>
      <c r="H7" s="2052">
        <f>+'T2 (2)'!Q11</f>
        <v>0</v>
      </c>
      <c r="I7" s="2052">
        <f>+'T3'!Y7</f>
        <v>0</v>
      </c>
      <c r="J7" s="2052">
        <f>+'T3 (2)'!Y7</f>
        <v>0</v>
      </c>
      <c r="K7" s="2052">
        <f>+'T4'!Y7</f>
        <v>0</v>
      </c>
      <c r="L7" s="2052">
        <f>+'T4 (2)'!Y7</f>
        <v>0</v>
      </c>
      <c r="M7" s="2052">
        <f>+'T5'!AB7</f>
        <v>0</v>
      </c>
      <c r="N7" s="2052">
        <f>+'T5 (2)'!AB7</f>
        <v>0</v>
      </c>
      <c r="O7" s="2052">
        <f>+'T6'!W7</f>
        <v>0</v>
      </c>
      <c r="P7" s="2188">
        <f>+'T6 (2)'!W7</f>
        <v>0</v>
      </c>
      <c r="Q7" s="1974">
        <f t="shared" si="0"/>
        <v>0</v>
      </c>
      <c r="R7" s="29">
        <f t="shared" si="1"/>
        <v>0</v>
      </c>
      <c r="S7" s="54">
        <f>+Q7*10</f>
        <v>0</v>
      </c>
      <c r="V7" s="452"/>
      <c r="W7" s="451"/>
      <c r="X7" s="451"/>
      <c r="Y7" s="451"/>
      <c r="Z7" s="451"/>
      <c r="AA7" s="451"/>
      <c r="AB7" s="451"/>
      <c r="AC7" s="451"/>
      <c r="AD7" s="443" t="str">
        <f>IFERROR(INDEX($C$6:$C$53,_xlfn.AGGREGATE(15,6,(ROW($Q$6:$Q$53)-ROW($Q$6)+1)/($Q$6:$Q$53&gt;0),2)),"")</f>
        <v/>
      </c>
      <c r="AE7" s="477" t="str">
        <f>IF($AD7="","",IFERROR(INDEX($D$6:$D$53,_xlfn.AGGREGATE(15,6,(ROW($Q$6:$Q$53)-ROW($Q$6)+1)/($Q$6:$Q$53&gt;0),2))&amp;"",""))</f>
        <v/>
      </c>
      <c r="AF7" s="442" t="str">
        <f>IF($AD7="","",IFERROR(INDEX($E$6:$E$53,_xlfn.AGGREGATE(15,6,(ROW($Q$6:$Q$53)-ROW($Q$6)+1)/($Q$6:$Q$53&gt;0),2)),""))</f>
        <v/>
      </c>
      <c r="AG7" s="442" t="str">
        <f>IF($AD7="","",IFERROR(INDEX($G$6:$G$53,_xlfn.AGGREGATE(15,6,(ROW($Q$6:$Q$53)-ROW($Q$6)+1)/($Q$6:$Q$53&gt;0),2)),""))</f>
        <v/>
      </c>
      <c r="AH7" s="442" t="str">
        <f>IF($AD7="","",IFERROR(INDEX($I$6:$I$53,_xlfn.AGGREGATE(15,6,(ROW($Q$6:$Q$53)-ROW($Q$6)+1)/($Q$6:$Q$53&gt;0),2)),""))</f>
        <v/>
      </c>
      <c r="AI7" s="442" t="str">
        <f>IF($AD7="","",IFERROR(INDEX($K$6:$K$53,_xlfn.AGGREGATE(15,6,(ROW($Q$6:$Q$53)-ROW($Q$6)+1)/($Q$6:$Q$53&gt;0),2)),""))</f>
        <v/>
      </c>
      <c r="AJ7" s="442" t="str">
        <f>IF($AD7="","",IFERROR(INDEX($M$6:$M$53,_xlfn.AGGREGATE(15,6,(ROW($Q$6:$Q$53)-ROW($Q$6)+1)/($Q$6:$Q$53&gt;0),2)),""))</f>
        <v/>
      </c>
      <c r="AK7" s="442" t="str">
        <f>IF($AD7="","",IFERROR(INDEX($O$6:$O$53,_xlfn.AGGREGATE(15,6,(ROW($Q$6:$Q$53)-ROW($Q$6)+1)/($Q$6:$Q$53&gt;0),2)),""))</f>
        <v/>
      </c>
      <c r="AL7" s="442" t="str">
        <f>IF($AD7="","",IFERROR(INDEX($P$6:$P$53,_xlfn.AGGREGATE(15,6,(ROW($Q$6:$Q$53)-ROW($Q$6)+1)/($Q$6:$Q$53&gt;0),2)),""))</f>
        <v/>
      </c>
      <c r="AM7" s="442" t="str">
        <f t="shared" si="2"/>
        <v/>
      </c>
      <c r="AN7" s="442" t="str">
        <f t="shared" si="3"/>
        <v/>
      </c>
      <c r="AO7" s="442" t="str">
        <f t="shared" si="4"/>
        <v/>
      </c>
      <c r="AP7" s="446" t="str">
        <f t="shared" si="5"/>
        <v/>
      </c>
      <c r="AS7" s="474" t="str">
        <f>IFERROR(INDEX($C$6:$C$53,_xlfn.AGGREGATE(15,6,(ROW($C$6:$C$53)-ROW($C$6)+1)/(($Q$6:$Q$53&gt;0)*(MOD($S$6:$S$53,20)=10)),ROWS($AS$6:AS7))),"")</f>
        <v/>
      </c>
      <c r="AT7" s="471" t="str">
        <f>IF($AS7="","",IFERROR(INDEX($D$6:$D$53,_xlfn.AGGREGATE(15,6,(ROW($C$6:$C$53)-ROW($C$6)+1)/(($Q$6:$Q$53&gt;0)*(MOD($S$6:$S$53,20)=10)),ROWS($AS$6:AS7))),""))</f>
        <v/>
      </c>
      <c r="AU7" s="458" t="str">
        <f>IF($AS7="","",IFERROR(INDEX($S$6:$S$53,_xlfn.AGGREGATE(15,6,(ROW($C$6:$C$53)-ROW($C$6)+1)/(($Q$6:$Q$53&gt;0)*(MOD($S$6:$S$53,20)=10)),ROWS($AS$6:AS7))),""))</f>
        <v/>
      </c>
      <c r="AV7" s="459" t="str">
        <f t="shared" si="6"/>
        <v/>
      </c>
      <c r="AW7" s="467" t="str">
        <f t="shared" si="7"/>
        <v/>
      </c>
    </row>
    <row r="8" spans="1:50" ht="53.25" thickBot="1">
      <c r="A8" s="2257"/>
      <c r="C8" s="537">
        <f>+PP!B26</f>
        <v>3</v>
      </c>
      <c r="D8" s="2018" t="str">
        <f>+PP!C26</f>
        <v>ANILLAS BLANCAS SM ST MEDIANA</v>
      </c>
      <c r="E8" s="2189">
        <f>+'T1'!Q8</f>
        <v>0</v>
      </c>
      <c r="F8" s="2190">
        <f>+'T1 (2)'!Y8</f>
        <v>0</v>
      </c>
      <c r="G8" s="2190">
        <f>+'T2'!Q8</f>
        <v>0</v>
      </c>
      <c r="H8" s="2190">
        <f>+'T2 (2)'!Q12</f>
        <v>0</v>
      </c>
      <c r="I8" s="2190">
        <f>+'T3'!Y8</f>
        <v>0</v>
      </c>
      <c r="J8" s="2190">
        <f>+'T3 (2)'!Y8</f>
        <v>0</v>
      </c>
      <c r="K8" s="2190">
        <f>+'T4'!Y8</f>
        <v>0</v>
      </c>
      <c r="L8" s="2190">
        <f>+'T4 (2)'!Y8</f>
        <v>0</v>
      </c>
      <c r="M8" s="2190">
        <f>+'T5'!AB8</f>
        <v>0</v>
      </c>
      <c r="N8" s="2190">
        <f>+'T5 (2)'!AB8</f>
        <v>0</v>
      </c>
      <c r="O8" s="2190">
        <f>+'T6'!W8</f>
        <v>0</v>
      </c>
      <c r="P8" s="2191">
        <f>+'T6 (2)'!W8</f>
        <v>0</v>
      </c>
      <c r="Q8" s="1976">
        <f t="shared" si="0"/>
        <v>0</v>
      </c>
      <c r="R8" s="171">
        <f t="shared" si="1"/>
        <v>0</v>
      </c>
      <c r="S8" s="173">
        <f t="shared" ref="S8:S39" si="8">+Q8*10</f>
        <v>0</v>
      </c>
      <c r="V8" s="452"/>
      <c r="W8" s="451"/>
      <c r="X8" s="451"/>
      <c r="Y8" s="451"/>
      <c r="Z8" s="451"/>
      <c r="AA8" s="451"/>
      <c r="AB8" s="451"/>
      <c r="AC8" s="451"/>
      <c r="AD8" s="443" t="str">
        <f>IFERROR(INDEX($C$6:$C$53,_xlfn.AGGREGATE(15,6,(ROW($Q$6:$Q$53)-ROW($Q$6)+1)/($Q$6:$Q$53&gt;0),3)),"")</f>
        <v/>
      </c>
      <c r="AE8" s="477" t="str">
        <f>IF($AD8="","",IFERROR(INDEX($D$6:$D$53,_xlfn.AGGREGATE(15,6,(ROW($Q$6:$Q$53)-ROW($Q$6)+1)/($Q$6:$Q$53&gt;0),3))&amp;"",""))</f>
        <v/>
      </c>
      <c r="AF8" s="442" t="str">
        <f>IF($AD8="","",IFERROR(INDEX($E$6:$E$53,_xlfn.AGGREGATE(15,6,(ROW($Q$6:$Q$53)-ROW($Q$6)+1)/($Q$6:$Q$53&gt;0),3)),""))</f>
        <v/>
      </c>
      <c r="AG8" s="442" t="str">
        <f>IF($AD8="","",IFERROR(INDEX($G$6:$G$53,_xlfn.AGGREGATE(15,6,(ROW($Q$6:$Q$53)-ROW($Q$6)+1)/($Q$6:$Q$53&gt;0),3)),""))</f>
        <v/>
      </c>
      <c r="AH8" s="442" t="str">
        <f>IF($AD8="","",IFERROR(INDEX($I$6:$I$53,_xlfn.AGGREGATE(15,6,(ROW($Q$6:$Q$53)-ROW($Q$6)+1)/($Q$6:$Q$53&gt;0),3)),""))</f>
        <v/>
      </c>
      <c r="AI8" s="442" t="str">
        <f>IF($AD8="","",IFERROR(INDEX($K$6:$K$53,_xlfn.AGGREGATE(15,6,(ROW($Q$6:$Q$53)-ROW($Q$6)+1)/($Q$6:$Q$53&gt;0),3)),""))</f>
        <v/>
      </c>
      <c r="AJ8" s="442" t="str">
        <f>IF($AD8="","",IFERROR(INDEX($M$6:$M$53,_xlfn.AGGREGATE(15,6,(ROW($Q$6:$Q$53)-ROW($Q$6)+1)/($Q$6:$Q$53&gt;0),3)),""))</f>
        <v/>
      </c>
      <c r="AK8" s="442" t="str">
        <f>IF($AD8="","",IFERROR(INDEX($O$6:$O$53,_xlfn.AGGREGATE(15,6,(ROW($Q$6:$Q$53)-ROW($Q$6)+1)/($Q$6:$Q$53&gt;0),3)),""))</f>
        <v/>
      </c>
      <c r="AL8" s="442" t="str">
        <f>IF($AD8="","",IFERROR(INDEX($P$6:$P$53,_xlfn.AGGREGATE(15,6,(ROW($Q$6:$Q$53)-ROW($Q$6)+1)/($Q$6:$Q$53&gt;0),3)),""))</f>
        <v/>
      </c>
      <c r="AM8" s="442" t="str">
        <f t="shared" si="2"/>
        <v/>
      </c>
      <c r="AN8" s="442" t="str">
        <f t="shared" si="3"/>
        <v/>
      </c>
      <c r="AO8" s="442" t="str">
        <f t="shared" si="4"/>
        <v/>
      </c>
      <c r="AP8" s="446" t="str">
        <f t="shared" si="5"/>
        <v/>
      </c>
      <c r="AS8" s="474" t="str">
        <f>IFERROR(INDEX($C$6:$C$53,_xlfn.AGGREGATE(15,6,(ROW($C$6:$C$53)-ROW($C$6)+1)/(($Q$6:$Q$53&gt;0)*(MOD($S$6:$S$53,20)=10)),ROWS($AS$6:AS8))),"")</f>
        <v/>
      </c>
      <c r="AT8" s="471" t="str">
        <f>IF($AS8="","",IFERROR(INDEX($D$6:$D$53,_xlfn.AGGREGATE(15,6,(ROW($C$6:$C$53)-ROW($C$6)+1)/(($Q$6:$Q$53&gt;0)*(MOD($S$6:$S$53,20)=10)),ROWS($AS$6:AS8))),""))</f>
        <v/>
      </c>
      <c r="AU8" s="458" t="str">
        <f>IF($AS8="","",IFERROR(INDEX($S$6:$S$53,_xlfn.AGGREGATE(15,6,(ROW($C$6:$C$53)-ROW($C$6)+1)/(($Q$6:$Q$53&gt;0)*(MOD($S$6:$S$53,20)=10)),ROWS($AS$6:AS8))),""))</f>
        <v/>
      </c>
      <c r="AV8" s="459" t="str">
        <f t="shared" si="6"/>
        <v/>
      </c>
      <c r="AW8" s="467" t="str">
        <f t="shared" si="7"/>
        <v/>
      </c>
    </row>
    <row r="9" spans="1:50" ht="52.5">
      <c r="A9" s="2257"/>
      <c r="C9" s="41">
        <f>+PP!B27</f>
        <v>4</v>
      </c>
      <c r="D9" s="1023" t="str">
        <f>+PP!C27</f>
        <v>ALETA FRESCA CORTE CRUZ</v>
      </c>
      <c r="E9" s="2184">
        <f>+'T1'!Q9</f>
        <v>0</v>
      </c>
      <c r="F9" s="2185">
        <f>+'T1 (2)'!Y9</f>
        <v>0</v>
      </c>
      <c r="G9" s="2185">
        <f>+'T2'!Q9</f>
        <v>0</v>
      </c>
      <c r="H9" s="2185">
        <f>+'T2 (2)'!Q13</f>
        <v>0</v>
      </c>
      <c r="I9" s="2185">
        <f>+'T3'!Y9</f>
        <v>0</v>
      </c>
      <c r="J9" s="2185">
        <f>+'T3 (2)'!Y9</f>
        <v>0</v>
      </c>
      <c r="K9" s="2185">
        <f>+'T4'!Y9</f>
        <v>0</v>
      </c>
      <c r="L9" s="2185">
        <f>+'T4 (2)'!Y9</f>
        <v>0</v>
      </c>
      <c r="M9" s="2185">
        <f>+'T5'!AB9</f>
        <v>0</v>
      </c>
      <c r="N9" s="2185">
        <f>+'T5 (2)'!AB9</f>
        <v>0</v>
      </c>
      <c r="O9" s="2185">
        <f>+'T6'!W9</f>
        <v>0</v>
      </c>
      <c r="P9" s="2186">
        <f>+'T6 (2)'!W9</f>
        <v>0</v>
      </c>
      <c r="Q9" s="964">
        <f t="shared" si="0"/>
        <v>0</v>
      </c>
      <c r="R9" s="50">
        <f t="shared" si="1"/>
        <v>0</v>
      </c>
      <c r="S9" s="51">
        <f t="shared" si="8"/>
        <v>0</v>
      </c>
      <c r="V9" s="452"/>
      <c r="W9" s="451"/>
      <c r="X9" s="451"/>
      <c r="Y9" s="451"/>
      <c r="Z9" s="451"/>
      <c r="AA9" s="451"/>
      <c r="AB9" s="451"/>
      <c r="AC9" s="451"/>
      <c r="AD9" s="443" t="str">
        <f>IFERROR(INDEX($C$6:$C$53,_xlfn.AGGREGATE(15,6,(ROW($Q$6:$Q$53)-ROW($Q$6)+1)/($Q$6:$Q$53&gt;0),4)),"")</f>
        <v/>
      </c>
      <c r="AE9" s="477" t="str">
        <f>IF($AD9="","",IFERROR(INDEX($D$6:$D$53,_xlfn.AGGREGATE(15,6,(ROW($Q$6:$Q$53)-ROW($Q$6)+1)/($Q$6:$Q$53&gt;0),4))&amp;"",""))</f>
        <v/>
      </c>
      <c r="AF9" s="442" t="str">
        <f>IF($AD9="","",IFERROR(INDEX($E$6:$E$53,_xlfn.AGGREGATE(15,6,(ROW($Q$6:$Q$53)-ROW($Q$6)+1)/($Q$6:$Q$53&gt;0),4)),""))</f>
        <v/>
      </c>
      <c r="AG9" s="442" t="str">
        <f>IF($AD9="","",IFERROR(INDEX($G$6:$G$53,_xlfn.AGGREGATE(15,6,(ROW($Q$6:$Q$53)-ROW($Q$6)+1)/($Q$6:$Q$53&gt;0),4)),""))</f>
        <v/>
      </c>
      <c r="AH9" s="442" t="str">
        <f>IF($AD9="","",IFERROR(INDEX($I$6:$I$53,_xlfn.AGGREGATE(15,6,(ROW($Q$6:$Q$53)-ROW($Q$6)+1)/($Q$6:$Q$53&gt;0),4)),""))</f>
        <v/>
      </c>
      <c r="AI9" s="442" t="str">
        <f>IF($AD9="","",IFERROR(INDEX($K$6:$K$53,_xlfn.AGGREGATE(15,6,(ROW($Q$6:$Q$53)-ROW($Q$6)+1)/($Q$6:$Q$53&gt;0),4)),""))</f>
        <v/>
      </c>
      <c r="AJ9" s="442" t="str">
        <f>IF($AD9="","",IFERROR(INDEX($M$6:$M$53,_xlfn.AGGREGATE(15,6,(ROW($Q$6:$Q$53)-ROW($Q$6)+1)/($Q$6:$Q$53&gt;0),4)),""))</f>
        <v/>
      </c>
      <c r="AK9" s="442" t="str">
        <f>IF($AD9="","",IFERROR(INDEX($O$6:$O$53,_xlfn.AGGREGATE(15,6,(ROW($Q$6:$Q$53)-ROW($Q$6)+1)/($Q$6:$Q$53&gt;0),4)),""))</f>
        <v/>
      </c>
      <c r="AL9" s="442" t="str">
        <f>IF($AD9="","",IFERROR(INDEX($P$6:$P$53,_xlfn.AGGREGATE(15,6,(ROW($Q$6:$Q$53)-ROW($Q$6)+1)/($Q$6:$Q$53&gt;0),4)),""))</f>
        <v/>
      </c>
      <c r="AM9" s="442" t="str">
        <f t="shared" si="2"/>
        <v/>
      </c>
      <c r="AN9" s="442" t="str">
        <f t="shared" si="3"/>
        <v/>
      </c>
      <c r="AO9" s="442" t="str">
        <f t="shared" si="4"/>
        <v/>
      </c>
      <c r="AP9" s="446" t="str">
        <f t="shared" si="5"/>
        <v/>
      </c>
      <c r="AS9" s="474" t="str">
        <f>IFERROR(INDEX($C$6:$C$53,_xlfn.AGGREGATE(15,6,(ROW($C$6:$C$53)-ROW($C$6)+1)/(($Q$6:$Q$53&gt;0)*(MOD($S$6:$S$53,20)=10)),ROWS($AS$6:AS9))),"")</f>
        <v/>
      </c>
      <c r="AT9" s="471" t="str">
        <f>IF($AS9="","",IFERROR(INDEX($D$6:$D$53,_xlfn.AGGREGATE(15,6,(ROW($C$6:$C$53)-ROW($C$6)+1)/(($Q$6:$Q$53&gt;0)*(MOD($S$6:$S$53,20)=10)),ROWS($AS$6:AS9))),""))</f>
        <v/>
      </c>
      <c r="AU9" s="458" t="str">
        <f>IF($AS9="","",IFERROR(INDEX($S$6:$S$53,_xlfn.AGGREGATE(15,6,(ROW($C$6:$C$53)-ROW($C$6)+1)/(($Q$6:$Q$53&gt;0)*(MOD($S$6:$S$53,20)=10)),ROWS($AS$6:AS9))),""))</f>
        <v/>
      </c>
      <c r="AV9" s="459" t="str">
        <f t="shared" si="6"/>
        <v/>
      </c>
      <c r="AW9" s="467" t="str">
        <f t="shared" si="7"/>
        <v/>
      </c>
    </row>
    <row r="10" spans="1:50" ht="52.5">
      <c r="A10" s="2257"/>
      <c r="C10" s="42">
        <f>+PP!B28</f>
        <v>5</v>
      </c>
      <c r="D10" s="1024" t="str">
        <f>+PP!C28</f>
        <v>ALETA ENTERA 100-500 g/pza</v>
      </c>
      <c r="E10" s="2187">
        <f>+'T1'!Q10</f>
        <v>0</v>
      </c>
      <c r="F10" s="2052">
        <f>+'T1 (2)'!Y10</f>
        <v>0</v>
      </c>
      <c r="G10" s="2052">
        <f>+'T2'!Q10</f>
        <v>0</v>
      </c>
      <c r="H10" s="2052">
        <f>+'T2 (2)'!Q14</f>
        <v>0</v>
      </c>
      <c r="I10" s="2052">
        <f>+'T3'!Y10</f>
        <v>0</v>
      </c>
      <c r="J10" s="2052">
        <f>+'T3 (2)'!Y10</f>
        <v>0</v>
      </c>
      <c r="K10" s="2052">
        <f>+'T4'!Y10</f>
        <v>0</v>
      </c>
      <c r="L10" s="2052">
        <f>+'T4 (2)'!Y10</f>
        <v>0</v>
      </c>
      <c r="M10" s="2052">
        <f>+'T5'!AB10</f>
        <v>0</v>
      </c>
      <c r="N10" s="2052">
        <f>+'T5 (2)'!AB10</f>
        <v>0</v>
      </c>
      <c r="O10" s="2052">
        <f>+'T6'!W10</f>
        <v>0</v>
      </c>
      <c r="P10" s="2188">
        <f>+'T6 (2)'!W10</f>
        <v>0</v>
      </c>
      <c r="Q10" s="1974">
        <f t="shared" si="0"/>
        <v>0</v>
      </c>
      <c r="R10" s="29">
        <f t="shared" si="1"/>
        <v>0</v>
      </c>
      <c r="S10" s="54">
        <f t="shared" si="8"/>
        <v>0</v>
      </c>
      <c r="V10" s="452"/>
      <c r="W10" s="451"/>
      <c r="X10" s="1708"/>
      <c r="Y10" s="1708"/>
      <c r="Z10" s="1708"/>
      <c r="AA10" s="1708"/>
      <c r="AB10" s="1708"/>
      <c r="AC10" s="451"/>
      <c r="AD10" s="443" t="str">
        <f>IFERROR(INDEX($C$6:$C$53,_xlfn.AGGREGATE(15,6,(ROW($Q$6:$Q$53)-ROW($Q$6)+1)/($Q$6:$Q$53&gt;0),5)),"")</f>
        <v/>
      </c>
      <c r="AE10" s="477" t="str">
        <f>IF($AD10="","",IFERROR(INDEX($D$6:$D$53,_xlfn.AGGREGATE(15,6,(ROW($Q$6:$Q$53)-ROW($Q$6)+1)/($Q$6:$Q$53&gt;0),5))&amp;"",""))</f>
        <v/>
      </c>
      <c r="AF10" s="442" t="str">
        <f>IF($AD10="","",IFERROR(INDEX($E$6:$E$53,_xlfn.AGGREGATE(15,6,(ROW($Q$6:$Q$53)-ROW($Q$6)+1)/($Q$6:$Q$53&gt;0),5)),""))</f>
        <v/>
      </c>
      <c r="AG10" s="442" t="str">
        <f>IF($AD10="","",IFERROR(INDEX($G$6:$G$53,_xlfn.AGGREGATE(15,6,(ROW($Q$6:$Q$53)-ROW($Q$6)+1)/($Q$6:$Q$53&gt;0),5)),""))</f>
        <v/>
      </c>
      <c r="AH10" s="442" t="str">
        <f>IF($AD10="","",IFERROR(INDEX($I$6:$I$53,_xlfn.AGGREGATE(15,6,(ROW($Q$6:$Q$53)-ROW($Q$6)+1)/($Q$6:$Q$53&gt;0),5)),""))</f>
        <v/>
      </c>
      <c r="AI10" s="442" t="str">
        <f>IF($AD10="","",IFERROR(INDEX($K$6:$K$53,_xlfn.AGGREGATE(15,6,(ROW($Q$6:$Q$53)-ROW($Q$6)+1)/($Q$6:$Q$53&gt;0),5)),""))</f>
        <v/>
      </c>
      <c r="AJ10" s="442" t="str">
        <f>IF($AD10="","",IFERROR(INDEX($M$6:$M$53,_xlfn.AGGREGATE(15,6,(ROW($Q$6:$Q$53)-ROW($Q$6)+1)/($Q$6:$Q$53&gt;0),5)),""))</f>
        <v/>
      </c>
      <c r="AK10" s="442" t="str">
        <f>IF($AD10="","",IFERROR(INDEX($O$6:$O$53,_xlfn.AGGREGATE(15,6,(ROW($Q$6:$Q$53)-ROW($Q$6)+1)/($Q$6:$Q$53&gt;0),5)),""))</f>
        <v/>
      </c>
      <c r="AL10" s="442" t="str">
        <f>IF($AD10="","",IFERROR(INDEX($P$6:$P$53,_xlfn.AGGREGATE(15,6,(ROW($Q$6:$Q$53)-ROW($Q$6)+1)/($Q$6:$Q$53&gt;0),5)),""))</f>
        <v/>
      </c>
      <c r="AM10" s="442" t="str">
        <f t="shared" si="2"/>
        <v/>
      </c>
      <c r="AN10" s="442" t="str">
        <f t="shared" si="3"/>
        <v/>
      </c>
      <c r="AO10" s="442" t="str">
        <f t="shared" si="4"/>
        <v/>
      </c>
      <c r="AP10" s="446" t="str">
        <f t="shared" si="5"/>
        <v/>
      </c>
      <c r="AS10" s="474" t="str">
        <f>IFERROR(INDEX($C$6:$C$53,_xlfn.AGGREGATE(15,6,(ROW($C$6:$C$53)-ROW($C$6)+1)/(($Q$6:$Q$53&gt;0)*(MOD($S$6:$S$53,20)=10)),ROWS($AS$6:AS10))),"")</f>
        <v/>
      </c>
      <c r="AT10" s="471" t="str">
        <f>IF($AS10="","",IFERROR(INDEX($D$6:$D$53,_xlfn.AGGREGATE(15,6,(ROW($C$6:$C$53)-ROW($C$6)+1)/(($Q$6:$Q$53&gt;0)*(MOD($S$6:$S$53,20)=10)),ROWS($AS$6:AS10))),""))</f>
        <v/>
      </c>
      <c r="AU10" s="458" t="str">
        <f>IF($AS10="","",IFERROR(INDEX($S$6:$S$53,_xlfn.AGGREGATE(15,6,(ROW($C$6:$C$53)-ROW($C$6)+1)/(($Q$6:$Q$53&gt;0)*(MOD($S$6:$S$53,20)=10)),ROWS($AS$6:AS10))),""))</f>
        <v/>
      </c>
      <c r="AV10" s="459" t="str">
        <f t="shared" si="6"/>
        <v/>
      </c>
      <c r="AW10" s="467" t="str">
        <f t="shared" si="7"/>
        <v/>
      </c>
    </row>
    <row r="11" spans="1:50" ht="52.5">
      <c r="A11" s="2257"/>
      <c r="C11" s="42">
        <f>+PP!B29</f>
        <v>6</v>
      </c>
      <c r="D11" s="1024" t="str">
        <f>+PP!C29</f>
        <v>ALETA ENTERA 500-1000 g/pza</v>
      </c>
      <c r="E11" s="2187">
        <f>+'T1'!Q11</f>
        <v>0</v>
      </c>
      <c r="F11" s="2052">
        <f>+'T1 (2)'!Y11</f>
        <v>0</v>
      </c>
      <c r="G11" s="2052">
        <f>+'T2'!Q11</f>
        <v>0</v>
      </c>
      <c r="H11" s="2052">
        <f>+'T2 (2)'!Q15</f>
        <v>0</v>
      </c>
      <c r="I11" s="2052">
        <f>+'T3'!Y11</f>
        <v>0</v>
      </c>
      <c r="J11" s="2052">
        <f>+'T3 (2)'!Y11</f>
        <v>0</v>
      </c>
      <c r="K11" s="2052">
        <f>+'T4'!Y11</f>
        <v>0</v>
      </c>
      <c r="L11" s="2052">
        <f>+'T4 (2)'!Y11</f>
        <v>0</v>
      </c>
      <c r="M11" s="2052">
        <f>+'T5'!AB11</f>
        <v>0</v>
      </c>
      <c r="N11" s="2052">
        <f>+'T5 (2)'!AB11</f>
        <v>0</v>
      </c>
      <c r="O11" s="2052">
        <f>+'T6'!W11</f>
        <v>0</v>
      </c>
      <c r="P11" s="2188">
        <f>+'T6 (2)'!W11</f>
        <v>0</v>
      </c>
      <c r="Q11" s="1974">
        <f t="shared" si="0"/>
        <v>0</v>
      </c>
      <c r="R11" s="29">
        <f t="shared" si="1"/>
        <v>0</v>
      </c>
      <c r="S11" s="54">
        <f t="shared" si="8"/>
        <v>0</v>
      </c>
      <c r="V11" s="452"/>
      <c r="W11" s="451"/>
      <c r="X11" s="1708"/>
      <c r="Y11" s="1708"/>
      <c r="Z11" s="1709"/>
      <c r="AA11" s="1708"/>
      <c r="AB11" s="1708"/>
      <c r="AC11" s="451"/>
      <c r="AD11" s="443" t="str">
        <f>IFERROR(INDEX($C$6:$C$53,_xlfn.AGGREGATE(15,6,(ROW($Q$6:$Q$53)-ROW($Q$6)+1)/($Q$6:$Q$53&gt;0),6)),"")</f>
        <v/>
      </c>
      <c r="AE11" s="477" t="str">
        <f>IF($AD11="","",IFERROR(INDEX($D$6:$D$53,_xlfn.AGGREGATE(15,6,(ROW($Q$6:$Q$53)-ROW($Q$6)+1)/($Q$6:$Q$53&gt;0),6))&amp;"",""))</f>
        <v/>
      </c>
      <c r="AF11" s="442" t="str">
        <f>IF($AD11="","",IFERROR(INDEX($E$6:$E$53,_xlfn.AGGREGATE(15,6,(ROW($Q$6:$Q$53)-ROW($Q$6)+1)/($Q$6:$Q$53&gt;0),6)),""))</f>
        <v/>
      </c>
      <c r="AG11" s="442" t="str">
        <f>IF($AD11="","",IFERROR(INDEX($G$6:$G$53,_xlfn.AGGREGATE(15,6,(ROW($Q$6:$Q$53)-ROW($Q$6)+1)/($Q$6:$Q$53&gt;0),6)),""))</f>
        <v/>
      </c>
      <c r="AH11" s="442" t="str">
        <f>IF($AD11="","",IFERROR(INDEX($I$6:$I$53,_xlfn.AGGREGATE(15,6,(ROW($Q$6:$Q$53)-ROW($Q$6)+1)/($Q$6:$Q$53&gt;0),6)),""))</f>
        <v/>
      </c>
      <c r="AI11" s="442" t="str">
        <f>IF($AD11="","",IFERROR(INDEX($K$6:$K$53,_xlfn.AGGREGATE(15,6,(ROW($Q$6:$Q$53)-ROW($Q$6)+1)/($Q$6:$Q$53&gt;0),6)),""))</f>
        <v/>
      </c>
      <c r="AJ11" s="442" t="str">
        <f>IF($AD11="","",IFERROR(INDEX($M$6:$M$53,_xlfn.AGGREGATE(15,6,(ROW($Q$6:$Q$53)-ROW($Q$6)+1)/($Q$6:$Q$53&gt;0),6)),""))</f>
        <v/>
      </c>
      <c r="AK11" s="442" t="str">
        <f>IF($AD11="","",IFERROR(INDEX($O$6:$O$53,_xlfn.AGGREGATE(15,6,(ROW($Q$6:$Q$53)-ROW($Q$6)+1)/($Q$6:$Q$53&gt;0),6)),""))</f>
        <v/>
      </c>
      <c r="AL11" s="442" t="str">
        <f>IF($AD11="","",IFERROR(INDEX($P$6:$P$53,_xlfn.AGGREGATE(15,6,(ROW($Q$6:$Q$53)-ROW($Q$6)+1)/($Q$6:$Q$53&gt;0),6)),""))</f>
        <v/>
      </c>
      <c r="AM11" s="442" t="str">
        <f t="shared" si="2"/>
        <v/>
      </c>
      <c r="AN11" s="442" t="str">
        <f t="shared" si="3"/>
        <v/>
      </c>
      <c r="AO11" s="442" t="str">
        <f t="shared" si="4"/>
        <v/>
      </c>
      <c r="AP11" s="446" t="str">
        <f t="shared" si="5"/>
        <v/>
      </c>
      <c r="AS11" s="474" t="str">
        <f>IFERROR(INDEX($C$6:$C$53,_xlfn.AGGREGATE(15,6,(ROW($C$6:$C$53)-ROW($C$6)+1)/(($Q$6:$Q$53&gt;0)*(MOD($S$6:$S$53,20)=10)),ROWS($AS$6:AS11))),"")</f>
        <v/>
      </c>
      <c r="AT11" s="471" t="str">
        <f>IF($AS11="","",IFERROR(INDEX($D$6:$D$53,_xlfn.AGGREGATE(15,6,(ROW($C$6:$C$53)-ROW($C$6)+1)/(($Q$6:$Q$53&gt;0)*(MOD($S$6:$S$53,20)=10)),ROWS($AS$6:AS11))),""))</f>
        <v/>
      </c>
      <c r="AU11" s="458" t="str">
        <f>IF($AS11="","",IFERROR(INDEX($S$6:$S$53,_xlfn.AGGREGATE(15,6,(ROW($C$6:$C$53)-ROW($C$6)+1)/(($Q$6:$Q$53&gt;0)*(MOD($S$6:$S$53,20)=10)),ROWS($AS$6:AS11))),""))</f>
        <v/>
      </c>
      <c r="AV11" s="459" t="str">
        <f t="shared" si="6"/>
        <v/>
      </c>
      <c r="AW11" s="467" t="str">
        <f t="shared" si="7"/>
        <v/>
      </c>
    </row>
    <row r="12" spans="1:50" ht="53.25" thickBot="1">
      <c r="A12" s="2257"/>
      <c r="C12" s="42">
        <f>+PP!B30</f>
        <v>7</v>
      </c>
      <c r="D12" s="1024" t="str">
        <f>+PP!C30</f>
        <v>ALETA ENTERA 1.0-2.0 kg/pza</v>
      </c>
      <c r="E12" s="2187">
        <f>+'T1'!Q12</f>
        <v>0</v>
      </c>
      <c r="F12" s="2052">
        <f>+'T1 (2)'!Y12</f>
        <v>0</v>
      </c>
      <c r="G12" s="2052">
        <f>+'T2'!Q12</f>
        <v>0</v>
      </c>
      <c r="H12" s="2052">
        <f>+'T2 (2)'!Q16</f>
        <v>0</v>
      </c>
      <c r="I12" s="2052">
        <f>+'T3'!Y12</f>
        <v>0</v>
      </c>
      <c r="J12" s="2052">
        <f>+'T3 (2)'!Y12</f>
        <v>0</v>
      </c>
      <c r="K12" s="2052">
        <f>+'T4'!Y12</f>
        <v>0</v>
      </c>
      <c r="L12" s="2052">
        <f>+'T4 (2)'!Y12</f>
        <v>0</v>
      </c>
      <c r="M12" s="2052">
        <f>+'T5'!AB12</f>
        <v>0</v>
      </c>
      <c r="N12" s="2052">
        <f>+'T5 (2)'!AB12</f>
        <v>0</v>
      </c>
      <c r="O12" s="2052">
        <f>+'T6'!W12</f>
        <v>0</v>
      </c>
      <c r="P12" s="2188">
        <f>+'T6 (2)'!W12</f>
        <v>0</v>
      </c>
      <c r="Q12" s="1974">
        <f t="shared" si="0"/>
        <v>0</v>
      </c>
      <c r="R12" s="29">
        <f t="shared" si="1"/>
        <v>0</v>
      </c>
      <c r="S12" s="54">
        <f t="shared" si="8"/>
        <v>0</v>
      </c>
      <c r="V12" s="452"/>
      <c r="W12" s="451"/>
      <c r="X12" s="1708"/>
      <c r="Y12" s="1708"/>
      <c r="Z12" s="1709"/>
      <c r="AA12" s="1708"/>
      <c r="AB12" s="1708"/>
      <c r="AC12" s="451"/>
      <c r="AD12" s="443" t="str">
        <f>IFERROR(INDEX($C$6:$C$53,_xlfn.AGGREGATE(15,6,(ROW($Q$6:$Q$53)-ROW($Q$6)+1)/($Q$6:$Q$53&gt;0),7)),"")</f>
        <v/>
      </c>
      <c r="AE12" s="477" t="str">
        <f>IF($AD12="","",IFERROR(INDEX($D$6:$D$53,_xlfn.AGGREGATE(15,6,(ROW($Q$6:$Q$53)-ROW($Q$6)+1)/($Q$6:$Q$53&gt;0),7))&amp;"",""))</f>
        <v/>
      </c>
      <c r="AF12" s="442" t="str">
        <f>IF($AD12="","",IFERROR(INDEX($E$6:$E$53,_xlfn.AGGREGATE(15,6,(ROW($Q$6:$Q$53)-ROW($Q$6)+1)/($Q$6:$Q$53&gt;0),7)),""))</f>
        <v/>
      </c>
      <c r="AG12" s="442" t="str">
        <f>IF($AD12="","",IFERROR(INDEX($G$6:$G$53,_xlfn.AGGREGATE(15,6,(ROW($Q$6:$Q$53)-ROW($Q$6)+1)/($Q$6:$Q$53&gt;0),7)),""))</f>
        <v/>
      </c>
      <c r="AH12" s="442" t="str">
        <f>IF($AD12="","",IFERROR(INDEX($I$6:$I$53,_xlfn.AGGREGATE(15,6,(ROW($Q$6:$Q$53)-ROW($Q$6)+1)/($Q$6:$Q$53&gt;0),7)),""))</f>
        <v/>
      </c>
      <c r="AI12" s="442" t="str">
        <f>IF($AD12="","",IFERROR(INDEX($K$6:$K$53,_xlfn.AGGREGATE(15,6,(ROW($Q$6:$Q$53)-ROW($Q$6)+1)/($Q$6:$Q$53&gt;0),7)),""))</f>
        <v/>
      </c>
      <c r="AJ12" s="442" t="str">
        <f>IF($AD12="","",IFERROR(INDEX($M$6:$M$53,_xlfn.AGGREGATE(15,6,(ROW($Q$6:$Q$53)-ROW($Q$6)+1)/($Q$6:$Q$53&gt;0),7)),""))</f>
        <v/>
      </c>
      <c r="AK12" s="442" t="str">
        <f>IF($AD12="","",IFERROR(INDEX($O$6:$O$53,_xlfn.AGGREGATE(15,6,(ROW($Q$6:$Q$53)-ROW($Q$6)+1)/($Q$6:$Q$53&gt;0),7)),""))</f>
        <v/>
      </c>
      <c r="AL12" s="442" t="str">
        <f>IF($AD12="","",IFERROR(INDEX($P$6:$P$53,_xlfn.AGGREGATE(15,6,(ROW($Q$6:$Q$53)-ROW($Q$6)+1)/($Q$6:$Q$53&gt;0),7)),""))</f>
        <v/>
      </c>
      <c r="AM12" s="442" t="str">
        <f t="shared" si="2"/>
        <v/>
      </c>
      <c r="AN12" s="442" t="str">
        <f t="shared" si="3"/>
        <v/>
      </c>
      <c r="AO12" s="442" t="str">
        <f t="shared" si="4"/>
        <v/>
      </c>
      <c r="AP12" s="446" t="str">
        <f t="shared" si="5"/>
        <v/>
      </c>
      <c r="AS12" s="474" t="str">
        <f>IFERROR(INDEX($C$6:$C$53,_xlfn.AGGREGATE(15,6,(ROW($C$6:$C$53)-ROW($C$6)+1)/(($Q$6:$Q$53&gt;0)*(MOD($S$6:$S$53,20)=10)),ROWS($AS$6:AS12))),"")</f>
        <v/>
      </c>
      <c r="AT12" s="471" t="str">
        <f>IF($AS12="","",IFERROR(INDEX($D$6:$D$53,_xlfn.AGGREGATE(15,6,(ROW($C$6:$C$53)-ROW($C$6)+1)/(($Q$6:$Q$53&gt;0)*(MOD($S$6:$S$53,20)=10)),ROWS($AS$6:AS12))),""))</f>
        <v/>
      </c>
      <c r="AU12" s="458" t="str">
        <f>IF($AS12="","",IFERROR(INDEX($S$6:$S$53,_xlfn.AGGREGATE(15,6,(ROW($C$6:$C$53)-ROW($C$6)+1)/(($Q$6:$Q$53&gt;0)*(MOD($S$6:$S$53,20)=10)),ROWS($AS$6:AS12))),""))</f>
        <v/>
      </c>
      <c r="AV12" s="459" t="str">
        <f t="shared" si="6"/>
        <v/>
      </c>
      <c r="AW12" s="467" t="str">
        <f t="shared" si="7"/>
        <v/>
      </c>
    </row>
    <row r="13" spans="1:50" ht="53.25" thickBot="1">
      <c r="A13" s="2257"/>
      <c r="C13" s="42">
        <f>+PP!B31</f>
        <v>8</v>
      </c>
      <c r="D13" s="1024" t="str">
        <f>+PP!C31</f>
        <v>ALETA FRESCA PARTIDA 2.0-4.0 kg/pza</v>
      </c>
      <c r="E13" s="2187">
        <f>+'T1'!Q13</f>
        <v>0</v>
      </c>
      <c r="F13" s="2052">
        <f>+'T1 (2)'!Y13</f>
        <v>0</v>
      </c>
      <c r="G13" s="2052">
        <f>+'T2'!Q13</f>
        <v>0</v>
      </c>
      <c r="H13" s="2052">
        <f>+'T2 (2)'!Q17</f>
        <v>0</v>
      </c>
      <c r="I13" s="2052">
        <f>+'T3'!Y13</f>
        <v>0</v>
      </c>
      <c r="J13" s="2052">
        <f>+'T3 (2)'!Y13</f>
        <v>0</v>
      </c>
      <c r="K13" s="2052">
        <f>+'T4'!Y13</f>
        <v>0</v>
      </c>
      <c r="L13" s="2052">
        <f>+'T4 (2)'!Y13</f>
        <v>0</v>
      </c>
      <c r="M13" s="2052">
        <f>+'T5'!AB13</f>
        <v>0</v>
      </c>
      <c r="N13" s="2052">
        <f>+'T5 (2)'!AB13</f>
        <v>0</v>
      </c>
      <c r="O13" s="2052">
        <f>+'T6'!W13</f>
        <v>0</v>
      </c>
      <c r="P13" s="2188">
        <f>+'T6 (2)'!W13</f>
        <v>0</v>
      </c>
      <c r="Q13" s="1974">
        <f t="shared" si="0"/>
        <v>0</v>
      </c>
      <c r="R13" s="29">
        <f t="shared" si="1"/>
        <v>0</v>
      </c>
      <c r="S13" s="54">
        <f t="shared" si="8"/>
        <v>0</v>
      </c>
      <c r="T13" s="2017">
        <f>SUM(S9:S15)</f>
        <v>0</v>
      </c>
      <c r="V13" s="452"/>
      <c r="W13" s="451"/>
      <c r="X13" s="1708"/>
      <c r="Y13" s="1708"/>
      <c r="Z13" s="1709"/>
      <c r="AA13" s="1708"/>
      <c r="AB13" s="1708"/>
      <c r="AC13" s="451"/>
      <c r="AD13" s="443" t="str">
        <f>IFERROR(INDEX($C$6:$C$53,_xlfn.AGGREGATE(15,6,(ROW($Q$6:$Q$53)-ROW($Q$6)+1)/($Q$6:$Q$53&gt;0),8)),"")</f>
        <v/>
      </c>
      <c r="AE13" s="477" t="str">
        <f>IF($AD13="","",IFERROR(INDEX($D$6:$D$53,_xlfn.AGGREGATE(15,6,(ROW($Q$6:$Q$53)-ROW($Q$6)+1)/($Q$6:$Q$53&gt;0),8))&amp;"",""))</f>
        <v/>
      </c>
      <c r="AF13" s="442" t="str">
        <f>IF($AD13="","",IFERROR(INDEX($E$6:$E$53,_xlfn.AGGREGATE(15,6,(ROW($Q$6:$Q$53)-ROW($Q$6)+1)/($Q$6:$Q$53&gt;0),8)),""))</f>
        <v/>
      </c>
      <c r="AG13" s="442" t="str">
        <f>IF($AD13="","",IFERROR(INDEX($G$6:$G$53,_xlfn.AGGREGATE(15,6,(ROW($Q$6:$Q$53)-ROW($Q$6)+1)/($Q$6:$Q$53&gt;0),8)),""))</f>
        <v/>
      </c>
      <c r="AH13" s="442" t="str">
        <f>IF($AD13="","",IFERROR(INDEX($I$6:$I$53,_xlfn.AGGREGATE(15,6,(ROW($Q$6:$Q$53)-ROW($Q$6)+1)/($Q$6:$Q$53&gt;0),8)),""))</f>
        <v/>
      </c>
      <c r="AI13" s="442" t="str">
        <f>IF($AD13="","",IFERROR(INDEX($K$6:$K$53,_xlfn.AGGREGATE(15,6,(ROW($Q$6:$Q$53)-ROW($Q$6)+1)/($Q$6:$Q$53&gt;0),8)),""))</f>
        <v/>
      </c>
      <c r="AJ13" s="442" t="str">
        <f>IF($AD13="","",IFERROR(INDEX($M$6:$M$53,_xlfn.AGGREGATE(15,6,(ROW($Q$6:$Q$53)-ROW($Q$6)+1)/($Q$6:$Q$53&gt;0),8)),""))</f>
        <v/>
      </c>
      <c r="AK13" s="442" t="str">
        <f>IF($AD13="","",IFERROR(INDEX($O$6:$O$53,_xlfn.AGGREGATE(15,6,(ROW($Q$6:$Q$53)-ROW($Q$6)+1)/($Q$6:$Q$53&gt;0),8)),""))</f>
        <v/>
      </c>
      <c r="AL13" s="442" t="str">
        <f>IF($AD13="","",IFERROR(INDEX($P$6:$P$53,_xlfn.AGGREGATE(15,6,(ROW($Q$6:$Q$53)-ROW($Q$6)+1)/($Q$6:$Q$53&gt;0),8)),""))</f>
        <v/>
      </c>
      <c r="AM13" s="442" t="str">
        <f t="shared" si="2"/>
        <v/>
      </c>
      <c r="AN13" s="442" t="str">
        <f t="shared" si="3"/>
        <v/>
      </c>
      <c r="AO13" s="442" t="str">
        <f t="shared" si="4"/>
        <v/>
      </c>
      <c r="AP13" s="446" t="str">
        <f t="shared" si="5"/>
        <v/>
      </c>
      <c r="AS13" s="474" t="str">
        <f>IFERROR(INDEX($C$6:$C$53,_xlfn.AGGREGATE(15,6,(ROW($C$6:$C$53)-ROW($C$6)+1)/(($Q$6:$Q$53&gt;0)*(MOD($S$6:$S$53,20)=10)),ROWS($AS$6:AS13))),"")</f>
        <v/>
      </c>
      <c r="AT13" s="471" t="str">
        <f>IF($AS13="","",IFERROR(INDEX($D$6:$D$53,_xlfn.AGGREGATE(15,6,(ROW($C$6:$C$53)-ROW($C$6)+1)/(($Q$6:$Q$53&gt;0)*(MOD($S$6:$S$53,20)=10)),ROWS($AS$6:AS13))),""))</f>
        <v/>
      </c>
      <c r="AU13" s="458" t="str">
        <f>IF($AS13="","",IFERROR(INDEX($S$6:$S$53,_xlfn.AGGREGATE(15,6,(ROW($C$6:$C$53)-ROW($C$6)+1)/(($Q$6:$Q$53&gt;0)*(MOD($S$6:$S$53,20)=10)),ROWS($AS$6:AS13))),""))</f>
        <v/>
      </c>
      <c r="AV13" s="459" t="str">
        <f t="shared" si="6"/>
        <v/>
      </c>
      <c r="AW13" s="467" t="str">
        <f t="shared" si="7"/>
        <v/>
      </c>
    </row>
    <row r="14" spans="1:50" ht="52.5">
      <c r="A14" s="2257"/>
      <c r="C14" s="42">
        <f>+PP!B32</f>
        <v>9</v>
      </c>
      <c r="D14" s="1024" t="str">
        <f>+PP!C32</f>
        <v>ALETA PRECOCIDA ENTERA 300-UP g/pza</v>
      </c>
      <c r="E14" s="2187">
        <f>+'T1'!Q14</f>
        <v>0</v>
      </c>
      <c r="F14" s="2052">
        <f>+'T1 (2)'!Y14</f>
        <v>0</v>
      </c>
      <c r="G14" s="2052">
        <f>+'T2'!Q14</f>
        <v>0</v>
      </c>
      <c r="H14" s="2052">
        <f>+'T2 (2)'!Q18</f>
        <v>0</v>
      </c>
      <c r="I14" s="2052">
        <f>+'T3'!Y14</f>
        <v>0</v>
      </c>
      <c r="J14" s="2052">
        <f>+'T3 (2)'!Y14</f>
        <v>0</v>
      </c>
      <c r="K14" s="2052">
        <f>+'T4'!Y14</f>
        <v>0</v>
      </c>
      <c r="L14" s="2052">
        <f>+'T4 (2)'!Y14</f>
        <v>0</v>
      </c>
      <c r="M14" s="2052">
        <f>+'T5'!AB14</f>
        <v>0</v>
      </c>
      <c r="N14" s="2052">
        <f>+'T5 (2)'!AB14</f>
        <v>0</v>
      </c>
      <c r="O14" s="2052">
        <f>+'T6'!W14</f>
        <v>0</v>
      </c>
      <c r="P14" s="2188">
        <f>+'T6 (2)'!W14</f>
        <v>0</v>
      </c>
      <c r="Q14" s="1974">
        <f t="shared" si="0"/>
        <v>0</v>
      </c>
      <c r="R14" s="29">
        <f t="shared" si="1"/>
        <v>0</v>
      </c>
      <c r="S14" s="54">
        <f t="shared" si="8"/>
        <v>0</v>
      </c>
      <c r="V14" s="452"/>
      <c r="W14" s="451"/>
      <c r="X14" s="1708"/>
      <c r="Y14" s="1708"/>
      <c r="Z14" s="1708"/>
      <c r="AA14" s="1708"/>
      <c r="AB14" s="1708"/>
      <c r="AC14" s="451"/>
      <c r="AD14" s="443" t="str">
        <f>IFERROR(INDEX($C$6:$C$53,_xlfn.AGGREGATE(15,6,(ROW($Q$6:$Q$53)-ROW($Q$6)+1)/($Q$6:$Q$53&gt;0),9)),"")</f>
        <v/>
      </c>
      <c r="AE14" s="477" t="str">
        <f>IF($AD14="","",IFERROR(INDEX($D$6:$D$53,_xlfn.AGGREGATE(15,6,(ROW($Q$6:$Q$53)-ROW($Q$6)+1)/($Q$6:$Q$53&gt;0),9))&amp;"",""))</f>
        <v/>
      </c>
      <c r="AF14" s="442" t="str">
        <f>IF($AD14="","",IFERROR(INDEX($E$6:$E$53,_xlfn.AGGREGATE(15,6,(ROW($Q$6:$Q$53)-ROW($Q$6)+1)/($Q$6:$Q$53&gt;0),9)),""))</f>
        <v/>
      </c>
      <c r="AG14" s="442" t="str">
        <f>IF($AD14="","",IFERROR(INDEX($G$6:$G$53,_xlfn.AGGREGATE(15,6,(ROW($Q$6:$Q$53)-ROW($Q$6)+1)/($Q$6:$Q$53&gt;0),9)),""))</f>
        <v/>
      </c>
      <c r="AH14" s="442" t="str">
        <f>IF($AD14="","",IFERROR(INDEX($I$6:$I$53,_xlfn.AGGREGATE(15,6,(ROW($Q$6:$Q$53)-ROW($Q$6)+1)/($Q$6:$Q$53&gt;0),9)),""))</f>
        <v/>
      </c>
      <c r="AI14" s="442" t="str">
        <f>IF($AD14="","",IFERROR(INDEX($K$6:$K$53,_xlfn.AGGREGATE(15,6,(ROW($Q$6:$Q$53)-ROW($Q$6)+1)/($Q$6:$Q$53&gt;0),9)),""))</f>
        <v/>
      </c>
      <c r="AJ14" s="442" t="str">
        <f>IF($AD14="","",IFERROR(INDEX($M$6:$M$53,_xlfn.AGGREGATE(15,6,(ROW($Q$6:$Q$53)-ROW($Q$6)+1)/($Q$6:$Q$53&gt;0),9)),""))</f>
        <v/>
      </c>
      <c r="AK14" s="442" t="str">
        <f>IF($AD14="","",IFERROR(INDEX($O$6:$O$53,_xlfn.AGGREGATE(15,6,(ROW($Q$6:$Q$53)-ROW($Q$6)+1)/($Q$6:$Q$53&gt;0),9)),""))</f>
        <v/>
      </c>
      <c r="AL14" s="442" t="str">
        <f>IF($AD14="","",IFERROR(INDEX($P$6:$P$53,_xlfn.AGGREGATE(15,6,(ROW($Q$6:$Q$53)-ROW($Q$6)+1)/($Q$6:$Q$53&gt;0),9)),""))</f>
        <v/>
      </c>
      <c r="AM14" s="442" t="str">
        <f t="shared" si="2"/>
        <v/>
      </c>
      <c r="AN14" s="442" t="str">
        <f t="shared" si="3"/>
        <v/>
      </c>
      <c r="AO14" s="442" t="str">
        <f t="shared" si="4"/>
        <v/>
      </c>
      <c r="AP14" s="446" t="str">
        <f t="shared" si="5"/>
        <v/>
      </c>
      <c r="AS14" s="474" t="str">
        <f>IFERROR(INDEX($C$6:$C$53,_xlfn.AGGREGATE(15,6,(ROW($C$6:$C$53)-ROW($C$6)+1)/(($Q$6:$Q$53&gt;0)*(MOD($S$6:$S$53,20)=10)),ROWS($AS$6:AS14))),"")</f>
        <v/>
      </c>
      <c r="AT14" s="471" t="str">
        <f>IF($AS14="","",IFERROR(INDEX($D$6:$D$53,_xlfn.AGGREGATE(15,6,(ROW($C$6:$C$53)-ROW($C$6)+1)/(($Q$6:$Q$53&gt;0)*(MOD($S$6:$S$53,20)=10)),ROWS($AS$6:AS14))),""))</f>
        <v/>
      </c>
      <c r="AU14" s="458" t="str">
        <f>IF($AS14="","",IFERROR(INDEX($S$6:$S$53,_xlfn.AGGREGATE(15,6,(ROW($C$6:$C$53)-ROW($C$6)+1)/(($Q$6:$Q$53&gt;0)*(MOD($S$6:$S$53,20)=10)),ROWS($AS$6:AS14))),""))</f>
        <v/>
      </c>
      <c r="AV14" s="459" t="str">
        <f t="shared" si="6"/>
        <v/>
      </c>
      <c r="AW14" s="467" t="str">
        <f t="shared" si="7"/>
        <v/>
      </c>
    </row>
    <row r="15" spans="1:50" ht="46.5" thickBot="1">
      <c r="A15" s="2257"/>
      <c r="C15" s="40">
        <f>+PP!B33</f>
        <v>10</v>
      </c>
      <c r="D15" s="1025" t="str">
        <f>+PP!C33</f>
        <v>ALETA PRECOCIDA PARTIDA 300-UP g/pza</v>
      </c>
      <c r="E15" s="2189">
        <f>+'T1'!Q15</f>
        <v>0</v>
      </c>
      <c r="F15" s="2190">
        <f>+'T1 (2)'!Y15</f>
        <v>0</v>
      </c>
      <c r="G15" s="2190">
        <f>+'T2'!Q15</f>
        <v>0</v>
      </c>
      <c r="H15" s="2190">
        <f>+'T2 (2)'!Q19</f>
        <v>0</v>
      </c>
      <c r="I15" s="2190">
        <f>+'T3'!Y15</f>
        <v>0</v>
      </c>
      <c r="J15" s="2190">
        <f>+'T3 (2)'!Y15</f>
        <v>0</v>
      </c>
      <c r="K15" s="2190">
        <f>+'T4'!Y15</f>
        <v>0</v>
      </c>
      <c r="L15" s="2190">
        <f>+'T4 (2)'!Y15</f>
        <v>0</v>
      </c>
      <c r="M15" s="2190">
        <f>+'T5'!AB15</f>
        <v>0</v>
      </c>
      <c r="N15" s="2190">
        <f>+'T5 (2)'!AB15</f>
        <v>0</v>
      </c>
      <c r="O15" s="2190">
        <f>+'T6'!W15</f>
        <v>0</v>
      </c>
      <c r="P15" s="2191">
        <f>+'T6 (2)'!W15</f>
        <v>0</v>
      </c>
      <c r="Q15" s="965">
        <f t="shared" si="0"/>
        <v>0</v>
      </c>
      <c r="R15" s="52">
        <f t="shared" si="1"/>
        <v>0</v>
      </c>
      <c r="S15" s="53">
        <f t="shared" si="8"/>
        <v>0</v>
      </c>
      <c r="V15" s="452"/>
      <c r="W15" s="452"/>
      <c r="AB15" s="26"/>
      <c r="AD15" s="443" t="str">
        <f>IFERROR(INDEX($C$6:$C$53,_xlfn.AGGREGATE(15,6,(ROW($Q$6:$Q$53)-ROW($Q$6)+1)/($Q$6:$Q$53&gt;0),10)),"")</f>
        <v/>
      </c>
      <c r="AE15" s="477" t="str">
        <f>IF($AD15="","",IFERROR(INDEX($D$6:$D$53,_xlfn.AGGREGATE(15,6,(ROW($Q$6:$Q$53)-ROW($Q$6)+1)/($Q$6:$Q$53&gt;0),10))&amp;"",""))</f>
        <v/>
      </c>
      <c r="AF15" s="442" t="str">
        <f>IF($AD15="","",IFERROR(INDEX($E$6:$E$53,_xlfn.AGGREGATE(15,6,(ROW($Q$6:$Q$53)-ROW($Q$6)+1)/($Q$6:$Q$53&gt;0),10)),""))</f>
        <v/>
      </c>
      <c r="AG15" s="442" t="str">
        <f>IF($AD15="","",IFERROR(INDEX($G$6:$G$53,_xlfn.AGGREGATE(15,6,(ROW($Q$6:$Q$53)-ROW($Q$6)+1)/($Q$6:$Q$53&gt;0),10)),""))</f>
        <v/>
      </c>
      <c r="AH15" s="442" t="str">
        <f>IF($AD15="","",IFERROR(INDEX($I$6:$I$53,_xlfn.AGGREGATE(15,6,(ROW($Q$6:$Q$53)-ROW($Q$6)+1)/($Q$6:$Q$53&gt;0),10)),""))</f>
        <v/>
      </c>
      <c r="AI15" s="442" t="str">
        <f>IF($AD15="","",IFERROR(INDEX($K$6:$K$53,_xlfn.AGGREGATE(15,6,(ROW($Q$6:$Q$53)-ROW($Q$6)+1)/($Q$6:$Q$53&gt;0),10)),""))</f>
        <v/>
      </c>
      <c r="AJ15" s="442" t="str">
        <f>IF($AD15="","",IFERROR(INDEX($M$6:$M$53,_xlfn.AGGREGATE(15,6,(ROW($Q$6:$Q$53)-ROW($Q$6)+1)/($Q$6:$Q$53&gt;0),10)),""))</f>
        <v/>
      </c>
      <c r="AK15" s="442" t="str">
        <f>IF($AD15="","",IFERROR(INDEX($O$6:$O$53,_xlfn.AGGREGATE(15,6,(ROW($Q$6:$Q$53)-ROW($Q$6)+1)/($Q$6:$Q$53&gt;0),10)),""))</f>
        <v/>
      </c>
      <c r="AL15" s="442" t="str">
        <f>IF($AD15="","",IFERROR(INDEX($P$6:$P$53,_xlfn.AGGREGATE(15,6,(ROW($Q$6:$Q$53)-ROW($Q$6)+1)/($Q$6:$Q$53&gt;0),10)),""))</f>
        <v/>
      </c>
      <c r="AM15" s="442" t="str">
        <f t="shared" si="2"/>
        <v/>
      </c>
      <c r="AN15" s="442" t="str">
        <f t="shared" si="3"/>
        <v/>
      </c>
      <c r="AO15" s="442" t="str">
        <f t="shared" si="4"/>
        <v/>
      </c>
      <c r="AP15" s="446" t="str">
        <f t="shared" si="5"/>
        <v/>
      </c>
      <c r="AS15" s="474" t="str">
        <f>IFERROR(INDEX($C$6:$C$53,_xlfn.AGGREGATE(15,6,(ROW($C$6:$C$53)-ROW($C$6)+1)/(($Q$6:$Q$53&gt;0)*(MOD($S$6:$S$53,20)=10)),ROWS($AS$6:AS15))),"")</f>
        <v/>
      </c>
      <c r="AT15" s="471" t="str">
        <f>IF($AS15="","",IFERROR(INDEX($D$6:$D$53,_xlfn.AGGREGATE(15,6,(ROW($C$6:$C$53)-ROW($C$6)+1)/(($Q$6:$Q$53&gt;0)*(MOD($S$6:$S$53,20)=10)),ROWS($AS$6:AS15))),""))</f>
        <v/>
      </c>
      <c r="AU15" s="458" t="str">
        <f>IF($AS15="","",IFERROR(INDEX($S$6:$S$53,_xlfn.AGGREGATE(15,6,(ROW($C$6:$C$53)-ROW($C$6)+1)/(($Q$6:$Q$53&gt;0)*(MOD($S$6:$S$53,20)=10)),ROWS($AS$6:AS15))),""))</f>
        <v/>
      </c>
      <c r="AV15" s="459" t="str">
        <f t="shared" si="6"/>
        <v/>
      </c>
      <c r="AW15" s="467" t="str">
        <f t="shared" si="7"/>
        <v/>
      </c>
    </row>
    <row r="16" spans="1:50" ht="46.5" thickBot="1">
      <c r="A16" s="2257"/>
      <c r="C16" s="955">
        <f>+PP!B34</f>
        <v>11</v>
      </c>
      <c r="D16" s="1022" t="str">
        <f>+PP!C34</f>
        <v>BOTON BLANCO SM ST</v>
      </c>
      <c r="E16" s="2184">
        <f>+'T1'!Q16</f>
        <v>0</v>
      </c>
      <c r="F16" s="2185">
        <f>+'T1 (2)'!Y16</f>
        <v>0</v>
      </c>
      <c r="G16" s="2185">
        <f>+'T2'!Q16</f>
        <v>0</v>
      </c>
      <c r="H16" s="2185">
        <f>+'T2 (2)'!Q20</f>
        <v>0</v>
      </c>
      <c r="I16" s="2185">
        <f>+'T3'!Y16</f>
        <v>0</v>
      </c>
      <c r="J16" s="2185">
        <f>+'T3 (2)'!Y16</f>
        <v>0</v>
      </c>
      <c r="K16" s="2185">
        <f>+'T4'!Y16</f>
        <v>0</v>
      </c>
      <c r="L16" s="2185">
        <f>+'T4 (2)'!Y16</f>
        <v>0</v>
      </c>
      <c r="M16" s="2185">
        <f>+'T5'!AB16</f>
        <v>0</v>
      </c>
      <c r="N16" s="2185">
        <f>+'T5 (2)'!AB16</f>
        <v>0</v>
      </c>
      <c r="O16" s="2185">
        <f>+'T6'!W16</f>
        <v>0</v>
      </c>
      <c r="P16" s="2186">
        <f>+'T6 (2)'!W16</f>
        <v>0</v>
      </c>
      <c r="Q16" s="1975">
        <f t="shared" si="0"/>
        <v>0</v>
      </c>
      <c r="R16" s="172">
        <f t="shared" si="1"/>
        <v>0</v>
      </c>
      <c r="S16" s="174">
        <f t="shared" si="8"/>
        <v>0</v>
      </c>
      <c r="V16" s="452"/>
      <c r="W16" s="452"/>
      <c r="AB16" s="26"/>
      <c r="AD16" s="443" t="str">
        <f>IFERROR(INDEX($C$6:$C$53,_xlfn.AGGREGATE(15,6,(ROW($Q$6:$Q$53)-ROW($Q$6)+1)/($Q$6:$Q$53&gt;0),11)),"")</f>
        <v/>
      </c>
      <c r="AE16" s="477" t="str">
        <f>IF($AD16="","",IFERROR(INDEX($D$6:$D$53,_xlfn.AGGREGATE(15,6,(ROW($Q$6:$Q$53)-ROW($Q$6)+1)/($Q$6:$Q$53&gt;0),11))&amp;"",""))</f>
        <v/>
      </c>
      <c r="AF16" s="442" t="str">
        <f>IF($AD16="","",IFERROR(INDEX($E$6:$E$53,_xlfn.AGGREGATE(15,6,(ROW($Q$6:$Q$53)-ROW($Q$6)+1)/($Q$6:$Q$53&gt;0),11)),""))</f>
        <v/>
      </c>
      <c r="AG16" s="442" t="str">
        <f>IF($AD16="","",IFERROR(INDEX($G$6:$G$53,_xlfn.AGGREGATE(15,6,(ROW($Q$6:$Q$53)-ROW($Q$6)+1)/($Q$6:$Q$53&gt;0),11)),""))</f>
        <v/>
      </c>
      <c r="AH16" s="442" t="str">
        <f>IF($AD16="","",IFERROR(INDEX($I$6:$I$53,_xlfn.AGGREGATE(15,6,(ROW($Q$6:$Q$53)-ROW($Q$6)+1)/($Q$6:$Q$53&gt;0),11)),""))</f>
        <v/>
      </c>
      <c r="AI16" s="442" t="str">
        <f>IF($AD16="","",IFERROR(INDEX($K$6:$K$53,_xlfn.AGGREGATE(15,6,(ROW($Q$6:$Q$53)-ROW($Q$6)+1)/($Q$6:$Q$53&gt;0),11)),""))</f>
        <v/>
      </c>
      <c r="AJ16" s="442" t="str">
        <f>IF($AD16="","",IFERROR(INDEX($M$6:$M$53,_xlfn.AGGREGATE(15,6,(ROW($Q$6:$Q$53)-ROW($Q$6)+1)/($Q$6:$Q$53&gt;0),11)),""))</f>
        <v/>
      </c>
      <c r="AK16" s="442" t="str">
        <f>IF($AD16="","",IFERROR(INDEX($O$6:$O$53,_xlfn.AGGREGATE(15,6,(ROW($Q$6:$Q$53)-ROW($Q$6)+1)/($Q$6:$Q$53&gt;0),11)),""))</f>
        <v/>
      </c>
      <c r="AL16" s="442" t="str">
        <f>IF($AD16="","",IFERROR(INDEX($P$6:$P$53,_xlfn.AGGREGATE(15,6,(ROW($Q$6:$Q$53)-ROW($Q$6)+1)/($Q$6:$Q$53&gt;0),11)),""))</f>
        <v/>
      </c>
      <c r="AM16" s="442" t="str">
        <f t="shared" si="2"/>
        <v/>
      </c>
      <c r="AN16" s="442" t="str">
        <f t="shared" si="3"/>
        <v/>
      </c>
      <c r="AO16" s="442" t="str">
        <f t="shared" si="4"/>
        <v/>
      </c>
      <c r="AP16" s="446" t="str">
        <f t="shared" si="5"/>
        <v/>
      </c>
      <c r="AS16" s="474" t="str">
        <f>IFERROR(INDEX($C$6:$C$53,_xlfn.AGGREGATE(15,6,(ROW($C$6:$C$53)-ROW($C$6)+1)/(($Q$6:$Q$53&gt;0)*(MOD($S$6:$S$53,20)=10)),ROWS($AS$6:AS16))),"")</f>
        <v/>
      </c>
      <c r="AT16" s="471" t="str">
        <f>IF($AS16="","",IFERROR(INDEX($D$6:$D$53,_xlfn.AGGREGATE(15,6,(ROW($C$6:$C$53)-ROW($C$6)+1)/(($Q$6:$Q$53&gt;0)*(MOD($S$6:$S$53,20)=10)),ROWS($AS$6:AS16))),""))</f>
        <v/>
      </c>
      <c r="AU16" s="458" t="str">
        <f>IF($AS16="","",IFERROR(INDEX($S$6:$S$53,_xlfn.AGGREGATE(15,6,(ROW($C$6:$C$53)-ROW($C$6)+1)/(($Q$6:$Q$53&gt;0)*(MOD($S$6:$S$53,20)=10)),ROWS($AS$6:AS16))),""))</f>
        <v/>
      </c>
      <c r="AV16" s="459" t="str">
        <f t="shared" si="6"/>
        <v/>
      </c>
      <c r="AW16" s="467" t="str">
        <f t="shared" si="7"/>
        <v/>
      </c>
    </row>
    <row r="17" spans="1:49" ht="46.5" thickBot="1">
      <c r="A17" s="2257"/>
      <c r="C17" s="42">
        <f>+PP!B35</f>
        <v>12</v>
      </c>
      <c r="D17" s="1026" t="str">
        <f>+PP!C35</f>
        <v>BOTON AMARILLO SM ST</v>
      </c>
      <c r="E17" s="2189">
        <f>+'T1'!Q17</f>
        <v>0</v>
      </c>
      <c r="F17" s="2190">
        <f>+'T1 (2)'!Y17</f>
        <v>0</v>
      </c>
      <c r="G17" s="2190">
        <f>+'T2'!Q17</f>
        <v>0</v>
      </c>
      <c r="H17" s="2190">
        <f>+'T2 (2)'!Q21</f>
        <v>0</v>
      </c>
      <c r="I17" s="2190">
        <f>+'T3'!Y17</f>
        <v>0</v>
      </c>
      <c r="J17" s="2190">
        <f>+'T3 (2)'!Y17</f>
        <v>0</v>
      </c>
      <c r="K17" s="2190">
        <f>+'T4'!Y17</f>
        <v>0</v>
      </c>
      <c r="L17" s="2190">
        <f>+'T4 (2)'!Y17</f>
        <v>0</v>
      </c>
      <c r="M17" s="2190">
        <f>+'T5'!AB17</f>
        <v>0</v>
      </c>
      <c r="N17" s="2190">
        <f>+'T5 (2)'!AB17</f>
        <v>0</v>
      </c>
      <c r="O17" s="2190">
        <f>+'T6'!W17</f>
        <v>0</v>
      </c>
      <c r="P17" s="2191">
        <f>+'T6 (2)'!W17</f>
        <v>0</v>
      </c>
      <c r="Q17" s="1976">
        <f t="shared" si="0"/>
        <v>0</v>
      </c>
      <c r="R17" s="171">
        <f t="shared" si="1"/>
        <v>0</v>
      </c>
      <c r="S17" s="173">
        <f t="shared" si="8"/>
        <v>0</v>
      </c>
      <c r="V17" s="452"/>
      <c r="W17" s="452"/>
      <c r="Y17" s="1966" t="s">
        <v>368</v>
      </c>
      <c r="Z17" s="1967" t="s">
        <v>152</v>
      </c>
      <c r="AA17" s="1968" t="s">
        <v>369</v>
      </c>
      <c r="AB17" s="26"/>
      <c r="AD17" s="443" t="str">
        <f>IFERROR(INDEX($C$6:$C$53,_xlfn.AGGREGATE(15,6,(ROW($Q$6:$Q$53)-ROW($Q$6)+1)/($Q$6:$Q$53&gt;0),12)),"")</f>
        <v/>
      </c>
      <c r="AE17" s="477" t="str">
        <f>IF($AD17="","",IFERROR(INDEX($D$6:$D$53,_xlfn.AGGREGATE(15,6,(ROW($Q$6:$Q$53)-ROW($Q$6)+1)/($Q$6:$Q$53&gt;0),12))&amp;"",""))</f>
        <v/>
      </c>
      <c r="AF17" s="442" t="str">
        <f>IF($AD17="","",IFERROR(INDEX($E$6:$E$53,_xlfn.AGGREGATE(15,6,(ROW($Q$6:$Q$53)-ROW($Q$6)+1)/($Q$6:$Q$53&gt;0),12)),""))</f>
        <v/>
      </c>
      <c r="AG17" s="442" t="str">
        <f>IF($AD17="","",IFERROR(INDEX($G$6:$G$53,_xlfn.AGGREGATE(15,6,(ROW($Q$6:$Q$53)-ROW($Q$6)+1)/($Q$6:$Q$53&gt;0),12)),""))</f>
        <v/>
      </c>
      <c r="AH17" s="442" t="str">
        <f>IF($AD17="","",IFERROR(INDEX($I$6:$I$53,_xlfn.AGGREGATE(15,6,(ROW($Q$6:$Q$53)-ROW($Q$6)+1)/($Q$6:$Q$53&gt;0),12)),""))</f>
        <v/>
      </c>
      <c r="AI17" s="442" t="str">
        <f>IF($AD17="","",IFERROR(INDEX($K$6:$K$53,_xlfn.AGGREGATE(15,6,(ROW($Q$6:$Q$53)-ROW($Q$6)+1)/($Q$6:$Q$53&gt;0),12)),""))</f>
        <v/>
      </c>
      <c r="AJ17" s="442" t="str">
        <f>IF($AD17="","",IFERROR(INDEX($M$6:$M$53,_xlfn.AGGREGATE(15,6,(ROW($Q$6:$Q$53)-ROW($Q$6)+1)/($Q$6:$Q$53&gt;0),12)),""))</f>
        <v/>
      </c>
      <c r="AK17" s="442" t="str">
        <f>IF($AD17="","",IFERROR(INDEX($O$6:$O$53,_xlfn.AGGREGATE(15,6,(ROW($Q$6:$Q$53)-ROW($Q$6)+1)/($Q$6:$Q$53&gt;0),12)),""))</f>
        <v/>
      </c>
      <c r="AL17" s="442" t="str">
        <f>IF($AD17="","",IFERROR(INDEX($P$6:$P$53,_xlfn.AGGREGATE(15,6,(ROW($Q$6:$Q$53)-ROW($Q$6)+1)/($Q$6:$Q$53&gt;0),12)),""))</f>
        <v/>
      </c>
      <c r="AM17" s="442" t="str">
        <f t="shared" si="2"/>
        <v/>
      </c>
      <c r="AN17" s="442" t="str">
        <f t="shared" si="3"/>
        <v/>
      </c>
      <c r="AO17" s="442" t="str">
        <f t="shared" si="4"/>
        <v/>
      </c>
      <c r="AP17" s="446" t="str">
        <f t="shared" si="5"/>
        <v/>
      </c>
      <c r="AS17" s="474" t="str">
        <f>IFERROR(INDEX($C$6:$C$53,_xlfn.AGGREGATE(15,6,(ROW($C$6:$C$53)-ROW($C$6)+1)/(($Q$6:$Q$53&gt;0)*(MOD($S$6:$S$53,20)=10)),ROWS($AS$6:AS17))),"")</f>
        <v/>
      </c>
      <c r="AT17" s="471" t="str">
        <f>IF($AS17="","",IFERROR(INDEX($D$6:$D$53,_xlfn.AGGREGATE(15,6,(ROW($C$6:$C$53)-ROW($C$6)+1)/(($Q$6:$Q$53&gt;0)*(MOD($S$6:$S$53,20)=10)),ROWS($AS$6:AS17))),""))</f>
        <v/>
      </c>
      <c r="AU17" s="458" t="str">
        <f>IF($AS17="","",IFERROR(INDEX($S$6:$S$53,_xlfn.AGGREGATE(15,6,(ROW($C$6:$C$53)-ROW($C$6)+1)/(($Q$6:$Q$53&gt;0)*(MOD($S$6:$S$53,20)=10)),ROWS($AS$6:AS17))),""))</f>
        <v/>
      </c>
      <c r="AV17" s="459" t="str">
        <f t="shared" si="6"/>
        <v/>
      </c>
      <c r="AW17" s="467" t="str">
        <f t="shared" si="7"/>
        <v/>
      </c>
    </row>
    <row r="18" spans="1:49" ht="46.5" thickBot="1">
      <c r="A18" s="2257"/>
      <c r="C18" s="42">
        <f>+PP!B36</f>
        <v>13</v>
      </c>
      <c r="D18" s="2015" t="str">
        <f>+PP!C36</f>
        <v>CONOS DE POTA</v>
      </c>
      <c r="E18" s="2192">
        <f>+'T1'!Q18</f>
        <v>0</v>
      </c>
      <c r="F18" s="2193">
        <f>+'T1 (2)'!Y18</f>
        <v>0</v>
      </c>
      <c r="G18" s="2193">
        <f>+'T2'!Q18</f>
        <v>0</v>
      </c>
      <c r="H18" s="2193">
        <f>+'T2 (2)'!Q22</f>
        <v>0</v>
      </c>
      <c r="I18" s="2193">
        <f>+'T3'!Y18</f>
        <v>0</v>
      </c>
      <c r="J18" s="2193">
        <f>+'T3 (2)'!Y18</f>
        <v>0</v>
      </c>
      <c r="K18" s="2193">
        <f>+'T4'!Y18</f>
        <v>0</v>
      </c>
      <c r="L18" s="2193">
        <f>+'T4 (2)'!Y18</f>
        <v>0</v>
      </c>
      <c r="M18" s="2193">
        <f>+'T5'!AB18</f>
        <v>0</v>
      </c>
      <c r="N18" s="2193">
        <f>+'T5 (2)'!AB18</f>
        <v>0</v>
      </c>
      <c r="O18" s="2193">
        <f>+'T6'!W18</f>
        <v>0</v>
      </c>
      <c r="P18" s="2194">
        <f>+'T6 (2)'!W18</f>
        <v>0</v>
      </c>
      <c r="Q18" s="1977">
        <f t="shared" si="0"/>
        <v>0</v>
      </c>
      <c r="R18" s="55">
        <f t="shared" si="1"/>
        <v>0</v>
      </c>
      <c r="S18" s="1972">
        <f t="shared" si="8"/>
        <v>0</v>
      </c>
      <c r="T18" s="2016">
        <f>+S18</f>
        <v>0</v>
      </c>
      <c r="U18" s="132">
        <f>+T18/2</f>
        <v>0</v>
      </c>
      <c r="V18" s="452"/>
      <c r="W18" s="452"/>
      <c r="Y18" s="1962" t="s">
        <v>370</v>
      </c>
      <c r="Z18" s="205">
        <f>SUM(S9:S13)</f>
        <v>0</v>
      </c>
      <c r="AA18" s="1963">
        <f>+Z18/1000</f>
        <v>0</v>
      </c>
      <c r="AB18" s="1710"/>
      <c r="AC18" s="453"/>
      <c r="AD18" s="443" t="str">
        <f>IFERROR(INDEX($C$6:$C$53,_xlfn.AGGREGATE(15,6,(ROW($Q$6:$Q$53)-ROW($Q$6)+1)/($Q$6:$Q$53&gt;0),13)),"")</f>
        <v/>
      </c>
      <c r="AE18" s="477" t="str">
        <f>IF($AD18="","",IFERROR(INDEX($D$6:$D$53,_xlfn.AGGREGATE(15,6,(ROW($Q$6:$Q$53)-ROW($Q$6)+1)/($Q$6:$Q$53&gt;0),13))&amp;"",""))</f>
        <v/>
      </c>
      <c r="AF18" s="442" t="str">
        <f>IF($AD18="","",IFERROR(INDEX($E$6:$E$53,_xlfn.AGGREGATE(15,6,(ROW($Q$6:$Q$53)-ROW($Q$6)+1)/($Q$6:$Q$53&gt;0),13)),""))</f>
        <v/>
      </c>
      <c r="AG18" s="442" t="str">
        <f>IF($AD18="","",IFERROR(INDEX($G$6:$G$53,_xlfn.AGGREGATE(15,6,(ROW($Q$6:$Q$53)-ROW($Q$6)+1)/($Q$6:$Q$53&gt;0),13)),""))</f>
        <v/>
      </c>
      <c r="AH18" s="442" t="str">
        <f>IF($AD18="","",IFERROR(INDEX($I$6:$I$53,_xlfn.AGGREGATE(15,6,(ROW($Q$6:$Q$53)-ROW($Q$6)+1)/($Q$6:$Q$53&gt;0),13)),""))</f>
        <v/>
      </c>
      <c r="AI18" s="442" t="str">
        <f>IF($AD18="","",IFERROR(INDEX($K$6:$K$53,_xlfn.AGGREGATE(15,6,(ROW($Q$6:$Q$53)-ROW($Q$6)+1)/($Q$6:$Q$53&gt;0),13)),""))</f>
        <v/>
      </c>
      <c r="AJ18" s="442" t="str">
        <f>IF($AD18="","",IFERROR(INDEX($M$6:$M$53,_xlfn.AGGREGATE(15,6,(ROW($Q$6:$Q$53)-ROW($Q$6)+1)/($Q$6:$Q$53&gt;0),13)),""))</f>
        <v/>
      </c>
      <c r="AK18" s="442" t="str">
        <f>IF($AD18="","",IFERROR(INDEX($O$6:$O$53,_xlfn.AGGREGATE(15,6,(ROW($Q$6:$Q$53)-ROW($Q$6)+1)/($Q$6:$Q$53&gt;0),13)),""))</f>
        <v/>
      </c>
      <c r="AL18" s="442" t="str">
        <f>IF($AD18="","",IFERROR(INDEX($P$6:$P$53,_xlfn.AGGREGATE(15,6,(ROW($Q$6:$Q$53)-ROW($Q$6)+1)/($Q$6:$Q$53&gt;0),13)),""))</f>
        <v/>
      </c>
      <c r="AM18" s="442" t="str">
        <f t="shared" si="2"/>
        <v/>
      </c>
      <c r="AN18" s="442" t="str">
        <f t="shared" si="3"/>
        <v/>
      </c>
      <c r="AO18" s="442" t="str">
        <f t="shared" si="4"/>
        <v/>
      </c>
      <c r="AP18" s="446" t="str">
        <f t="shared" si="5"/>
        <v/>
      </c>
      <c r="AS18" s="474" t="str">
        <f>IFERROR(INDEX($C$6:$C$53,_xlfn.AGGREGATE(15,6,(ROW($C$6:$C$53)-ROW($C$6)+1)/(($Q$6:$Q$53&gt;0)*(MOD($S$6:$S$53,20)=10)),ROWS($AS$6:AS18))),"")</f>
        <v/>
      </c>
      <c r="AT18" s="471" t="str">
        <f>IF($AS18="","",IFERROR(INDEX($D$6:$D$53,_xlfn.AGGREGATE(15,6,(ROW($C$6:$C$53)-ROW($C$6)+1)/(($Q$6:$Q$53&gt;0)*(MOD($S$6:$S$53,20)=10)),ROWS($AS$6:AS18))),""))</f>
        <v/>
      </c>
      <c r="AU18" s="458" t="str">
        <f>IF($AS18="","",IFERROR(INDEX($S$6:$S$53,_xlfn.AGGREGATE(15,6,(ROW($C$6:$C$53)-ROW($C$6)+1)/(($Q$6:$Q$53&gt;0)*(MOD($S$6:$S$53,20)=10)),ROWS($AS$6:AS18))),""))</f>
        <v/>
      </c>
      <c r="AV18" s="459" t="str">
        <f t="shared" si="6"/>
        <v/>
      </c>
      <c r="AW18" s="467" t="str">
        <f t="shared" si="7"/>
        <v/>
      </c>
    </row>
    <row r="19" spans="1:49" ht="45.75">
      <c r="A19" s="2257"/>
      <c r="C19" s="42">
        <f>+PP!B37</f>
        <v>14</v>
      </c>
      <c r="D19" s="1022" t="str">
        <f>+PP!C37</f>
        <v>FILETE C/TT DARUMA</v>
      </c>
      <c r="E19" s="2184">
        <f>+'T1'!Q19</f>
        <v>0</v>
      </c>
      <c r="F19" s="2185">
        <f>+'T1 (2)'!Y19</f>
        <v>0</v>
      </c>
      <c r="G19" s="2185">
        <f>+'T2'!Q19</f>
        <v>0</v>
      </c>
      <c r="H19" s="2185">
        <f>+'T2 (2)'!Q23</f>
        <v>0</v>
      </c>
      <c r="I19" s="2185">
        <f>+'T3'!Y19</f>
        <v>0</v>
      </c>
      <c r="J19" s="2185">
        <f>+'T3 (2)'!Y19</f>
        <v>0</v>
      </c>
      <c r="K19" s="2185">
        <f>+'T4'!Y19</f>
        <v>0</v>
      </c>
      <c r="L19" s="2185">
        <f>+'T4 (2)'!Y19</f>
        <v>0</v>
      </c>
      <c r="M19" s="2185">
        <f>+'T5'!AB19</f>
        <v>0</v>
      </c>
      <c r="N19" s="2185">
        <f>+'T5 (2)'!AB19</f>
        <v>0</v>
      </c>
      <c r="O19" s="2185">
        <f>+'T6'!W19</f>
        <v>0</v>
      </c>
      <c r="P19" s="2186">
        <f>+'T6 (2)'!W19</f>
        <v>0</v>
      </c>
      <c r="Q19" s="1975">
        <f t="shared" si="0"/>
        <v>0</v>
      </c>
      <c r="R19" s="172">
        <f t="shared" si="1"/>
        <v>0</v>
      </c>
      <c r="S19" s="174">
        <f t="shared" si="8"/>
        <v>0</v>
      </c>
      <c r="V19" s="452"/>
      <c r="W19" s="452"/>
      <c r="Y19" s="1962" t="s">
        <v>371</v>
      </c>
      <c r="Z19" s="205">
        <f>+SUM(S40:S53)</f>
        <v>0</v>
      </c>
      <c r="AA19" s="1963">
        <f>+Z19/1000</f>
        <v>0</v>
      </c>
      <c r="AB19" s="1123"/>
      <c r="AC19" s="454"/>
      <c r="AD19" s="443" t="str">
        <f>IFERROR(INDEX($C$6:$C$53,_xlfn.AGGREGATE(15,6,(ROW($Q$6:$Q$53)-ROW($Q$6)+1)/($Q$6:$Q$53&gt;0),14)),"")</f>
        <v/>
      </c>
      <c r="AE19" s="477" t="str">
        <f>IF($AD19="","",IFERROR(INDEX($D$6:$D$53,_xlfn.AGGREGATE(15,6,(ROW($Q$6:$Q$53)-ROW($Q$6)+1)/($Q$6:$Q$53&gt;0),14))&amp;"",""))</f>
        <v/>
      </c>
      <c r="AF19" s="442" t="str">
        <f>IF($AD19="","",IFERROR(INDEX($E$6:$E$53,_xlfn.AGGREGATE(15,6,(ROW($Q$6:$Q$53)-ROW($Q$6)+1)/($Q$6:$Q$53&gt;0),14)),""))</f>
        <v/>
      </c>
      <c r="AG19" s="442" t="str">
        <f>IF($AD19="","",IFERROR(INDEX($G$6:$G$53,_xlfn.AGGREGATE(15,6,(ROW($Q$6:$Q$53)-ROW($Q$6)+1)/($Q$6:$Q$53&gt;0),14)),""))</f>
        <v/>
      </c>
      <c r="AH19" s="442" t="str">
        <f>IF($AD19="","",IFERROR(INDEX($I$6:$I$53,_xlfn.AGGREGATE(15,6,(ROW($Q$6:$Q$53)-ROW($Q$6)+1)/($Q$6:$Q$53&gt;0),14)),""))</f>
        <v/>
      </c>
      <c r="AI19" s="442" t="str">
        <f>IF($AD19="","",IFERROR(INDEX($K$6:$K$53,_xlfn.AGGREGATE(15,6,(ROW($Q$6:$Q$53)-ROW($Q$6)+1)/($Q$6:$Q$53&gt;0),14)),""))</f>
        <v/>
      </c>
      <c r="AJ19" s="442" t="str">
        <f>IF($AD19="","",IFERROR(INDEX($M$6:$M$53,_xlfn.AGGREGATE(15,6,(ROW($Q$6:$Q$53)-ROW($Q$6)+1)/($Q$6:$Q$53&gt;0),14)),""))</f>
        <v/>
      </c>
      <c r="AK19" s="442" t="str">
        <f>IF($AD19="","",IFERROR(INDEX($O$6:$O$53,_xlfn.AGGREGATE(15,6,(ROW($Q$6:$Q$53)-ROW($Q$6)+1)/($Q$6:$Q$53&gt;0),14)),""))</f>
        <v/>
      </c>
      <c r="AL19" s="442" t="str">
        <f>IF($AD19="","",IFERROR(INDEX($P$6:$P$53,_xlfn.AGGREGATE(15,6,(ROW($Q$6:$Q$53)-ROW($Q$6)+1)/($Q$6:$Q$53&gt;0),14)),""))</f>
        <v/>
      </c>
      <c r="AM19" s="442" t="str">
        <f t="shared" si="2"/>
        <v/>
      </c>
      <c r="AN19" s="442" t="str">
        <f t="shared" si="3"/>
        <v/>
      </c>
      <c r="AO19" s="442" t="str">
        <f t="shared" si="4"/>
        <v/>
      </c>
      <c r="AP19" s="446" t="str">
        <f t="shared" si="5"/>
        <v/>
      </c>
      <c r="AS19" s="474" t="str">
        <f>IFERROR(INDEX($C$6:$C$53,_xlfn.AGGREGATE(15,6,(ROW($C$6:$C$53)-ROW($C$6)+1)/(($Q$6:$Q$53&gt;0)*(MOD($S$6:$S$53,20)=10)),ROWS($AS$6:AS19))),"")</f>
        <v/>
      </c>
      <c r="AT19" s="471" t="str">
        <f>IF($AS19="","",IFERROR(INDEX($D$6:$D$53,_xlfn.AGGREGATE(15,6,(ROW($C$6:$C$53)-ROW($C$6)+1)/(($Q$6:$Q$53&gt;0)*(MOD($S$6:$S$53,20)=10)),ROWS($AS$6:AS19))),""))</f>
        <v/>
      </c>
      <c r="AU19" s="458" t="str">
        <f>IF($AS19="","",IFERROR(INDEX($S$6:$S$53,_xlfn.AGGREGATE(15,6,(ROW($C$6:$C$53)-ROW($C$6)+1)/(($Q$6:$Q$53&gt;0)*(MOD($S$6:$S$53,20)=10)),ROWS($AS$6:AS19))),""))</f>
        <v/>
      </c>
      <c r="AV19" s="459" t="str">
        <f t="shared" si="6"/>
        <v/>
      </c>
      <c r="AW19" s="467" t="str">
        <f t="shared" si="7"/>
        <v/>
      </c>
    </row>
    <row r="20" spans="1:49" ht="45.75">
      <c r="A20" s="2257"/>
      <c r="C20" s="42">
        <f>+PP!B38</f>
        <v>15</v>
      </c>
      <c r="D20" s="1024" t="str">
        <f>+PP!C38</f>
        <v>FILETE C/M C/T TRES PIELES 1.0-2.0 kg/pza</v>
      </c>
      <c r="E20" s="2187">
        <f>+'T1'!Q20</f>
        <v>0</v>
      </c>
      <c r="F20" s="2052">
        <f>+'T1 (2)'!Y20</f>
        <v>0</v>
      </c>
      <c r="G20" s="2052">
        <f>+'T2'!Q20</f>
        <v>0</v>
      </c>
      <c r="H20" s="2052">
        <f>+'T2 (2)'!Q24</f>
        <v>0</v>
      </c>
      <c r="I20" s="2052">
        <f>+'T3'!Y20</f>
        <v>0</v>
      </c>
      <c r="J20" s="2052">
        <f>+'T3 (2)'!Y20</f>
        <v>0</v>
      </c>
      <c r="K20" s="2052">
        <f>+'T4'!Y20</f>
        <v>0</v>
      </c>
      <c r="L20" s="2052">
        <f>+'T4 (2)'!Y20</f>
        <v>0</v>
      </c>
      <c r="M20" s="2052">
        <f>+'T5'!AB20</f>
        <v>0</v>
      </c>
      <c r="N20" s="2052">
        <f>+'T5 (2)'!AB20</f>
        <v>0</v>
      </c>
      <c r="O20" s="2052">
        <f>+'T6'!W20</f>
        <v>0</v>
      </c>
      <c r="P20" s="2188">
        <f>+'T6 (2)'!W20</f>
        <v>0</v>
      </c>
      <c r="Q20" s="1974">
        <f t="shared" si="0"/>
        <v>0</v>
      </c>
      <c r="R20" s="29">
        <f>Q20/2</f>
        <v>0</v>
      </c>
      <c r="S20" s="54">
        <f>+Q20*10</f>
        <v>0</v>
      </c>
      <c r="V20" s="452"/>
      <c r="W20" s="452"/>
      <c r="Y20" s="1962" t="s">
        <v>608</v>
      </c>
      <c r="Z20" s="205">
        <f>+T24</f>
        <v>0</v>
      </c>
      <c r="AA20" s="1963">
        <f>+Z20/1000</f>
        <v>0</v>
      </c>
      <c r="AB20" s="1123"/>
      <c r="AC20" s="454"/>
      <c r="AD20" s="443" t="str">
        <f>IFERROR(INDEX($C$6:$C$53,_xlfn.AGGREGATE(15,6,(ROW($Q$6:$Q$53)-ROW($Q$6)+1)/($Q$6:$Q$53&gt;0),15)),"")</f>
        <v/>
      </c>
      <c r="AE20" s="477" t="str">
        <f>IF($AD20="","",IFERROR(INDEX($D$6:$D$53,_xlfn.AGGREGATE(15,6,(ROW($Q$6:$Q$53)-ROW($Q$6)+1)/($Q$6:$Q$53&gt;0),15))&amp;"",""))</f>
        <v/>
      </c>
      <c r="AF20" s="442" t="str">
        <f>IF($AD20="","",IFERROR(INDEX($E$6:$E$53,_xlfn.AGGREGATE(15,6,(ROW($Q$6:$Q$53)-ROW($Q$6)+1)/($Q$6:$Q$53&gt;0),15)),""))</f>
        <v/>
      </c>
      <c r="AG20" s="442" t="str">
        <f>IF($AD20="","",IFERROR(INDEX($G$6:$G$53,_xlfn.AGGREGATE(15,6,(ROW($Q$6:$Q$53)-ROW($Q$6)+1)/($Q$6:$Q$53&gt;0),15)),""))</f>
        <v/>
      </c>
      <c r="AH20" s="442" t="str">
        <f>IF($AD20="","",IFERROR(INDEX($I$6:$I$53,_xlfn.AGGREGATE(15,6,(ROW($Q$6:$Q$53)-ROW($Q$6)+1)/($Q$6:$Q$53&gt;0),15)),""))</f>
        <v/>
      </c>
      <c r="AI20" s="442" t="str">
        <f>IF($AD20="","",IFERROR(INDEX($K$6:$K$53,_xlfn.AGGREGATE(15,6,(ROW($Q$6:$Q$53)-ROW($Q$6)+1)/($Q$6:$Q$53&gt;0),15)),""))</f>
        <v/>
      </c>
      <c r="AJ20" s="442" t="str">
        <f>IF($AD20="","",IFERROR(INDEX($M$6:$M$53,_xlfn.AGGREGATE(15,6,(ROW($Q$6:$Q$53)-ROW($Q$6)+1)/($Q$6:$Q$53&gt;0),15)),""))</f>
        <v/>
      </c>
      <c r="AK20" s="442" t="str">
        <f>IF($AD20="","",IFERROR(INDEX($O$6:$O$53,_xlfn.AGGREGATE(15,6,(ROW($Q$6:$Q$53)-ROW($Q$6)+1)/($Q$6:$Q$53&gt;0),15)),""))</f>
        <v/>
      </c>
      <c r="AL20" s="442" t="str">
        <f>IF($AD20="","",IFERROR(INDEX($P$6:$P$53,_xlfn.AGGREGATE(15,6,(ROW($Q$6:$Q$53)-ROW($Q$6)+1)/($Q$6:$Q$53&gt;0),15)),""))</f>
        <v/>
      </c>
      <c r="AM20" s="442" t="str">
        <f t="shared" si="2"/>
        <v/>
      </c>
      <c r="AN20" s="442" t="str">
        <f t="shared" si="3"/>
        <v/>
      </c>
      <c r="AO20" s="442" t="str">
        <f t="shared" si="4"/>
        <v/>
      </c>
      <c r="AP20" s="446" t="str">
        <f t="shared" si="5"/>
        <v/>
      </c>
      <c r="AS20" s="474" t="str">
        <f>IFERROR(INDEX($C$6:$C$53,_xlfn.AGGREGATE(15,6,(ROW($C$6:$C$53)-ROW($C$6)+1)/(($Q$6:$Q$53&gt;0)*(MOD($S$6:$S$53,20)=10)),ROWS($AS$6:AS20))),"")</f>
        <v/>
      </c>
      <c r="AT20" s="471" t="str">
        <f>IF($AS20="","",IFERROR(INDEX($D$6:$D$53,_xlfn.AGGREGATE(15,6,(ROW($C$6:$C$53)-ROW($C$6)+1)/(($Q$6:$Q$53&gt;0)*(MOD($S$6:$S$53,20)=10)),ROWS($AS$6:AS20))),""))</f>
        <v/>
      </c>
      <c r="AU20" s="458" t="str">
        <f>IF($AS20="","",IFERROR(INDEX($S$6:$S$53,_xlfn.AGGREGATE(15,6,(ROW($C$6:$C$53)-ROW($C$6)+1)/(($Q$6:$Q$53&gt;0)*(MOD($S$6:$S$53,20)=10)),ROWS($AS$6:AS20))),""))</f>
        <v/>
      </c>
      <c r="AV20" s="459" t="str">
        <f t="shared" si="6"/>
        <v/>
      </c>
      <c r="AW20" s="467" t="str">
        <f t="shared" si="7"/>
        <v/>
      </c>
    </row>
    <row r="21" spans="1:49" ht="45.75">
      <c r="A21" s="2257"/>
      <c r="C21" s="42">
        <f>+PP!B39</f>
        <v>16</v>
      </c>
      <c r="D21" s="1024" t="str">
        <f>+PP!C39</f>
        <v>FILETE C/M C/T TRES PIELES 2.0-4.0 kg/pza</v>
      </c>
      <c r="E21" s="2187">
        <f>+'T1'!Q21</f>
        <v>0</v>
      </c>
      <c r="F21" s="2052">
        <f>+'T1 (2)'!Y21</f>
        <v>0</v>
      </c>
      <c r="G21" s="2052">
        <f>+'T2'!Q21</f>
        <v>0</v>
      </c>
      <c r="H21" s="2052">
        <f>+'T2 (2)'!Q25</f>
        <v>0</v>
      </c>
      <c r="I21" s="2052">
        <f>+'T3'!Y21</f>
        <v>0</v>
      </c>
      <c r="J21" s="2052">
        <f>+'T3 (2)'!Y21</f>
        <v>0</v>
      </c>
      <c r="K21" s="2052">
        <f>+'T4'!Y21</f>
        <v>0</v>
      </c>
      <c r="L21" s="2052">
        <f>+'T4 (2)'!Y21</f>
        <v>0</v>
      </c>
      <c r="M21" s="2052">
        <f>+'T5'!AB21</f>
        <v>0</v>
      </c>
      <c r="N21" s="2052">
        <f>+'T5 (2)'!AB21</f>
        <v>0</v>
      </c>
      <c r="O21" s="2052">
        <f>+'T6'!W21</f>
        <v>0</v>
      </c>
      <c r="P21" s="2188">
        <f>+'T6 (2)'!W21</f>
        <v>0</v>
      </c>
      <c r="Q21" s="1974">
        <f t="shared" si="0"/>
        <v>0</v>
      </c>
      <c r="R21" s="29">
        <f>Q21/2</f>
        <v>0</v>
      </c>
      <c r="S21" s="54">
        <f>+Q21*10</f>
        <v>0</v>
      </c>
      <c r="V21" s="452"/>
      <c r="W21" s="452"/>
      <c r="Y21" s="1962" t="s">
        <v>372</v>
      </c>
      <c r="Z21" s="205">
        <f>SUM(S31:S34)</f>
        <v>0</v>
      </c>
      <c r="AA21" s="1963">
        <f>+Z21/1000</f>
        <v>0</v>
      </c>
      <c r="AB21" s="1123"/>
      <c r="AC21" s="454"/>
      <c r="AD21" s="443" t="str">
        <f>IFERROR(INDEX($C$6:$C$53,_xlfn.AGGREGATE(15,6,(ROW($Q$6:$Q$53)-ROW($Q$6)+1)/($Q$6:$Q$53&gt;0),16)),"")</f>
        <v/>
      </c>
      <c r="AE21" s="477" t="str">
        <f>IF($AD21="","",IFERROR(INDEX($D$6:$D$53,_xlfn.AGGREGATE(15,6,(ROW($Q$6:$Q$53)-ROW($Q$6)+1)/($Q$6:$Q$53&gt;0),16))&amp;"",""))</f>
        <v/>
      </c>
      <c r="AF21" s="442" t="str">
        <f>IF($AD21="","",IFERROR(INDEX($E$6:$E$53,_xlfn.AGGREGATE(15,6,(ROW($Q$6:$Q$53)-ROW($Q$6)+1)/($Q$6:$Q$53&gt;0),16)),""))</f>
        <v/>
      </c>
      <c r="AG21" s="442" t="str">
        <f>IF($AD21="","",IFERROR(INDEX($G$6:$G$53,_xlfn.AGGREGATE(15,6,(ROW($Q$6:$Q$53)-ROW($Q$6)+1)/($Q$6:$Q$53&gt;0),16)),""))</f>
        <v/>
      </c>
      <c r="AH21" s="442" t="str">
        <f>IF($AD21="","",IFERROR(INDEX($I$6:$I$53,_xlfn.AGGREGATE(15,6,(ROW($Q$6:$Q$53)-ROW($Q$6)+1)/($Q$6:$Q$53&gt;0),16)),""))</f>
        <v/>
      </c>
      <c r="AI21" s="442" t="str">
        <f>IF($AD21="","",IFERROR(INDEX($K$6:$K$53,_xlfn.AGGREGATE(15,6,(ROW($Q$6:$Q$53)-ROW($Q$6)+1)/($Q$6:$Q$53&gt;0),16)),""))</f>
        <v/>
      </c>
      <c r="AJ21" s="442" t="str">
        <f>IF($AD21="","",IFERROR(INDEX($M$6:$M$53,_xlfn.AGGREGATE(15,6,(ROW($Q$6:$Q$53)-ROW($Q$6)+1)/($Q$6:$Q$53&gt;0),16)),""))</f>
        <v/>
      </c>
      <c r="AK21" s="442" t="str">
        <f>IF($AD21="","",IFERROR(INDEX($O$6:$O$53,_xlfn.AGGREGATE(15,6,(ROW($Q$6:$Q$53)-ROW($Q$6)+1)/($Q$6:$Q$53&gt;0),16)),""))</f>
        <v/>
      </c>
      <c r="AL21" s="442" t="str">
        <f>IF($AD21="","",IFERROR(INDEX($P$6:$P$53,_xlfn.AGGREGATE(15,6,(ROW($Q$6:$Q$53)-ROW($Q$6)+1)/($Q$6:$Q$53&gt;0),16)),""))</f>
        <v/>
      </c>
      <c r="AM21" s="442" t="str">
        <f t="shared" si="2"/>
        <v/>
      </c>
      <c r="AN21" s="442" t="str">
        <f t="shared" si="3"/>
        <v/>
      </c>
      <c r="AO21" s="442" t="str">
        <f t="shared" si="4"/>
        <v/>
      </c>
      <c r="AP21" s="446" t="str">
        <f t="shared" si="5"/>
        <v/>
      </c>
      <c r="AS21" s="474" t="str">
        <f>IFERROR(INDEX($C$6:$C$53,_xlfn.AGGREGATE(15,6,(ROW($C$6:$C$53)-ROW($C$6)+1)/(($Q$6:$Q$53&gt;0)*(MOD($S$6:$S$53,20)=10)),ROWS($AS$6:AS21))),"")</f>
        <v/>
      </c>
      <c r="AT21" s="471" t="str">
        <f>IF($AS21="","",IFERROR(INDEX($D$6:$D$53,_xlfn.AGGREGATE(15,6,(ROW($C$6:$C$53)-ROW($C$6)+1)/(($Q$6:$Q$53&gt;0)*(MOD($S$6:$S$53,20)=10)),ROWS($AS$6:AS21))),""))</f>
        <v/>
      </c>
      <c r="AU21" s="458" t="str">
        <f>IF($AS21="","",IFERROR(INDEX($S$6:$S$53,_xlfn.AGGREGATE(15,6,(ROW($C$6:$C$53)-ROW($C$6)+1)/(($Q$6:$Q$53&gt;0)*(MOD($S$6:$S$53,20)=10)),ROWS($AS$6:AS21))),""))</f>
        <v/>
      </c>
      <c r="AV21" s="459" t="str">
        <f t="shared" si="6"/>
        <v/>
      </c>
      <c r="AW21" s="467" t="str">
        <f t="shared" si="7"/>
        <v/>
      </c>
    </row>
    <row r="22" spans="1:49" ht="46.5" thickBot="1">
      <c r="A22" s="2257"/>
      <c r="C22" s="42">
        <f>+PP!B40</f>
        <v>17</v>
      </c>
      <c r="D22" s="1024" t="str">
        <f>+PP!C40</f>
        <v>FILETE C/M C/T ENTERO BLANCO 1.0-2.0 kg/pza</v>
      </c>
      <c r="E22" s="2187">
        <f>+'T1'!Q22</f>
        <v>0</v>
      </c>
      <c r="F22" s="2052">
        <f>+'T1 (2)'!Y22</f>
        <v>0</v>
      </c>
      <c r="G22" s="2052">
        <f>+'T2'!Q22</f>
        <v>0</v>
      </c>
      <c r="H22" s="2052">
        <f>+'T2 (2)'!Q26</f>
        <v>0</v>
      </c>
      <c r="I22" s="2052">
        <f>+'T3'!Y22</f>
        <v>0</v>
      </c>
      <c r="J22" s="2052">
        <f>+'T3 (2)'!Y22</f>
        <v>0</v>
      </c>
      <c r="K22" s="2052">
        <f>+'T4'!Y22</f>
        <v>0</v>
      </c>
      <c r="L22" s="2052">
        <f>+'T4 (2)'!Y22</f>
        <v>0</v>
      </c>
      <c r="M22" s="2052">
        <f>+'T5'!AB22</f>
        <v>0</v>
      </c>
      <c r="N22" s="2052">
        <f>+'T5 (2)'!AB22</f>
        <v>0</v>
      </c>
      <c r="O22" s="2052">
        <f>+'T6'!W22</f>
        <v>0</v>
      </c>
      <c r="P22" s="2188">
        <f>+'T6 (2)'!W22</f>
        <v>0</v>
      </c>
      <c r="Q22" s="1974">
        <f t="shared" si="0"/>
        <v>0</v>
      </c>
      <c r="R22" s="29">
        <f t="shared" si="1"/>
        <v>0</v>
      </c>
      <c r="S22" s="54">
        <f t="shared" si="8"/>
        <v>0</v>
      </c>
      <c r="V22" s="452"/>
      <c r="W22" s="452"/>
      <c r="Y22" s="2113" t="s">
        <v>570</v>
      </c>
      <c r="Z22" s="206">
        <f>+T30</f>
        <v>0</v>
      </c>
      <c r="AA22" s="2114">
        <f>+Z22/1000</f>
        <v>0</v>
      </c>
      <c r="AB22" s="1124"/>
      <c r="AC22" s="455"/>
      <c r="AD22" s="443" t="str">
        <f>IFERROR(INDEX($C$6:$C$53,_xlfn.AGGREGATE(15,6,(ROW($Q$6:$Q$53)-ROW($Q$6)+1)/($Q$6:$Q$53&gt;0),17)),"")</f>
        <v/>
      </c>
      <c r="AE22" s="477" t="str">
        <f>IF($AD22="","",IFERROR(INDEX($D$6:$D$53,_xlfn.AGGREGATE(15,6,(ROW($Q$6:$Q$53)-ROW($Q$6)+1)/($Q$6:$Q$53&gt;0),17))&amp;"",""))</f>
        <v/>
      </c>
      <c r="AF22" s="442" t="str">
        <f>IF($AD22="","",IFERROR(INDEX($E$6:$E$53,_xlfn.AGGREGATE(15,6,(ROW($Q$6:$Q$53)-ROW($Q$6)+1)/($Q$6:$Q$53&gt;0),17)),""))</f>
        <v/>
      </c>
      <c r="AG22" s="442" t="str">
        <f>IF($AD22="","",IFERROR(INDEX($G$6:$G$53,_xlfn.AGGREGATE(15,6,(ROW($Q$6:$Q$53)-ROW($Q$6)+1)/($Q$6:$Q$53&gt;0),17)),""))</f>
        <v/>
      </c>
      <c r="AH22" s="442" t="str">
        <f>IF($AD22="","",IFERROR(INDEX($I$6:$I$53,_xlfn.AGGREGATE(15,6,(ROW($Q$6:$Q$53)-ROW($Q$6)+1)/($Q$6:$Q$53&gt;0),17)),""))</f>
        <v/>
      </c>
      <c r="AI22" s="442" t="str">
        <f>IF($AD22="","",IFERROR(INDEX($K$6:$K$53,_xlfn.AGGREGATE(15,6,(ROW($Q$6:$Q$53)-ROW($Q$6)+1)/($Q$6:$Q$53&gt;0),17)),""))</f>
        <v/>
      </c>
      <c r="AJ22" s="442" t="str">
        <f>IF($AD22="","",IFERROR(INDEX($M$6:$M$53,_xlfn.AGGREGATE(15,6,(ROW($Q$6:$Q$53)-ROW($Q$6)+1)/($Q$6:$Q$53&gt;0),17)),""))</f>
        <v/>
      </c>
      <c r="AK22" s="442" t="str">
        <f>IF($AD22="","",IFERROR(INDEX($O$6:$O$53,_xlfn.AGGREGATE(15,6,(ROW($Q$6:$Q$53)-ROW($Q$6)+1)/($Q$6:$Q$53&gt;0),17)),""))</f>
        <v/>
      </c>
      <c r="AL22" s="442" t="str">
        <f>IF($AD22="","",IFERROR(INDEX($P$6:$P$53,_xlfn.AGGREGATE(15,6,(ROW($Q$6:$Q$53)-ROW($Q$6)+1)/($Q$6:$Q$53&gt;0),17)),""))</f>
        <v/>
      </c>
      <c r="AM22" s="442" t="str">
        <f t="shared" si="2"/>
        <v/>
      </c>
      <c r="AN22" s="442" t="str">
        <f t="shared" si="3"/>
        <v/>
      </c>
      <c r="AO22" s="442" t="str">
        <f t="shared" si="4"/>
        <v/>
      </c>
      <c r="AP22" s="446" t="str">
        <f t="shared" si="5"/>
        <v/>
      </c>
      <c r="AS22" s="474" t="str">
        <f>IFERROR(INDEX($C$6:$C$53,_xlfn.AGGREGATE(15,6,(ROW($C$6:$C$53)-ROW($C$6)+1)/(($Q$6:$Q$53&gt;0)*(MOD($S$6:$S$53,20)=10)),ROWS($AS$6:AS22))),"")</f>
        <v/>
      </c>
      <c r="AT22" s="471" t="str">
        <f>IF($AS22="","",IFERROR(INDEX($D$6:$D$53,_xlfn.AGGREGATE(15,6,(ROW($C$6:$C$53)-ROW($C$6)+1)/(($Q$6:$Q$53&gt;0)*(MOD($S$6:$S$53,20)=10)),ROWS($AS$6:AS22))),""))</f>
        <v/>
      </c>
      <c r="AU22" s="458" t="str">
        <f>IF($AS22="","",IFERROR(INDEX($S$6:$S$53,_xlfn.AGGREGATE(15,6,(ROW($C$6:$C$53)-ROW($C$6)+1)/(($Q$6:$Q$53&gt;0)*(MOD($S$6:$S$53,20)=10)),ROWS($AS$6:AS22))),""))</f>
        <v/>
      </c>
      <c r="AV22" s="459" t="str">
        <f t="shared" si="6"/>
        <v/>
      </c>
      <c r="AW22" s="467" t="str">
        <f t="shared" si="7"/>
        <v/>
      </c>
    </row>
    <row r="23" spans="1:49" ht="60.75" thickBot="1">
      <c r="A23" s="2257"/>
      <c r="C23" s="537">
        <f>+PP!B41</f>
        <v>18</v>
      </c>
      <c r="D23" s="1026" t="str">
        <f>+PP!C41</f>
        <v>FILETE C/M C/T ENTERO BLANCO 2.0-4.0 kg/pza</v>
      </c>
      <c r="E23" s="2189">
        <f>+'T1'!Q23</f>
        <v>0</v>
      </c>
      <c r="F23" s="2190">
        <f>+'T1 (2)'!Y23</f>
        <v>0</v>
      </c>
      <c r="G23" s="2190">
        <f>+'T2'!Q23</f>
        <v>0</v>
      </c>
      <c r="H23" s="2190">
        <f>+'T2 (2)'!Q27</f>
        <v>0</v>
      </c>
      <c r="I23" s="2190">
        <f>+'T3'!Y23</f>
        <v>0</v>
      </c>
      <c r="J23" s="2190">
        <f>+'T3 (2)'!Y23</f>
        <v>0</v>
      </c>
      <c r="K23" s="2190">
        <f>+'T4'!Y23</f>
        <v>0</v>
      </c>
      <c r="L23" s="2190">
        <f>+'T4 (2)'!Y23</f>
        <v>0</v>
      </c>
      <c r="M23" s="2190">
        <f>+'T5'!AB23</f>
        <v>0</v>
      </c>
      <c r="N23" s="2190">
        <f>+'T5 (2)'!AB23</f>
        <v>0</v>
      </c>
      <c r="O23" s="2190">
        <f>+'T6'!W23</f>
        <v>0</v>
      </c>
      <c r="P23" s="2191">
        <f>+'T6 (2)'!W23</f>
        <v>0</v>
      </c>
      <c r="Q23" s="1976">
        <f t="shared" si="0"/>
        <v>0</v>
      </c>
      <c r="R23" s="171">
        <f t="shared" si="1"/>
        <v>0</v>
      </c>
      <c r="S23" s="173">
        <f t="shared" si="8"/>
        <v>0</v>
      </c>
      <c r="V23" s="452"/>
      <c r="W23" s="452"/>
      <c r="Y23" s="2118" t="s">
        <v>3</v>
      </c>
      <c r="Z23" s="2119">
        <f>SUM(+Z18+Z19+Z21+Z22+Z20)</f>
        <v>0</v>
      </c>
      <c r="AA23" s="2120">
        <f>SUM(AA18:AA22)</f>
        <v>0</v>
      </c>
      <c r="AB23" s="26"/>
      <c r="AD23" s="443" t="str">
        <f>IFERROR(INDEX($C$6:$C$53,_xlfn.AGGREGATE(15,6,(ROW($Q$6:$Q$53)-ROW($Q$6)+1)/($Q$6:$Q$53&gt;0),18)),"")</f>
        <v/>
      </c>
      <c r="AE23" s="477" t="str">
        <f>IF($AD23="","",IFERROR(INDEX($D$6:$D$53,_xlfn.AGGREGATE(15,6,(ROW($Q$6:$Q$53)-ROW($Q$6)+1)/($Q$6:$Q$53&gt;0),18))&amp;"",""))</f>
        <v/>
      </c>
      <c r="AF23" s="442" t="str">
        <f>IF($AD23="","",IFERROR(INDEX($E$6:$E$53,_xlfn.AGGREGATE(15,6,(ROW($Q$6:$Q$53)-ROW($Q$6)+1)/($Q$6:$Q$53&gt;0),18)),""))</f>
        <v/>
      </c>
      <c r="AG23" s="442" t="str">
        <f>IF($AD23="","",IFERROR(INDEX($G$6:$G$53,_xlfn.AGGREGATE(15,6,(ROW($Q$6:$Q$53)-ROW($Q$6)+1)/($Q$6:$Q$53&gt;0),18)),""))</f>
        <v/>
      </c>
      <c r="AH23" s="442" t="str">
        <f>IF($AD23="","",IFERROR(INDEX($I$6:$I$53,_xlfn.AGGREGATE(15,6,(ROW($Q$6:$Q$53)-ROW($Q$6)+1)/($Q$6:$Q$53&gt;0),18)),""))</f>
        <v/>
      </c>
      <c r="AI23" s="442" t="str">
        <f>IF($AD23="","",IFERROR(INDEX($K$6:$K$53,_xlfn.AGGREGATE(15,6,(ROW($Q$6:$Q$53)-ROW($Q$6)+1)/($Q$6:$Q$53&gt;0),18)),""))</f>
        <v/>
      </c>
      <c r="AJ23" s="442" t="str">
        <f>IF($AD23="","",IFERROR(INDEX($M$6:$M$53,_xlfn.AGGREGATE(15,6,(ROW($Q$6:$Q$53)-ROW($Q$6)+1)/($Q$6:$Q$53&gt;0),18)),""))</f>
        <v/>
      </c>
      <c r="AK23" s="442" t="str">
        <f>IF($AD23="","",IFERROR(INDEX($O$6:$O$53,_xlfn.AGGREGATE(15,6,(ROW($Q$6:$Q$53)-ROW($Q$6)+1)/($Q$6:$Q$53&gt;0),18)),""))</f>
        <v/>
      </c>
      <c r="AL23" s="442" t="str">
        <f>IF($AD23="","",IFERROR(INDEX($P$6:$P$53,_xlfn.AGGREGATE(15,6,(ROW($Q$6:$Q$53)-ROW($Q$6)+1)/($Q$6:$Q$53&gt;0),18)),""))</f>
        <v/>
      </c>
      <c r="AM23" s="442" t="str">
        <f t="shared" si="2"/>
        <v/>
      </c>
      <c r="AN23" s="442" t="str">
        <f t="shared" si="3"/>
        <v/>
      </c>
      <c r="AO23" s="442" t="str">
        <f t="shared" si="4"/>
        <v/>
      </c>
      <c r="AP23" s="446" t="str">
        <f t="shared" si="5"/>
        <v/>
      </c>
      <c r="AS23" s="474" t="str">
        <f>IFERROR(INDEX($C$6:$C$53,_xlfn.AGGREGATE(15,6,(ROW($C$6:$C$53)-ROW($C$6)+1)/(($Q$6:$Q$53&gt;0)*(MOD($S$6:$S$53,20)=10)),ROWS($AS$6:AS23))),"")</f>
        <v/>
      </c>
      <c r="AT23" s="471" t="str">
        <f>IF($AS23="","",IFERROR(INDEX($D$6:$D$53,_xlfn.AGGREGATE(15,6,(ROW($C$6:$C$53)-ROW($C$6)+1)/(($Q$6:$Q$53&gt;0)*(MOD($S$6:$S$53,20)=10)),ROWS($AS$6:AS23))),""))</f>
        <v/>
      </c>
      <c r="AU23" s="458" t="str">
        <f>IF($AS23="","",IFERROR(INDEX($S$6:$S$53,_xlfn.AGGREGATE(15,6,(ROW($C$6:$C$53)-ROW($C$6)+1)/(($Q$6:$Q$53&gt;0)*(MOD($S$6:$S$53,20)=10)),ROWS($AS$6:AS23))),""))</f>
        <v/>
      </c>
      <c r="AV23" s="459" t="str">
        <f t="shared" si="6"/>
        <v/>
      </c>
      <c r="AW23" s="467" t="str">
        <f t="shared" si="7"/>
        <v/>
      </c>
    </row>
    <row r="24" spans="1:49" ht="46.5" customHeight="1" thickBot="1">
      <c r="A24" s="2257"/>
      <c r="C24" s="2001">
        <f>+PP!B42</f>
        <v>19</v>
      </c>
      <c r="D24" s="2020" t="str">
        <f>+PP!C42</f>
        <v>FILETE LP C/M C/T ENTERO 2.0-4.0 kg/pza</v>
      </c>
      <c r="E24" s="2192">
        <f>+'T1'!Q24</f>
        <v>0</v>
      </c>
      <c r="F24" s="2193">
        <f>+'T1 (2)'!Y24</f>
        <v>0</v>
      </c>
      <c r="G24" s="2193">
        <f>+'T2'!Q24</f>
        <v>0</v>
      </c>
      <c r="H24" s="2193">
        <f>+'T2 (2)'!Q28</f>
        <v>0</v>
      </c>
      <c r="I24" s="2193">
        <f>+'T3'!Y24</f>
        <v>0</v>
      </c>
      <c r="J24" s="2193">
        <f>+'T3 (2)'!Y24</f>
        <v>0</v>
      </c>
      <c r="K24" s="2193">
        <f>+'T4'!Y24</f>
        <v>0</v>
      </c>
      <c r="L24" s="2193">
        <f>+'T4 (2)'!Y24</f>
        <v>0</v>
      </c>
      <c r="M24" s="2193">
        <f>+'T5'!AB24</f>
        <v>0</v>
      </c>
      <c r="N24" s="2193">
        <f>+'T5 (2)'!AB24</f>
        <v>0</v>
      </c>
      <c r="O24" s="2193">
        <f>+'T6'!W24</f>
        <v>0</v>
      </c>
      <c r="P24" s="2194">
        <f>+'T6 (2)'!W24</f>
        <v>0</v>
      </c>
      <c r="Q24" s="2021">
        <f t="shared" si="0"/>
        <v>0</v>
      </c>
      <c r="R24" s="2022">
        <f t="shared" si="1"/>
        <v>0</v>
      </c>
      <c r="S24" s="2023">
        <f t="shared" si="8"/>
        <v>0</v>
      </c>
      <c r="T24" s="1971">
        <f>SUM(S20:S24)</f>
        <v>0</v>
      </c>
      <c r="V24" s="452"/>
      <c r="W24" s="452"/>
      <c r="Y24" s="2115" t="s">
        <v>35</v>
      </c>
      <c r="Z24" s="2116">
        <f>+'ENV. PLACAS'!AF54</f>
        <v>0</v>
      </c>
      <c r="AA24" s="2117">
        <f>+Z24/1000</f>
        <v>0</v>
      </c>
      <c r="AB24" s="26"/>
      <c r="AD24" s="443" t="str">
        <f>IFERROR(INDEX($C$6:$C$53,_xlfn.AGGREGATE(15,6,(ROW($Q$6:$Q$53)-ROW($Q$6)+1)/($Q$6:$Q$53&gt;0),19)),"")</f>
        <v/>
      </c>
      <c r="AE24" s="477" t="str">
        <f>IF($AD24="","",IFERROR(INDEX($D$6:$D$53,_xlfn.AGGREGATE(15,6,(ROW($Q$6:$Q$53)-ROW($Q$6)+1)/($Q$6:$Q$53&gt;0),19))&amp;"",""))</f>
        <v/>
      </c>
      <c r="AF24" s="442" t="str">
        <f>IF($AD24="","",IFERROR(INDEX($E$6:$E$53,_xlfn.AGGREGATE(15,6,(ROW($Q$6:$Q$53)-ROW($Q$6)+1)/($Q$6:$Q$53&gt;0),19)),""))</f>
        <v/>
      </c>
      <c r="AG24" s="442" t="str">
        <f>IF($AD24="","",IFERROR(INDEX($G$6:$G$53,_xlfn.AGGREGATE(15,6,(ROW($Q$6:$Q$53)-ROW($Q$6)+1)/($Q$6:$Q$53&gt;0),19)),""))</f>
        <v/>
      </c>
      <c r="AH24" s="442" t="str">
        <f>IF($AD24="","",IFERROR(INDEX($I$6:$I$53,_xlfn.AGGREGATE(15,6,(ROW($Q$6:$Q$53)-ROW($Q$6)+1)/($Q$6:$Q$53&gt;0),19)),""))</f>
        <v/>
      </c>
      <c r="AI24" s="442" t="str">
        <f>IF($AD24="","",IFERROR(INDEX($K$6:$K$53,_xlfn.AGGREGATE(15,6,(ROW($Q$6:$Q$53)-ROW($Q$6)+1)/($Q$6:$Q$53&gt;0),19)),""))</f>
        <v/>
      </c>
      <c r="AJ24" s="442" t="str">
        <f>IF($AD24="","",IFERROR(INDEX($M$6:$M$53,_xlfn.AGGREGATE(15,6,(ROW($Q$6:$Q$53)-ROW($Q$6)+1)/($Q$6:$Q$53&gt;0),19)),""))</f>
        <v/>
      </c>
      <c r="AK24" s="442" t="str">
        <f>IF($AD24="","",IFERROR(INDEX($O$6:$O$53,_xlfn.AGGREGATE(15,6,(ROW($Q$6:$Q$53)-ROW($Q$6)+1)/($Q$6:$Q$53&gt;0),19)),""))</f>
        <v/>
      </c>
      <c r="AL24" s="442" t="str">
        <f>IF($AD24="","",IFERROR(INDEX($P$6:$P$53,_xlfn.AGGREGATE(15,6,(ROW($Q$6:$Q$53)-ROW($Q$6)+1)/($Q$6:$Q$53&gt;0),19)),""))</f>
        <v/>
      </c>
      <c r="AM24" s="442" t="str">
        <f t="shared" si="2"/>
        <v/>
      </c>
      <c r="AN24" s="442" t="str">
        <f t="shared" si="3"/>
        <v/>
      </c>
      <c r="AO24" s="442" t="str">
        <f t="shared" si="4"/>
        <v/>
      </c>
      <c r="AP24" s="446" t="str">
        <f t="shared" si="5"/>
        <v/>
      </c>
      <c r="AS24" s="474" t="str">
        <f>IFERROR(INDEX($C$6:$C$53,_xlfn.AGGREGATE(15,6,(ROW($C$6:$C$53)-ROW($C$6)+1)/(($Q$6:$Q$53&gt;0)*(MOD($S$6:$S$53,20)=10)),ROWS($AS$6:AS24))),"")</f>
        <v/>
      </c>
      <c r="AT24" s="471" t="str">
        <f>IF($AS24="","",IFERROR(INDEX($D$6:$D$53,_xlfn.AGGREGATE(15,6,(ROW($C$6:$C$53)-ROW($C$6)+1)/(($Q$6:$Q$53&gt;0)*(MOD($S$6:$S$53,20)=10)),ROWS($AS$6:AS24))),""))</f>
        <v/>
      </c>
      <c r="AU24" s="458" t="str">
        <f>IF($AS24="","",IFERROR(INDEX($S$6:$S$53,_xlfn.AGGREGATE(15,6,(ROW($C$6:$C$53)-ROW($C$6)+1)/(($Q$6:$Q$53&gt;0)*(MOD($S$6:$S$53,20)=10)),ROWS($AS$6:AS24))),""))</f>
        <v/>
      </c>
      <c r="AV24" s="459" t="str">
        <f t="shared" si="6"/>
        <v/>
      </c>
      <c r="AW24" s="467" t="str">
        <f t="shared" si="7"/>
        <v/>
      </c>
    </row>
    <row r="25" spans="1:49" ht="46.5" customHeight="1">
      <c r="A25" s="2257"/>
      <c r="C25" s="955">
        <f>+PP!B43</f>
        <v>20</v>
      </c>
      <c r="D25" s="1197" t="str">
        <f>+PP!C43</f>
        <v>MANTO BLANCO C/M C/T 500-1000 g/pza</v>
      </c>
      <c r="E25" s="2184">
        <f>+'T1'!Q25</f>
        <v>0</v>
      </c>
      <c r="F25" s="2185">
        <f>+'T1 (2)'!Y25</f>
        <v>0</v>
      </c>
      <c r="G25" s="2185">
        <f>+'T2'!Q25</f>
        <v>0</v>
      </c>
      <c r="H25" s="2185">
        <f>+'T2 (2)'!Q29</f>
        <v>0</v>
      </c>
      <c r="I25" s="2185">
        <f>+'T3'!Y25</f>
        <v>0</v>
      </c>
      <c r="J25" s="2185">
        <f>+'T3 (2)'!Y25</f>
        <v>0</v>
      </c>
      <c r="K25" s="2185">
        <f>+'T4'!Y25</f>
        <v>0</v>
      </c>
      <c r="L25" s="2185">
        <f>+'T4 (2)'!Y25</f>
        <v>0</v>
      </c>
      <c r="M25" s="2185">
        <f>+'T5'!AB25</f>
        <v>0</v>
      </c>
      <c r="N25" s="2185">
        <f>+'T5 (2)'!AB25</f>
        <v>0</v>
      </c>
      <c r="O25" s="2185">
        <f>+'T6'!W25</f>
        <v>0</v>
      </c>
      <c r="P25" s="2186">
        <f>+'T6 (2)'!W25</f>
        <v>0</v>
      </c>
      <c r="Q25" s="964">
        <f t="shared" si="0"/>
        <v>0</v>
      </c>
      <c r="R25" s="50">
        <f t="shared" si="1"/>
        <v>0</v>
      </c>
      <c r="S25" s="51">
        <f t="shared" si="8"/>
        <v>0</v>
      </c>
      <c r="V25" s="452"/>
      <c r="W25" s="452"/>
      <c r="Y25" s="1969"/>
      <c r="Z25" s="2609">
        <f>+Z23+Z24</f>
        <v>0</v>
      </c>
      <c r="AA25" s="1970"/>
      <c r="AB25" s="1711"/>
      <c r="AC25" s="456"/>
      <c r="AD25" s="443" t="str">
        <f>IFERROR(INDEX($C$6:$C$53,_xlfn.AGGREGATE(15,6,(ROW($Q$6:$Q$53)-ROW($Q$6)+1)/($Q$6:$Q$53&gt;0),20)),"")</f>
        <v/>
      </c>
      <c r="AE25" s="477" t="str">
        <f>IF($AD25="","",IFERROR(INDEX($D$6:$D$53,_xlfn.AGGREGATE(15,6,(ROW($Q$6:$Q$53)-ROW($Q$6)+1)/($Q$6:$Q$53&gt;0),20))&amp;"",""))</f>
        <v/>
      </c>
      <c r="AF25" s="442" t="str">
        <f>IF($AD25="","",IFERROR(INDEX($E$6:$E$53,_xlfn.AGGREGATE(15,6,(ROW($Q$6:$Q$53)-ROW($Q$6)+1)/($Q$6:$Q$53&gt;0),20)),""))</f>
        <v/>
      </c>
      <c r="AG25" s="442" t="str">
        <f>IF($AD25="","",IFERROR(INDEX($G$6:$G$53,_xlfn.AGGREGATE(15,6,(ROW($Q$6:$Q$53)-ROW($Q$6)+1)/($Q$6:$Q$53&gt;0),20)),""))</f>
        <v/>
      </c>
      <c r="AH25" s="442" t="str">
        <f>IF($AD25="","",IFERROR(INDEX($I$6:$I$53,_xlfn.AGGREGATE(15,6,(ROW($Q$6:$Q$53)-ROW($Q$6)+1)/($Q$6:$Q$53&gt;0),20)),""))</f>
        <v/>
      </c>
      <c r="AI25" s="442" t="str">
        <f>IF($AD25="","",IFERROR(INDEX($K$6:$K$53,_xlfn.AGGREGATE(15,6,(ROW($Q$6:$Q$53)-ROW($Q$6)+1)/($Q$6:$Q$53&gt;0),20)),""))</f>
        <v/>
      </c>
      <c r="AJ25" s="442" t="str">
        <f>IF($AD25="","",IFERROR(INDEX($M$6:$M$53,_xlfn.AGGREGATE(15,6,(ROW($Q$6:$Q$53)-ROW($Q$6)+1)/($Q$6:$Q$53&gt;0),20)),""))</f>
        <v/>
      </c>
      <c r="AK25" s="442" t="str">
        <f>IF($AD25="","",IFERROR(INDEX($O$6:$O$53,_xlfn.AGGREGATE(15,6,(ROW($Q$6:$Q$53)-ROW($Q$6)+1)/($Q$6:$Q$53&gt;0),20)),""))</f>
        <v/>
      </c>
      <c r="AL25" s="442" t="str">
        <f>IF($AD25="","",IFERROR(INDEX($P$6:$P$53,_xlfn.AGGREGATE(15,6,(ROW($Q$6:$Q$53)-ROW($Q$6)+1)/($Q$6:$Q$53&gt;0),20)),""))</f>
        <v/>
      </c>
      <c r="AM25" s="442" t="str">
        <f t="shared" si="2"/>
        <v/>
      </c>
      <c r="AN25" s="442" t="str">
        <f t="shared" si="3"/>
        <v/>
      </c>
      <c r="AO25" s="442" t="str">
        <f t="shared" si="4"/>
        <v/>
      </c>
      <c r="AP25" s="446" t="str">
        <f t="shared" si="5"/>
        <v/>
      </c>
      <c r="AS25" s="474" t="str">
        <f>IFERROR(INDEX($C$6:$C$53,_xlfn.AGGREGATE(15,6,(ROW($C$6:$C$53)-ROW($C$6)+1)/(($Q$6:$Q$53&gt;0)*(MOD($S$6:$S$53,20)=10)),ROWS($AS$6:AS25))),"")</f>
        <v/>
      </c>
      <c r="AT25" s="471" t="str">
        <f>IF($AS25="","",IFERROR(INDEX($D$6:$D$53,_xlfn.AGGREGATE(15,6,(ROW($C$6:$C$53)-ROW($C$6)+1)/(($Q$6:$Q$53&gt;0)*(MOD($S$6:$S$53,20)=10)),ROWS($AS$6:AS25))),""))</f>
        <v/>
      </c>
      <c r="AU25" s="458" t="str">
        <f>IF($AS25="","",IFERROR(INDEX($S$6:$S$53,_xlfn.AGGREGATE(15,6,(ROW($C$6:$C$53)-ROW($C$6)+1)/(($Q$6:$Q$53&gt;0)*(MOD($S$6:$S$53,20)=10)),ROWS($AS$6:AS25))),""))</f>
        <v/>
      </c>
      <c r="AV25" s="459" t="str">
        <f t="shared" si="6"/>
        <v/>
      </c>
      <c r="AW25" s="467" t="str">
        <f t="shared" si="7"/>
        <v/>
      </c>
    </row>
    <row r="26" spans="1:49" ht="46.5" thickBot="1">
      <c r="A26" s="2257"/>
      <c r="C26" s="42">
        <f>+PP!B44</f>
        <v>21</v>
      </c>
      <c r="D26" s="1700" t="str">
        <f>+PP!C44</f>
        <v>MANTO BLANCO C/M C/T 1.0-2.0 kg/pza</v>
      </c>
      <c r="E26" s="2187">
        <f>+'T1'!Q26</f>
        <v>0</v>
      </c>
      <c r="F26" s="2052">
        <f>+'T1 (2)'!Y26</f>
        <v>0</v>
      </c>
      <c r="G26" s="2052">
        <f>+'T2'!Q26</f>
        <v>0</v>
      </c>
      <c r="H26" s="2052">
        <f>+'T2 (2)'!Q30</f>
        <v>0</v>
      </c>
      <c r="I26" s="2052">
        <f>+'T3'!Y26</f>
        <v>0</v>
      </c>
      <c r="J26" s="2052">
        <f>+'T3 (2)'!Y26</f>
        <v>0</v>
      </c>
      <c r="K26" s="2052">
        <f>+'T4'!Y26</f>
        <v>0</v>
      </c>
      <c r="L26" s="2052">
        <f>+'T4 (2)'!Y26</f>
        <v>0</v>
      </c>
      <c r="M26" s="2052">
        <f>+'T5'!AB26</f>
        <v>0</v>
      </c>
      <c r="N26" s="2052">
        <f>+'T5 (2)'!AB26</f>
        <v>0</v>
      </c>
      <c r="O26" s="2052">
        <f>+'T6'!W26</f>
        <v>0</v>
      </c>
      <c r="P26" s="2188">
        <f>+'T6 (2)'!W26</f>
        <v>0</v>
      </c>
      <c r="Q26" s="1974">
        <f t="shared" si="0"/>
        <v>0</v>
      </c>
      <c r="R26" s="29">
        <f t="shared" si="1"/>
        <v>0</v>
      </c>
      <c r="S26" s="54">
        <f t="shared" si="8"/>
        <v>0</v>
      </c>
      <c r="V26" s="452"/>
      <c r="W26" s="452"/>
      <c r="Y26" s="1964"/>
      <c r="Z26" s="2610"/>
      <c r="AA26" s="1965"/>
      <c r="AB26" s="26"/>
      <c r="AD26" s="443" t="str">
        <f>IFERROR(INDEX($C$6:$C$53,_xlfn.AGGREGATE(15,6,(ROW($Q$6:$Q$53)-ROW($Q$6)+1)/($Q$6:$Q$53&gt;0),21)),"")</f>
        <v/>
      </c>
      <c r="AE26" s="477" t="str">
        <f>IF($AD26="","",IFERROR(INDEX($D$6:$D$53,_xlfn.AGGREGATE(15,6,(ROW($Q$6:$Q$53)-ROW($Q$6)+1)/($Q$6:$Q$53&gt;0),21))&amp;"",""))</f>
        <v/>
      </c>
      <c r="AF26" s="442" t="str">
        <f>IF($AD26="","",IFERROR(INDEX($E$6:$E$53,_xlfn.AGGREGATE(15,6,(ROW($Q$6:$Q$53)-ROW($Q$6)+1)/($Q$6:$Q$53&gt;0),21)),""))</f>
        <v/>
      </c>
      <c r="AG26" s="442" t="str">
        <f>IF($AD26="","",IFERROR(INDEX($G$6:$G$53,_xlfn.AGGREGATE(15,6,(ROW($Q$6:$Q$53)-ROW($Q$6)+1)/($Q$6:$Q$53&gt;0),21)),""))</f>
        <v/>
      </c>
      <c r="AH26" s="442" t="str">
        <f>IF($AD26="","",IFERROR(INDEX($I$6:$I$53,_xlfn.AGGREGATE(15,6,(ROW($Q$6:$Q$53)-ROW($Q$6)+1)/($Q$6:$Q$53&gt;0),21)),""))</f>
        <v/>
      </c>
      <c r="AI26" s="442" t="str">
        <f>IF($AD26="","",IFERROR(INDEX($K$6:$K$53,_xlfn.AGGREGATE(15,6,(ROW($Q$6:$Q$53)-ROW($Q$6)+1)/($Q$6:$Q$53&gt;0),21)),""))</f>
        <v/>
      </c>
      <c r="AJ26" s="442" t="str">
        <f>IF($AD26="","",IFERROR(INDEX($M$6:$M$53,_xlfn.AGGREGATE(15,6,(ROW($Q$6:$Q$53)-ROW($Q$6)+1)/($Q$6:$Q$53&gt;0),21)),""))</f>
        <v/>
      </c>
      <c r="AK26" s="442" t="str">
        <f>IF($AD26="","",IFERROR(INDEX($O$6:$O$53,_xlfn.AGGREGATE(15,6,(ROW($Q$6:$Q$53)-ROW($Q$6)+1)/($Q$6:$Q$53&gt;0),21)),""))</f>
        <v/>
      </c>
      <c r="AL26" s="442" t="str">
        <f>IF($AD26="","",IFERROR(INDEX($P$6:$P$53,_xlfn.AGGREGATE(15,6,(ROW($Q$6:$Q$53)-ROW($Q$6)+1)/($Q$6:$Q$53&gt;0),21)),""))</f>
        <v/>
      </c>
      <c r="AM26" s="442" t="str">
        <f t="shared" si="2"/>
        <v/>
      </c>
      <c r="AN26" s="442" t="str">
        <f t="shared" si="3"/>
        <v/>
      </c>
      <c r="AO26" s="442" t="str">
        <f t="shared" si="4"/>
        <v/>
      </c>
      <c r="AP26" s="446" t="str">
        <f t="shared" si="5"/>
        <v/>
      </c>
      <c r="AS26" s="474" t="str">
        <f>IFERROR(INDEX($C$6:$C$53,_xlfn.AGGREGATE(15,6,(ROW($C$6:$C$53)-ROW($C$6)+1)/(($Q$6:$Q$53&gt;0)*(MOD($S$6:$S$53,20)=10)),ROWS($AS$6:AS26))),"")</f>
        <v/>
      </c>
      <c r="AT26" s="471" t="str">
        <f>IF($AS26="","",IFERROR(INDEX($D$6:$D$53,_xlfn.AGGREGATE(15,6,(ROW($C$6:$C$53)-ROW($C$6)+1)/(($Q$6:$Q$53&gt;0)*(MOD($S$6:$S$53,20)=10)),ROWS($AS$6:AS26))),""))</f>
        <v/>
      </c>
      <c r="AU26" s="458" t="str">
        <f>IF($AS26="","",IFERROR(INDEX($S$6:$S$53,_xlfn.AGGREGATE(15,6,(ROW($C$6:$C$53)-ROW($C$6)+1)/(($Q$6:$Q$53&gt;0)*(MOD($S$6:$S$53,20)=10)),ROWS($AS$6:AS26))),""))</f>
        <v/>
      </c>
      <c r="AV26" s="459" t="str">
        <f t="shared" si="6"/>
        <v/>
      </c>
      <c r="AW26" s="467" t="str">
        <f t="shared" si="7"/>
        <v/>
      </c>
    </row>
    <row r="27" spans="1:49" ht="46.5" thickBot="1">
      <c r="A27" s="2257"/>
      <c r="C27" s="42">
        <f>+PP!B45</f>
        <v>22</v>
      </c>
      <c r="D27" s="1700" t="str">
        <f>+PP!C45</f>
        <v>MANTO BLANCO C/M C/T 2.0-4.0 kg/pza</v>
      </c>
      <c r="E27" s="2187">
        <f>+'T1'!Q27</f>
        <v>0</v>
      </c>
      <c r="F27" s="2052">
        <f>+'T1 (2)'!Y27</f>
        <v>0</v>
      </c>
      <c r="G27" s="2052">
        <f>+'T2'!Q27</f>
        <v>0</v>
      </c>
      <c r="H27" s="2052">
        <f>+'T2 (2)'!Q31</f>
        <v>0</v>
      </c>
      <c r="I27" s="2052">
        <f>+'T3'!Y27</f>
        <v>0</v>
      </c>
      <c r="J27" s="2052">
        <f>+'T3 (2)'!Y27</f>
        <v>0</v>
      </c>
      <c r="K27" s="2052">
        <f>+'T4'!Y27</f>
        <v>0</v>
      </c>
      <c r="L27" s="2052">
        <f>+'T4 (2)'!Y27</f>
        <v>0</v>
      </c>
      <c r="M27" s="2052">
        <f>+'T5'!AB27</f>
        <v>0</v>
      </c>
      <c r="N27" s="2052">
        <f>+'T5 (2)'!AB27</f>
        <v>0</v>
      </c>
      <c r="O27" s="2052">
        <f>+'T6'!W27</f>
        <v>0</v>
      </c>
      <c r="P27" s="2188">
        <f>+'T6 (2)'!W27</f>
        <v>0</v>
      </c>
      <c r="Q27" s="1974">
        <f t="shared" si="0"/>
        <v>0</v>
      </c>
      <c r="R27" s="29">
        <f t="shared" si="1"/>
        <v>0</v>
      </c>
      <c r="S27" s="54">
        <f t="shared" si="8"/>
        <v>0</v>
      </c>
      <c r="V27" s="452"/>
      <c r="W27" s="452"/>
      <c r="AB27" s="26"/>
      <c r="AD27" s="444" t="str">
        <f>IFERROR(INDEX($C$6:$C$53,_xlfn.AGGREGATE(15,6,(ROW($Q$6:$Q$53)-ROW($Q$6)+1)/($Q$6:$Q$53&gt;0),22)),"")</f>
        <v/>
      </c>
      <c r="AE27" s="478" t="str">
        <f>IF($AD27="","",IFERROR(INDEX($D$6:$D$53,_xlfn.AGGREGATE(15,6,(ROW($Q$6:$Q$53)-ROW($Q$6)+1)/($Q$6:$Q$53&gt;0),22))&amp;"",""))</f>
        <v/>
      </c>
      <c r="AF27" s="479" t="str">
        <f>IF($AD27="","",IFERROR(INDEX($E$6:$E$53,_xlfn.AGGREGATE(15,6,(ROW($Q$6:$Q$53)-ROW($Q$6)+1)/($Q$6:$Q$53&gt;0),22)),""))</f>
        <v/>
      </c>
      <c r="AG27" s="479" t="str">
        <f>IF($AD27="","",IFERROR(INDEX($G$6:$G$53,_xlfn.AGGREGATE(15,6,(ROW($Q$6:$Q$53)-ROW($Q$6)+1)/($Q$6:$Q$53&gt;0),22)),""))</f>
        <v/>
      </c>
      <c r="AH27" s="479" t="str">
        <f>IF($AD27="","",IFERROR(INDEX($I$6:$I$53,_xlfn.AGGREGATE(15,6,(ROW($Q$6:$Q$53)-ROW($Q$6)+1)/($Q$6:$Q$53&gt;0),22)),""))</f>
        <v/>
      </c>
      <c r="AI27" s="479" t="str">
        <f>IF($AD27="","",IFERROR(INDEX($K$6:$K$53,_xlfn.AGGREGATE(15,6,(ROW($Q$6:$Q$53)-ROW($Q$6)+1)/($Q$6:$Q$53&gt;0),22)),""))</f>
        <v/>
      </c>
      <c r="AJ27" s="479" t="str">
        <f>IF($AD27="","",IFERROR(INDEX($M$6:$M$53,_xlfn.AGGREGATE(15,6,(ROW($Q$6:$Q$53)-ROW($Q$6)+1)/($Q$6:$Q$53&gt;0),22)),""))</f>
        <v/>
      </c>
      <c r="AK27" s="479" t="str">
        <f>IF($AD27="","",IFERROR(INDEX($O$6:$O$53,_xlfn.AGGREGATE(15,6,(ROW($Q$6:$Q$53)-ROW($Q$6)+1)/($Q$6:$Q$53&gt;0),22)),""))</f>
        <v/>
      </c>
      <c r="AL27" s="479" t="str">
        <f>IF($AD27="","",IFERROR(INDEX($P$6:$P$53,_xlfn.AGGREGATE(15,6,(ROW($Q$6:$Q$53)-ROW($Q$6)+1)/($Q$6:$Q$53&gt;0),22)),""))</f>
        <v/>
      </c>
      <c r="AM27" s="479" t="str">
        <f t="shared" si="2"/>
        <v/>
      </c>
      <c r="AN27" s="479" t="str">
        <f t="shared" si="3"/>
        <v/>
      </c>
      <c r="AO27" s="479" t="str">
        <f t="shared" si="4"/>
        <v/>
      </c>
      <c r="AP27" s="484" t="str">
        <f t="shared" si="5"/>
        <v/>
      </c>
      <c r="AS27" s="475" t="str">
        <f>IFERROR(INDEX($C$6:$C$53,_xlfn.AGGREGATE(15,6,(ROW($C$6:$C$53)-ROW($C$6)+1)/(($Q$6:$Q$53&gt;0)*(MOD($S$6:$S$53,20)=10)),ROWS($AS$6:AS27))),"")</f>
        <v/>
      </c>
      <c r="AT27" s="472" t="str">
        <f>IF($AS27="","",IFERROR(INDEX($D$6:$D$53,_xlfn.AGGREGATE(15,6,(ROW($C$6:$C$53)-ROW($C$6)+1)/(($Q$6:$Q$53&gt;0)*(MOD($S$6:$S$53,20)=10)),ROWS($AS$6:AS27))),""))</f>
        <v/>
      </c>
      <c r="AU27" s="460" t="str">
        <f>IF($AS27="","",IFERROR(INDEX($S$6:$S$53,_xlfn.AGGREGATE(15,6,(ROW($C$6:$C$53)-ROW($C$6)+1)/(($Q$6:$Q$53&gt;0)*(MOD($S$6:$S$53,20)=10)),ROWS($AS$6:AS27))),""))</f>
        <v/>
      </c>
      <c r="AV27" s="461" t="str">
        <f t="shared" si="6"/>
        <v/>
      </c>
      <c r="AW27" s="468" t="str">
        <f t="shared" si="7"/>
        <v/>
      </c>
    </row>
    <row r="28" spans="1:49" ht="46.5" thickBot="1">
      <c r="A28" s="2257"/>
      <c r="C28" s="42">
        <f>+PP!B46</f>
        <v>23</v>
      </c>
      <c r="D28" s="1700" t="str">
        <f>+PP!C46</f>
        <v>MANTO LP C/M C/T 500-1000 g/pza</v>
      </c>
      <c r="E28" s="2187">
        <f>+'T1'!Q28</f>
        <v>0</v>
      </c>
      <c r="F28" s="2052">
        <f>+'T1 (2)'!Y28</f>
        <v>0</v>
      </c>
      <c r="G28" s="2052">
        <f>+'T2'!Q28</f>
        <v>0</v>
      </c>
      <c r="H28" s="2052">
        <f>+'T2 (2)'!Q32</f>
        <v>0</v>
      </c>
      <c r="I28" s="2052">
        <f>+'T3'!Y28</f>
        <v>0</v>
      </c>
      <c r="J28" s="2052">
        <f>+'T3 (2)'!Y28</f>
        <v>0</v>
      </c>
      <c r="K28" s="2052">
        <f>+'T4'!Y28</f>
        <v>0</v>
      </c>
      <c r="L28" s="2052">
        <f>+'T4 (2)'!Y28</f>
        <v>0</v>
      </c>
      <c r="M28" s="2052">
        <f>+'T5'!AB28</f>
        <v>0</v>
      </c>
      <c r="N28" s="2052">
        <f>+'T5 (2)'!AB28</f>
        <v>0</v>
      </c>
      <c r="O28" s="2052">
        <f>+'T6'!W28</f>
        <v>0</v>
      </c>
      <c r="P28" s="2188">
        <f>+'T6 (2)'!W28</f>
        <v>0</v>
      </c>
      <c r="Q28" s="1974">
        <f t="shared" si="0"/>
        <v>0</v>
      </c>
      <c r="R28" s="29">
        <f t="shared" si="1"/>
        <v>0</v>
      </c>
      <c r="S28" s="54">
        <f t="shared" si="8"/>
        <v>0</v>
      </c>
      <c r="V28" s="452"/>
      <c r="W28" s="452"/>
      <c r="AB28" s="26"/>
      <c r="AD28" s="445"/>
      <c r="AE28" s="480" t="s">
        <v>3</v>
      </c>
      <c r="AF28" s="481">
        <f t="shared" ref="AF28:AO28" si="9">SUM(AF6:AF27)</f>
        <v>0</v>
      </c>
      <c r="AG28" s="481">
        <f t="shared" si="9"/>
        <v>0</v>
      </c>
      <c r="AH28" s="481">
        <f t="shared" si="9"/>
        <v>0</v>
      </c>
      <c r="AI28" s="481">
        <f t="shared" si="9"/>
        <v>0</v>
      </c>
      <c r="AJ28" s="481">
        <f t="shared" si="9"/>
        <v>0</v>
      </c>
      <c r="AK28" s="481">
        <f t="shared" si="9"/>
        <v>0</v>
      </c>
      <c r="AL28" s="481">
        <f t="shared" si="9"/>
        <v>0</v>
      </c>
      <c r="AM28" s="481">
        <f t="shared" si="9"/>
        <v>0</v>
      </c>
      <c r="AN28" s="481">
        <f t="shared" si="9"/>
        <v>0</v>
      </c>
      <c r="AO28" s="481">
        <f t="shared" si="9"/>
        <v>0</v>
      </c>
      <c r="AP28" s="482" t="str">
        <f>IF(COUNTIF(AP6:AP27,"SÍ")&gt;0,"HAY SALDO 10 KG","SIN SALDO")</f>
        <v>SIN SALDO</v>
      </c>
      <c r="AS28" s="2517" t="s">
        <v>514</v>
      </c>
      <c r="AT28" s="2518"/>
      <c r="AU28" s="2519">
        <f>COUNT($AS$6:$AS$27)</f>
        <v>0</v>
      </c>
      <c r="AV28" s="2634"/>
      <c r="AW28" s="2520"/>
    </row>
    <row r="29" spans="1:49" ht="53.25" customHeight="1" thickBot="1">
      <c r="A29" s="2257"/>
      <c r="C29" s="42">
        <f>+PP!B47</f>
        <v>24</v>
      </c>
      <c r="D29" s="1700" t="str">
        <f>+PP!C47</f>
        <v>MANTO LP C/M C/T 1.0-2.0 Kg/pza</v>
      </c>
      <c r="E29" s="2187">
        <f>+'T1'!Q29</f>
        <v>0</v>
      </c>
      <c r="F29" s="2052">
        <f>+'T1 (2)'!Y29</f>
        <v>0</v>
      </c>
      <c r="G29" s="2052">
        <f>+'T2'!Q29</f>
        <v>0</v>
      </c>
      <c r="H29" s="2052">
        <f>+'T2 (2)'!Q33</f>
        <v>0</v>
      </c>
      <c r="I29" s="2052">
        <f>+'T3'!Y29</f>
        <v>0</v>
      </c>
      <c r="J29" s="2052">
        <f>+'T3 (2)'!Y29</f>
        <v>0</v>
      </c>
      <c r="K29" s="2052">
        <f>+'T4'!Y29</f>
        <v>0</v>
      </c>
      <c r="L29" s="2052">
        <f>+'T4 (2)'!Y29</f>
        <v>0</v>
      </c>
      <c r="M29" s="2052">
        <f>+'T5'!AB29</f>
        <v>0</v>
      </c>
      <c r="N29" s="2052">
        <f>+'T5 (2)'!AB29</f>
        <v>0</v>
      </c>
      <c r="O29" s="2052">
        <f>+'T6'!W29</f>
        <v>0</v>
      </c>
      <c r="P29" s="2188">
        <f>+'T6 (2)'!W29</f>
        <v>0</v>
      </c>
      <c r="Q29" s="1974">
        <f t="shared" si="0"/>
        <v>0</v>
      </c>
      <c r="R29" s="29">
        <f t="shared" si="1"/>
        <v>0</v>
      </c>
      <c r="S29" s="54">
        <f t="shared" si="8"/>
        <v>0</v>
      </c>
      <c r="V29" s="452"/>
      <c r="W29" s="452"/>
      <c r="Y29" s="2611" t="s">
        <v>628</v>
      </c>
      <c r="Z29" s="2612"/>
      <c r="AA29" s="2613"/>
      <c r="AB29" s="26"/>
    </row>
    <row r="30" spans="1:49" ht="46.5" thickBot="1">
      <c r="A30" s="2257"/>
      <c r="C30" s="42">
        <f>+PP!B48</f>
        <v>25</v>
      </c>
      <c r="D30" s="1698" t="str">
        <f>+PP!C48</f>
        <v>MANTO LP C/M C/T 2.0-4.0 Kg/pza</v>
      </c>
      <c r="E30" s="2189">
        <f>+'T1'!Q30</f>
        <v>0</v>
      </c>
      <c r="F30" s="2190">
        <f>+'T1 (2)'!Y30</f>
        <v>0</v>
      </c>
      <c r="G30" s="2190">
        <f>+'T2'!Q30</f>
        <v>0</v>
      </c>
      <c r="H30" s="2190">
        <f>+'T2 (2)'!Q34</f>
        <v>0</v>
      </c>
      <c r="I30" s="2190">
        <f>+'T3'!Y30</f>
        <v>0</v>
      </c>
      <c r="J30" s="2190">
        <f>+'T3 (2)'!Y30</f>
        <v>0</v>
      </c>
      <c r="K30" s="2190">
        <f>+'T4'!Y30</f>
        <v>0</v>
      </c>
      <c r="L30" s="2190">
        <f>+'T4 (2)'!Y30</f>
        <v>0</v>
      </c>
      <c r="M30" s="2190">
        <f>+'T5'!AB30</f>
        <v>0</v>
      </c>
      <c r="N30" s="2190">
        <f>+'T5 (2)'!AB30</f>
        <v>0</v>
      </c>
      <c r="O30" s="2190">
        <f>+'T6'!W30</f>
        <v>0</v>
      </c>
      <c r="P30" s="2191">
        <f>+'T6 (2)'!W30</f>
        <v>0</v>
      </c>
      <c r="Q30" s="965">
        <f t="shared" si="0"/>
        <v>0</v>
      </c>
      <c r="R30" s="52">
        <f t="shared" si="1"/>
        <v>0</v>
      </c>
      <c r="S30" s="53">
        <f t="shared" si="8"/>
        <v>0</v>
      </c>
      <c r="T30" s="2019">
        <f>SUM(S25:S30)</f>
        <v>0</v>
      </c>
      <c r="V30" s="452"/>
      <c r="W30" s="1195"/>
      <c r="X30" s="947"/>
      <c r="Y30" s="2614">
        <f>+T30+'ENV. PLACAS'!AF24+'ENV. PLACAS'!AF30-150</f>
        <v>-150</v>
      </c>
      <c r="Z30" s="2615"/>
      <c r="AA30" s="2616"/>
      <c r="AB30" s="26"/>
    </row>
    <row r="31" spans="1:49" ht="55.5" customHeight="1" thickBot="1">
      <c r="A31" s="2257"/>
      <c r="C31" s="42">
        <f>+PP!B49</f>
        <v>26</v>
      </c>
      <c r="D31" s="1197" t="str">
        <f>+PP!C49</f>
        <v>NUCA C/C CERRADO 0-100 g/pza</v>
      </c>
      <c r="E31" s="2184">
        <f>+'T1'!Q31</f>
        <v>0</v>
      </c>
      <c r="F31" s="2185">
        <f>+'T1 (2)'!Y31</f>
        <v>0</v>
      </c>
      <c r="G31" s="2185">
        <f>+'T2'!Q31</f>
        <v>0</v>
      </c>
      <c r="H31" s="2185">
        <f>+'T2 (2)'!Q35</f>
        <v>0</v>
      </c>
      <c r="I31" s="2185">
        <f>+'T3'!Y31</f>
        <v>0</v>
      </c>
      <c r="J31" s="2185">
        <f>+'T3 (2)'!Y31</f>
        <v>0</v>
      </c>
      <c r="K31" s="2185">
        <f>+'T4'!Y31</f>
        <v>0</v>
      </c>
      <c r="L31" s="2185">
        <f>+'T4 (2)'!Y31</f>
        <v>0</v>
      </c>
      <c r="M31" s="2185">
        <f>+'T5'!AB31</f>
        <v>0</v>
      </c>
      <c r="N31" s="2185">
        <f>+'T5 (2)'!AB31</f>
        <v>0</v>
      </c>
      <c r="O31" s="2185">
        <f>+'T6'!W31</f>
        <v>0</v>
      </c>
      <c r="P31" s="2186">
        <f>+'T6 (2)'!W31</f>
        <v>0</v>
      </c>
      <c r="Q31" s="964">
        <f t="shared" si="0"/>
        <v>0</v>
      </c>
      <c r="R31" s="50">
        <f t="shared" si="1"/>
        <v>0</v>
      </c>
      <c r="S31" s="51">
        <f t="shared" si="8"/>
        <v>0</v>
      </c>
      <c r="T31" s="2017">
        <f>SUM(S31:S35)</f>
        <v>0</v>
      </c>
      <c r="V31" s="452"/>
      <c r="W31" s="1195"/>
      <c r="X31" s="947"/>
      <c r="Y31" s="2617"/>
      <c r="Z31" s="2618"/>
      <c r="AA31" s="2619"/>
      <c r="AB31" s="26"/>
      <c r="AC31" s="1194"/>
      <c r="AE31" s="1541"/>
    </row>
    <row r="32" spans="1:49" ht="45.75" customHeight="1" thickBot="1">
      <c r="A32" s="2257"/>
      <c r="C32" s="42">
        <f>+PP!B50</f>
        <v>27</v>
      </c>
      <c r="D32" s="1700" t="str">
        <f>+PP!C50</f>
        <v>NUCA C/C ABIERTO 100-300 g/pza</v>
      </c>
      <c r="E32" s="2187">
        <f>+'T1'!Q32</f>
        <v>0</v>
      </c>
      <c r="F32" s="2052">
        <f>+'T1 (2)'!Y32</f>
        <v>0</v>
      </c>
      <c r="G32" s="2052">
        <f>+'T2'!Q32</f>
        <v>0</v>
      </c>
      <c r="H32" s="2052">
        <f>+'T2 (2)'!Q36</f>
        <v>0</v>
      </c>
      <c r="I32" s="2052">
        <f>+'T3'!Y32</f>
        <v>0</v>
      </c>
      <c r="J32" s="2052">
        <f>+'T3 (2)'!Y32</f>
        <v>0</v>
      </c>
      <c r="K32" s="2052">
        <f>+'T4'!Y32</f>
        <v>0</v>
      </c>
      <c r="L32" s="2052">
        <f>+'T4 (2)'!Y32</f>
        <v>0</v>
      </c>
      <c r="M32" s="2052">
        <f>+'T5'!AB32</f>
        <v>0</v>
      </c>
      <c r="N32" s="2052">
        <f>+'T5 (2)'!AB32</f>
        <v>0</v>
      </c>
      <c r="O32" s="2052">
        <f>+'T6'!W32</f>
        <v>0</v>
      </c>
      <c r="P32" s="2188">
        <f>+'T6 (2)'!W32</f>
        <v>0</v>
      </c>
      <c r="Q32" s="1974">
        <f t="shared" si="0"/>
        <v>0</v>
      </c>
      <c r="R32" s="29">
        <f t="shared" si="1"/>
        <v>0</v>
      </c>
      <c r="S32" s="54">
        <f t="shared" si="8"/>
        <v>0</v>
      </c>
      <c r="V32" s="452"/>
      <c r="W32" s="1195"/>
      <c r="X32" s="947"/>
      <c r="Y32" s="2617"/>
      <c r="Z32" s="2618"/>
      <c r="AA32" s="2619"/>
      <c r="AB32" s="26"/>
      <c r="AC32" s="1584"/>
      <c r="AE32" s="1584"/>
      <c r="AF32" s="452"/>
    </row>
    <row r="33" spans="1:32" ht="45.75" customHeight="1">
      <c r="A33" s="2257"/>
      <c r="C33" s="42">
        <f>+PP!B51</f>
        <v>28</v>
      </c>
      <c r="D33" s="1700" t="str">
        <f>+PP!C51</f>
        <v>NUCA C/C ABIERTO 300-500 g/pza</v>
      </c>
      <c r="E33" s="2187">
        <f>+'T1'!Q33</f>
        <v>0</v>
      </c>
      <c r="F33" s="2052">
        <f>+'T1 (2)'!Y33</f>
        <v>0</v>
      </c>
      <c r="G33" s="2052">
        <f>+'T2'!Q33</f>
        <v>0</v>
      </c>
      <c r="H33" s="2052">
        <f>+'T2 (2)'!Q37</f>
        <v>0</v>
      </c>
      <c r="I33" s="2052">
        <f>+'T3'!Y33</f>
        <v>0</v>
      </c>
      <c r="J33" s="2052">
        <f>+'T3 (2)'!Y33</f>
        <v>0</v>
      </c>
      <c r="K33" s="2052">
        <f>+'T4'!Y33</f>
        <v>0</v>
      </c>
      <c r="L33" s="2052">
        <f>+'T4 (2)'!Y33</f>
        <v>0</v>
      </c>
      <c r="M33" s="2052">
        <f>+'T5'!AB33</f>
        <v>0</v>
      </c>
      <c r="N33" s="2052">
        <f>+'T5 (2)'!AB33</f>
        <v>0</v>
      </c>
      <c r="O33" s="2052">
        <f>+'T6'!W33</f>
        <v>0</v>
      </c>
      <c r="P33" s="2188">
        <f>+'T6 (2)'!W33</f>
        <v>0</v>
      </c>
      <c r="Q33" s="1974">
        <f t="shared" si="0"/>
        <v>0</v>
      </c>
      <c r="R33" s="29">
        <f t="shared" si="1"/>
        <v>0</v>
      </c>
      <c r="S33" s="54">
        <f t="shared" si="8"/>
        <v>0</v>
      </c>
      <c r="V33" s="452"/>
      <c r="W33" s="1195"/>
      <c r="X33" s="947"/>
      <c r="Y33" s="2603" t="s">
        <v>612</v>
      </c>
      <c r="Z33" s="2605">
        <f>+Y30/2</f>
        <v>-75</v>
      </c>
      <c r="AA33" s="2606"/>
      <c r="AB33" s="1872"/>
      <c r="AC33" s="1584"/>
      <c r="AE33" s="1584"/>
      <c r="AF33" s="452"/>
    </row>
    <row r="34" spans="1:32" ht="45.75" customHeight="1">
      <c r="A34" s="2257"/>
      <c r="C34" s="42">
        <f>+PP!B52</f>
        <v>29</v>
      </c>
      <c r="D34" s="1700" t="str">
        <f>+PP!C52</f>
        <v>NUCA C/C ABIERTO 500-1000 g/pza</v>
      </c>
      <c r="E34" s="2187">
        <f>+'T1'!Q34</f>
        <v>0</v>
      </c>
      <c r="F34" s="2052">
        <f>+'T1 (2)'!Y34</f>
        <v>0</v>
      </c>
      <c r="G34" s="2052">
        <f>+'T2'!Q34</f>
        <v>0</v>
      </c>
      <c r="H34" s="2052">
        <f>+'T2 (2)'!Q38</f>
        <v>0</v>
      </c>
      <c r="I34" s="2052">
        <f>+'T3'!Y34</f>
        <v>0</v>
      </c>
      <c r="J34" s="2052">
        <f>+'T3 (2)'!Y34</f>
        <v>0</v>
      </c>
      <c r="K34" s="2052">
        <f>+'T4'!Y34</f>
        <v>0</v>
      </c>
      <c r="L34" s="2052">
        <f>+'T4 (2)'!Y34</f>
        <v>0</v>
      </c>
      <c r="M34" s="2052">
        <f>+'T5'!AB34</f>
        <v>0</v>
      </c>
      <c r="N34" s="2052">
        <f>+'T5 (2)'!AB34</f>
        <v>0</v>
      </c>
      <c r="O34" s="2052">
        <f>+'T6'!W34</f>
        <v>0</v>
      </c>
      <c r="P34" s="2188">
        <f>+'T6 (2)'!W34</f>
        <v>0</v>
      </c>
      <c r="Q34" s="1974">
        <f t="shared" si="0"/>
        <v>0</v>
      </c>
      <c r="R34" s="29">
        <f t="shared" si="1"/>
        <v>0</v>
      </c>
      <c r="S34" s="54">
        <f t="shared" si="8"/>
        <v>0</v>
      </c>
      <c r="U34" s="947"/>
      <c r="V34" s="1195"/>
      <c r="W34" s="1195"/>
      <c r="X34" s="947"/>
      <c r="Y34" s="2604"/>
      <c r="Z34" s="2607"/>
      <c r="AA34" s="2608"/>
      <c r="AB34" s="26"/>
      <c r="AC34" s="1584"/>
      <c r="AE34" s="1584"/>
      <c r="AF34" s="452"/>
    </row>
    <row r="35" spans="1:32" ht="46.5" customHeight="1" thickBot="1">
      <c r="A35" s="2257"/>
      <c r="C35" s="42">
        <f>+PP!B53</f>
        <v>30</v>
      </c>
      <c r="D35" s="1698" t="str">
        <f>+PP!C53</f>
        <v>NUCA C/C ABIERTO 1.0 - UP kg/pza</v>
      </c>
      <c r="E35" s="2189">
        <f>+'T1'!Q35</f>
        <v>0</v>
      </c>
      <c r="F35" s="2190">
        <f>+'T1 (2)'!Y35</f>
        <v>0</v>
      </c>
      <c r="G35" s="2190">
        <f>+'T2'!Q35</f>
        <v>0</v>
      </c>
      <c r="H35" s="2190">
        <f>+'T2 (2)'!Q39</f>
        <v>0</v>
      </c>
      <c r="I35" s="2190">
        <f>+'T3'!Y35</f>
        <v>0</v>
      </c>
      <c r="J35" s="2190">
        <f>+'T3 (2)'!Y35</f>
        <v>0</v>
      </c>
      <c r="K35" s="2190">
        <f>+'T4'!Y35</f>
        <v>0</v>
      </c>
      <c r="L35" s="2190">
        <f>+'T4 (2)'!Y35</f>
        <v>0</v>
      </c>
      <c r="M35" s="2190">
        <f>+'T5'!AB35</f>
        <v>0</v>
      </c>
      <c r="N35" s="2190">
        <f>+'T5 (2)'!AB35</f>
        <v>0</v>
      </c>
      <c r="O35" s="2190">
        <f>+'T6'!W35</f>
        <v>0</v>
      </c>
      <c r="P35" s="2191">
        <f>+'T6 (2)'!W35</f>
        <v>0</v>
      </c>
      <c r="Q35" s="1976">
        <f t="shared" si="0"/>
        <v>0</v>
      </c>
      <c r="R35" s="171">
        <f t="shared" si="1"/>
        <v>0</v>
      </c>
      <c r="S35" s="173">
        <f t="shared" si="8"/>
        <v>0</v>
      </c>
      <c r="U35" s="947"/>
      <c r="V35" s="1195"/>
      <c r="W35" s="1195"/>
      <c r="X35" s="947"/>
      <c r="Y35" s="2604" t="s">
        <v>302</v>
      </c>
      <c r="Z35" s="2607">
        <f>+Y30/2</f>
        <v>-75</v>
      </c>
      <c r="AA35" s="2608"/>
      <c r="AB35" s="1194"/>
      <c r="AC35" s="2629" t="s">
        <v>689</v>
      </c>
      <c r="AD35" s="2629"/>
      <c r="AE35" s="2629"/>
      <c r="AF35" s="452"/>
    </row>
    <row r="36" spans="1:32" ht="45.75" customHeight="1" thickBot="1">
      <c r="A36" s="2257"/>
      <c r="C36" s="42">
        <f>+PP!B54</f>
        <v>31</v>
      </c>
      <c r="D36" s="1197" t="str">
        <f>+PP!C54</f>
        <v>RECORTE BLANCO SM ST</v>
      </c>
      <c r="E36" s="2184">
        <f>+'T1'!Q36</f>
        <v>0</v>
      </c>
      <c r="F36" s="2185">
        <f>+'T1 (2)'!Y36</f>
        <v>0</v>
      </c>
      <c r="G36" s="2185">
        <f>+'T2'!Q36</f>
        <v>0</v>
      </c>
      <c r="H36" s="2185">
        <f>+'T2 (2)'!Q40</f>
        <v>0</v>
      </c>
      <c r="I36" s="2185">
        <f>+'T3'!Y36</f>
        <v>0</v>
      </c>
      <c r="J36" s="2185">
        <f>+'T3 (2)'!Y36</f>
        <v>0</v>
      </c>
      <c r="K36" s="2185">
        <f>+'T4'!Y36</f>
        <v>0</v>
      </c>
      <c r="L36" s="2185">
        <f>+'T4 (2)'!Y36</f>
        <v>0</v>
      </c>
      <c r="M36" s="2185">
        <f>+'T5'!AB36</f>
        <v>0</v>
      </c>
      <c r="N36" s="2185">
        <f>+'T5 (2)'!AB36</f>
        <v>0</v>
      </c>
      <c r="O36" s="2185">
        <f>+'T6'!W36</f>
        <v>0</v>
      </c>
      <c r="P36" s="2186">
        <f>+'T6 (2)'!W36</f>
        <v>0</v>
      </c>
      <c r="Q36" s="2195">
        <f t="shared" si="0"/>
        <v>0</v>
      </c>
      <c r="R36" s="50">
        <f t="shared" si="1"/>
        <v>0</v>
      </c>
      <c r="S36" s="51">
        <f t="shared" si="8"/>
        <v>0</v>
      </c>
      <c r="U36" s="947"/>
      <c r="V36" s="1195"/>
      <c r="W36" s="1195"/>
      <c r="X36" s="947"/>
      <c r="Y36" s="2626"/>
      <c r="Z36" s="2627"/>
      <c r="AA36" s="2628"/>
      <c r="AB36" s="1194"/>
      <c r="AC36" s="2630">
        <f>5600*50/1000</f>
        <v>280</v>
      </c>
      <c r="AD36" s="2630"/>
      <c r="AE36" s="2630"/>
      <c r="AF36" s="1195" t="s">
        <v>423</v>
      </c>
    </row>
    <row r="37" spans="1:32" ht="46.5" customHeight="1">
      <c r="A37" s="2257"/>
      <c r="C37" s="42">
        <f>+PP!B55</f>
        <v>32</v>
      </c>
      <c r="D37" s="1700" t="str">
        <f>+PP!C55</f>
        <v>RECORTE AMARILLO SM ST</v>
      </c>
      <c r="E37" s="2187">
        <f>+'T1'!Q37</f>
        <v>0</v>
      </c>
      <c r="F37" s="2052">
        <f>+'T1 (2)'!Y37</f>
        <v>0</v>
      </c>
      <c r="G37" s="2052">
        <f>+'T2'!Q37</f>
        <v>0</v>
      </c>
      <c r="H37" s="2052">
        <f>+'T2 (2)'!Q41</f>
        <v>0</v>
      </c>
      <c r="I37" s="2052">
        <f>+'T3'!Y37</f>
        <v>0</v>
      </c>
      <c r="J37" s="2052">
        <f>+'T3 (2)'!Y37</f>
        <v>0</v>
      </c>
      <c r="K37" s="2052">
        <f>+'T4'!Y37</f>
        <v>0</v>
      </c>
      <c r="L37" s="2052">
        <f>+'T4 (2)'!Y37</f>
        <v>0</v>
      </c>
      <c r="M37" s="2052">
        <f>+'T5'!AB37</f>
        <v>0</v>
      </c>
      <c r="N37" s="2052">
        <f>+'T5 (2)'!AB37</f>
        <v>0</v>
      </c>
      <c r="O37" s="2052">
        <f>+'T6'!W37</f>
        <v>0</v>
      </c>
      <c r="P37" s="2188">
        <f>+'T6 (2)'!W37</f>
        <v>0</v>
      </c>
      <c r="Q37" s="2196">
        <f t="shared" si="0"/>
        <v>0</v>
      </c>
      <c r="R37" s="29">
        <f t="shared" si="1"/>
        <v>0</v>
      </c>
      <c r="S37" s="54">
        <f t="shared" si="8"/>
        <v>0</v>
      </c>
      <c r="U37" s="947"/>
      <c r="V37" s="1207"/>
      <c r="W37" s="1195"/>
      <c r="X37" s="947"/>
      <c r="Y37" s="2620" t="s">
        <v>402</v>
      </c>
      <c r="Z37" s="2622">
        <f>Z25-Y30</f>
        <v>150</v>
      </c>
      <c r="AA37" s="2623"/>
      <c r="AB37" s="1194"/>
      <c r="AC37" s="2630">
        <f>5600*50/1000</f>
        <v>280</v>
      </c>
      <c r="AD37" s="2630"/>
      <c r="AE37" s="2630"/>
      <c r="AF37" s="1195" t="s">
        <v>690</v>
      </c>
    </row>
    <row r="38" spans="1:32" ht="46.5" customHeight="1" thickBot="1">
      <c r="A38" s="2257"/>
      <c r="C38" s="42">
        <f>+PP!B56</f>
        <v>33</v>
      </c>
      <c r="D38" s="1698" t="str">
        <f>+PP!C56</f>
        <v>RECORTE PRECOCIDO</v>
      </c>
      <c r="E38" s="2189">
        <f>+'T1'!Q38</f>
        <v>0</v>
      </c>
      <c r="F38" s="2190">
        <f>+'T1 (2)'!Y38</f>
        <v>0</v>
      </c>
      <c r="G38" s="2190">
        <f>+'T2'!Q38</f>
        <v>0</v>
      </c>
      <c r="H38" s="2190">
        <f>+'T2 (2)'!Q42</f>
        <v>0</v>
      </c>
      <c r="I38" s="2190">
        <f>+'T3'!Y38</f>
        <v>0</v>
      </c>
      <c r="J38" s="2190">
        <f>+'T3 (2)'!Y38</f>
        <v>0</v>
      </c>
      <c r="K38" s="2190">
        <f>+'T4'!Y38</f>
        <v>0</v>
      </c>
      <c r="L38" s="2190">
        <f>+'T4 (2)'!Y38</f>
        <v>0</v>
      </c>
      <c r="M38" s="2190">
        <f>+'T5'!AB38</f>
        <v>0</v>
      </c>
      <c r="N38" s="2190">
        <f>+'T5 (2)'!AB38</f>
        <v>0</v>
      </c>
      <c r="O38" s="2190">
        <f>+'T6'!W38</f>
        <v>0</v>
      </c>
      <c r="P38" s="2191">
        <f>+'T6 (2)'!W38</f>
        <v>0</v>
      </c>
      <c r="Q38" s="2197">
        <f t="shared" si="0"/>
        <v>0</v>
      </c>
      <c r="R38" s="52">
        <f t="shared" si="1"/>
        <v>0</v>
      </c>
      <c r="S38" s="53">
        <f t="shared" si="8"/>
        <v>0</v>
      </c>
      <c r="U38" s="947"/>
      <c r="V38" s="1195"/>
      <c r="W38" s="452"/>
      <c r="Y38" s="2621"/>
      <c r="Z38" s="2624"/>
      <c r="AA38" s="2625"/>
      <c r="AB38" s="1194"/>
      <c r="AC38" s="1584"/>
      <c r="AE38" s="1584"/>
      <c r="AF38" s="452"/>
    </row>
    <row r="39" spans="1:32" ht="52.5" customHeight="1">
      <c r="A39" s="2257"/>
      <c r="C39" s="42">
        <f>+PP!B57</f>
        <v>34</v>
      </c>
      <c r="D39" s="1022" t="str">
        <f>+PP!C57</f>
        <v>REPRODUCTORES SV, PEQUEÑO</v>
      </c>
      <c r="E39" s="2184">
        <f>+'T1'!Q39</f>
        <v>0</v>
      </c>
      <c r="F39" s="2185">
        <f>+'T1 (2)'!Y39</f>
        <v>0</v>
      </c>
      <c r="G39" s="2185">
        <f>+'T2'!Q39</f>
        <v>0</v>
      </c>
      <c r="H39" s="2185">
        <f>+'T2 (2)'!Q43</f>
        <v>0</v>
      </c>
      <c r="I39" s="2185">
        <f>+'T3'!Y39</f>
        <v>0</v>
      </c>
      <c r="J39" s="2185">
        <f>+'T3 (2)'!Y39</f>
        <v>0</v>
      </c>
      <c r="K39" s="2185">
        <f>+'T4'!Y39</f>
        <v>0</v>
      </c>
      <c r="L39" s="2185">
        <f>+'T4 (2)'!Y39</f>
        <v>0</v>
      </c>
      <c r="M39" s="2185">
        <f>+'T5'!AB39</f>
        <v>0</v>
      </c>
      <c r="N39" s="2185">
        <f>+'T5 (2)'!AB39</f>
        <v>0</v>
      </c>
      <c r="O39" s="2185">
        <f>+'T6'!W39</f>
        <v>0</v>
      </c>
      <c r="P39" s="2186">
        <f>+'T6 (2)'!W39</f>
        <v>0</v>
      </c>
      <c r="Q39" s="1975">
        <f t="shared" si="0"/>
        <v>0</v>
      </c>
      <c r="R39" s="172">
        <f t="shared" si="1"/>
        <v>0</v>
      </c>
      <c r="S39" s="174">
        <f t="shared" si="8"/>
        <v>0</v>
      </c>
      <c r="V39" s="452"/>
      <c r="W39" s="452"/>
      <c r="AB39" s="1194"/>
      <c r="AC39" s="1584"/>
      <c r="AD39" s="1195"/>
      <c r="AE39" s="947"/>
    </row>
    <row r="40" spans="1:32" ht="46.5" thickBot="1">
      <c r="A40" s="2257"/>
      <c r="C40" s="42">
        <f>+PP!B58</f>
        <v>35</v>
      </c>
      <c r="D40" s="1026" t="str">
        <f>+PP!C58</f>
        <v>REPRODUCTOR SV GRANDE</v>
      </c>
      <c r="E40" s="2189">
        <f>+'T1'!Q40</f>
        <v>0</v>
      </c>
      <c r="F40" s="2190">
        <f>+'T1 (2)'!Y40</f>
        <v>0</v>
      </c>
      <c r="G40" s="2190">
        <f>+'T2'!Q40</f>
        <v>0</v>
      </c>
      <c r="H40" s="2190">
        <f>+'T2 (2)'!Q44</f>
        <v>0</v>
      </c>
      <c r="I40" s="2190">
        <f>+'T3'!Y40</f>
        <v>0</v>
      </c>
      <c r="J40" s="2190">
        <f>+'T3 (2)'!Y40</f>
        <v>0</v>
      </c>
      <c r="K40" s="2190">
        <f>+'T4'!Y40</f>
        <v>0</v>
      </c>
      <c r="L40" s="2190">
        <f>+'T4 (2)'!Y40</f>
        <v>0</v>
      </c>
      <c r="M40" s="2190">
        <f>+'T5'!AB40</f>
        <v>0</v>
      </c>
      <c r="N40" s="2190">
        <f>+'T5 (2)'!AB40</f>
        <v>0</v>
      </c>
      <c r="O40" s="2190">
        <f>+'T6'!W40</f>
        <v>0</v>
      </c>
      <c r="P40" s="2191">
        <f>+'T6 (2)'!W40</f>
        <v>0</v>
      </c>
      <c r="Q40" s="1976">
        <f t="shared" si="0"/>
        <v>0</v>
      </c>
      <c r="R40" s="171">
        <f t="shared" ref="R40:R53" si="10">Q40/2</f>
        <v>0</v>
      </c>
      <c r="S40" s="173">
        <f t="shared" ref="S40:S53" si="11">+Q40*10</f>
        <v>0</v>
      </c>
      <c r="V40" s="452"/>
      <c r="W40" s="452"/>
      <c r="Y40" s="947"/>
      <c r="Z40" s="947"/>
      <c r="AA40" s="947"/>
      <c r="AB40" s="1712"/>
      <c r="AC40" s="1195"/>
      <c r="AD40" s="1195"/>
      <c r="AE40" s="947"/>
    </row>
    <row r="41" spans="1:32" ht="46.5" thickBot="1">
      <c r="A41" s="2257"/>
      <c r="C41" s="42">
        <f>+PP!B59</f>
        <v>36</v>
      </c>
      <c r="D41" s="2015" t="str">
        <f>+PP!C59</f>
        <v>TUBO ALETA 1.0-2.0 Kg/pza</v>
      </c>
      <c r="E41" s="2192">
        <f>+'T1'!Q41</f>
        <v>0</v>
      </c>
      <c r="F41" s="2193">
        <f>+'T1 (2)'!Y41</f>
        <v>0</v>
      </c>
      <c r="G41" s="2193">
        <f>+'T2'!Q41</f>
        <v>0</v>
      </c>
      <c r="H41" s="2193">
        <f>+'T2 (2)'!Q45</f>
        <v>0</v>
      </c>
      <c r="I41" s="2193">
        <f>+'T3'!Y41</f>
        <v>0</v>
      </c>
      <c r="J41" s="2193">
        <f>+'T3 (2)'!Y41</f>
        <v>0</v>
      </c>
      <c r="K41" s="2193">
        <f>+'T4'!Y41</f>
        <v>0</v>
      </c>
      <c r="L41" s="2193">
        <f>+'T4 (2)'!Y41</f>
        <v>0</v>
      </c>
      <c r="M41" s="2193">
        <f>+'T5'!AB41</f>
        <v>0</v>
      </c>
      <c r="N41" s="2193">
        <f>+'T5 (2)'!AB41</f>
        <v>0</v>
      </c>
      <c r="O41" s="2193">
        <f>+'T6'!W41</f>
        <v>0</v>
      </c>
      <c r="P41" s="2194">
        <f>+'T6 (2)'!W41</f>
        <v>0</v>
      </c>
      <c r="Q41" s="1977">
        <f t="shared" si="0"/>
        <v>0</v>
      </c>
      <c r="R41" s="55">
        <f t="shared" si="10"/>
        <v>0</v>
      </c>
      <c r="S41" s="56">
        <f t="shared" si="11"/>
        <v>0</v>
      </c>
      <c r="V41" s="452"/>
      <c r="W41" s="452"/>
      <c r="Y41" s="3014"/>
      <c r="Z41" s="3014"/>
      <c r="AA41" s="3014"/>
      <c r="AB41" s="3014"/>
      <c r="AC41" s="947"/>
      <c r="AD41" s="1195"/>
      <c r="AE41" s="947"/>
    </row>
    <row r="42" spans="1:32" ht="48.75" customHeight="1" thickBot="1">
      <c r="A42" s="2257"/>
      <c r="C42" s="42">
        <f>+PP!B60</f>
        <v>37</v>
      </c>
      <c r="D42" s="1022" t="str">
        <f>+PP!C60</f>
        <v>TENTACULO C/B C/V SR 100-300 g/pza (SUCIO)</v>
      </c>
      <c r="E42" s="2184">
        <f>+'T1'!Q42</f>
        <v>0</v>
      </c>
      <c r="F42" s="2185">
        <f>+'T1 (2)'!Y42</f>
        <v>0</v>
      </c>
      <c r="G42" s="2185">
        <f>+'T2'!Q42</f>
        <v>0</v>
      </c>
      <c r="H42" s="2185">
        <f>+'T2 (2)'!Q46</f>
        <v>0</v>
      </c>
      <c r="I42" s="2185">
        <f>+'T3'!Y42</f>
        <v>0</v>
      </c>
      <c r="J42" s="2185">
        <f>+'T3 (2)'!Y42</f>
        <v>0</v>
      </c>
      <c r="K42" s="2185">
        <f>+'T4'!Y42</f>
        <v>0</v>
      </c>
      <c r="L42" s="2185">
        <f>+'T4 (2)'!Y42</f>
        <v>0</v>
      </c>
      <c r="M42" s="2185">
        <f>+'T5'!AB42</f>
        <v>0</v>
      </c>
      <c r="N42" s="2185">
        <f>+'T5 (2)'!AB42</f>
        <v>0</v>
      </c>
      <c r="O42" s="2185">
        <f>+'T6'!W42</f>
        <v>0</v>
      </c>
      <c r="P42" s="2186">
        <f>+'T6 (2)'!W42</f>
        <v>0</v>
      </c>
      <c r="Q42" s="1975">
        <f t="shared" si="0"/>
        <v>0</v>
      </c>
      <c r="R42" s="172">
        <f t="shared" si="10"/>
        <v>0</v>
      </c>
      <c r="S42" s="1973">
        <f t="shared" si="11"/>
        <v>0</v>
      </c>
      <c r="T42" s="1971">
        <f>SUM(S42:S52)</f>
        <v>0</v>
      </c>
      <c r="V42" s="452"/>
      <c r="W42" s="452"/>
      <c r="Y42" s="3014"/>
      <c r="Z42" s="3014"/>
      <c r="AA42" s="3014"/>
      <c r="AB42" s="3014"/>
      <c r="AC42" s="947"/>
      <c r="AD42" s="1195"/>
      <c r="AE42" s="947"/>
    </row>
    <row r="43" spans="1:32" ht="45.75">
      <c r="A43" s="2257"/>
      <c r="C43" s="42">
        <f>+PP!B61</f>
        <v>38</v>
      </c>
      <c r="D43" s="1024" t="str">
        <f>+PP!C61</f>
        <v>TENTACULO C/B C/V SR 300-500 g/pza (SUCIO)</v>
      </c>
      <c r="E43" s="2187">
        <f>+'T1'!Q43</f>
        <v>0</v>
      </c>
      <c r="F43" s="2052">
        <f>+'T1 (2)'!Y43</f>
        <v>0</v>
      </c>
      <c r="G43" s="2052">
        <f>+'T2'!Q43</f>
        <v>0</v>
      </c>
      <c r="H43" s="2052">
        <f>+'T2 (2)'!Q47</f>
        <v>0</v>
      </c>
      <c r="I43" s="2052">
        <f>+'T3'!Y43</f>
        <v>0</v>
      </c>
      <c r="J43" s="2052">
        <f>+'T3 (2)'!Y43</f>
        <v>0</v>
      </c>
      <c r="K43" s="2052">
        <f>+'T4'!Y43</f>
        <v>0</v>
      </c>
      <c r="L43" s="2052">
        <f>+'T4 (2)'!Y43</f>
        <v>0</v>
      </c>
      <c r="M43" s="2052">
        <f>+'T5'!AB43</f>
        <v>0</v>
      </c>
      <c r="N43" s="2052">
        <f>+'T5 (2)'!AB43</f>
        <v>0</v>
      </c>
      <c r="O43" s="2052">
        <f>+'T6'!W43</f>
        <v>0</v>
      </c>
      <c r="P43" s="2188">
        <f>+'T6 (2)'!W43</f>
        <v>0</v>
      </c>
      <c r="Q43" s="1975">
        <f t="shared" si="0"/>
        <v>0</v>
      </c>
      <c r="R43" s="172">
        <f t="shared" si="10"/>
        <v>0</v>
      </c>
      <c r="S43" s="174">
        <f t="shared" si="11"/>
        <v>0</v>
      </c>
      <c r="T43" s="192"/>
      <c r="V43" s="1719"/>
      <c r="W43" s="452"/>
      <c r="Y43" s="3014"/>
      <c r="Z43" s="3014"/>
      <c r="AA43" s="3014"/>
      <c r="AB43" s="3014"/>
      <c r="AC43" s="947"/>
      <c r="AD43" s="1195"/>
      <c r="AE43" s="947"/>
    </row>
    <row r="44" spans="1:32" ht="45.75">
      <c r="A44" s="2257"/>
      <c r="C44" s="42">
        <f>+PP!B62</f>
        <v>39</v>
      </c>
      <c r="D44" s="1024" t="str">
        <f>+PP!C62</f>
        <v>TENTACULO C/B S/V SR 100-300 g/pza</v>
      </c>
      <c r="E44" s="2187">
        <f>+'T1'!Q44</f>
        <v>0</v>
      </c>
      <c r="F44" s="2052">
        <f>+'T1 (2)'!Y44</f>
        <v>0</v>
      </c>
      <c r="G44" s="2052">
        <f>+'T2'!Q44</f>
        <v>0</v>
      </c>
      <c r="H44" s="2052">
        <f>+'T2 (2)'!Q48</f>
        <v>0</v>
      </c>
      <c r="I44" s="2052">
        <f>+'T3'!Y44</f>
        <v>0</v>
      </c>
      <c r="J44" s="2052">
        <f>+'T3 (2)'!Y44</f>
        <v>0</v>
      </c>
      <c r="K44" s="2052">
        <f>+'T4'!Y44</f>
        <v>0</v>
      </c>
      <c r="L44" s="2052">
        <f>+'T4 (2)'!Y44</f>
        <v>0</v>
      </c>
      <c r="M44" s="2052">
        <f>+'T5'!AB44</f>
        <v>0</v>
      </c>
      <c r="N44" s="2052">
        <f>+'T5 (2)'!AB44</f>
        <v>0</v>
      </c>
      <c r="O44" s="2052">
        <f>+'T6'!W44</f>
        <v>0</v>
      </c>
      <c r="P44" s="2188">
        <f>+'T6 (2)'!W44</f>
        <v>0</v>
      </c>
      <c r="Q44" s="1975">
        <f t="shared" si="0"/>
        <v>0</v>
      </c>
      <c r="R44" s="172">
        <f t="shared" si="10"/>
        <v>0</v>
      </c>
      <c r="S44" s="174">
        <f t="shared" si="11"/>
        <v>0</v>
      </c>
      <c r="V44" s="452"/>
      <c r="W44" s="452"/>
      <c r="Y44" s="3014"/>
      <c r="Z44" s="3014"/>
      <c r="AA44" s="3014"/>
      <c r="AB44" s="3014"/>
      <c r="AC44" s="947"/>
      <c r="AD44" s="1195"/>
      <c r="AE44" s="947"/>
    </row>
    <row r="45" spans="1:32" ht="45.75">
      <c r="A45" s="2257"/>
      <c r="C45" s="42">
        <f>+PP!B63</f>
        <v>40</v>
      </c>
      <c r="D45" s="1024" t="str">
        <f>+PP!C63</f>
        <v>TENTACULO C/B C/V SR 100-500 g/pza (SUCIO)</v>
      </c>
      <c r="E45" s="2187">
        <f>+'T1'!Q45</f>
        <v>0</v>
      </c>
      <c r="F45" s="2052">
        <f>+'T1 (2)'!Y45</f>
        <v>0</v>
      </c>
      <c r="G45" s="2052">
        <f>+'T2'!Q45</f>
        <v>0</v>
      </c>
      <c r="H45" s="2052">
        <f>+'T2 (2)'!Q49</f>
        <v>0</v>
      </c>
      <c r="I45" s="2052">
        <f>+'T3'!Y45</f>
        <v>0</v>
      </c>
      <c r="J45" s="2052">
        <f>+'T3 (2)'!Y45</f>
        <v>0</v>
      </c>
      <c r="K45" s="2052">
        <f>+'T4'!Y45</f>
        <v>0</v>
      </c>
      <c r="L45" s="2052">
        <f>+'T4 (2)'!Y45</f>
        <v>0</v>
      </c>
      <c r="M45" s="2052">
        <f>+'T5'!AB45</f>
        <v>0</v>
      </c>
      <c r="N45" s="2052">
        <f>+'T5 (2)'!AB45</f>
        <v>0</v>
      </c>
      <c r="O45" s="2052">
        <f>+'T6'!W45</f>
        <v>0</v>
      </c>
      <c r="P45" s="2188">
        <f>+'T6 (2)'!W45</f>
        <v>0</v>
      </c>
      <c r="Q45" s="1975">
        <f t="shared" si="0"/>
        <v>0</v>
      </c>
      <c r="R45" s="172">
        <f t="shared" si="10"/>
        <v>0</v>
      </c>
      <c r="S45" s="174">
        <f t="shared" si="11"/>
        <v>0</v>
      </c>
      <c r="V45" s="452"/>
      <c r="W45" s="452"/>
      <c r="Y45" s="3014"/>
      <c r="Z45" s="3014"/>
      <c r="AA45" s="3014"/>
      <c r="AB45" s="3014"/>
      <c r="AC45" s="26"/>
      <c r="AE45" s="26">
        <v>8</v>
      </c>
    </row>
    <row r="46" spans="1:32" ht="45.75">
      <c r="A46" s="2257"/>
      <c r="C46" s="42">
        <f>+PP!B64</f>
        <v>41</v>
      </c>
      <c r="D46" s="1024" t="str">
        <f>+PP!C64</f>
        <v>TENTACULO C/B S/V SR 100-500 g/pza</v>
      </c>
      <c r="E46" s="2187">
        <f>+'T1'!Q46</f>
        <v>0</v>
      </c>
      <c r="F46" s="2052">
        <f>+'T1 (2)'!Y46</f>
        <v>0</v>
      </c>
      <c r="G46" s="2052">
        <f>+'T2'!Q46</f>
        <v>0</v>
      </c>
      <c r="H46" s="2052">
        <f>+'T2 (2)'!Q50</f>
        <v>0</v>
      </c>
      <c r="I46" s="2052">
        <f>+'T3'!Y46</f>
        <v>0</v>
      </c>
      <c r="J46" s="2052">
        <f>+'T3 (2)'!Y46</f>
        <v>0</v>
      </c>
      <c r="K46" s="2052">
        <f>+'T4'!Y46</f>
        <v>0</v>
      </c>
      <c r="L46" s="2052">
        <f>+'T4 (2)'!Y46</f>
        <v>0</v>
      </c>
      <c r="M46" s="2052">
        <f>+'T5'!AB46</f>
        <v>0</v>
      </c>
      <c r="N46" s="2052">
        <f>+'T5 (2)'!AB46</f>
        <v>0</v>
      </c>
      <c r="O46" s="2052">
        <f>+'T6'!W46</f>
        <v>0</v>
      </c>
      <c r="P46" s="2188">
        <f>+'T6 (2)'!W46</f>
        <v>0</v>
      </c>
      <c r="Q46" s="1975">
        <f t="shared" si="0"/>
        <v>0</v>
      </c>
      <c r="R46" s="172">
        <f t="shared" si="10"/>
        <v>0</v>
      </c>
      <c r="S46" s="174">
        <f t="shared" si="11"/>
        <v>0</v>
      </c>
      <c r="V46" s="452"/>
      <c r="W46" s="452"/>
      <c r="Y46" s="3014"/>
      <c r="Z46" s="3014"/>
      <c r="AA46" s="3014"/>
      <c r="AB46" s="3014"/>
      <c r="AC46" s="26"/>
    </row>
    <row r="47" spans="1:32" ht="45.75">
      <c r="A47" s="2257"/>
      <c r="C47" s="42">
        <f>+PP!B65</f>
        <v>42</v>
      </c>
      <c r="D47" s="1024" t="str">
        <f>+PP!C65</f>
        <v>TENTACULO C/B S/V SR 300-500 g/pza</v>
      </c>
      <c r="E47" s="2187">
        <f>+'T1'!Q47</f>
        <v>0</v>
      </c>
      <c r="F47" s="2052">
        <f>+'T1 (2)'!Y47</f>
        <v>0</v>
      </c>
      <c r="G47" s="2052">
        <f>+'T2'!Q47</f>
        <v>0</v>
      </c>
      <c r="H47" s="2052">
        <f>+'T2 (2)'!Q51</f>
        <v>0</v>
      </c>
      <c r="I47" s="2052">
        <f>+'T3'!Y47</f>
        <v>0</v>
      </c>
      <c r="J47" s="2052">
        <f>+'T3 (2)'!Y47</f>
        <v>0</v>
      </c>
      <c r="K47" s="2052">
        <f>+'T4'!Y47</f>
        <v>0</v>
      </c>
      <c r="L47" s="2052">
        <f>+'T4 (2)'!Y47</f>
        <v>0</v>
      </c>
      <c r="M47" s="2052">
        <f>+'T5'!AB47</f>
        <v>0</v>
      </c>
      <c r="N47" s="2052">
        <f>+'T5 (2)'!AB47</f>
        <v>0</v>
      </c>
      <c r="O47" s="2052">
        <f>+'T6'!W47</f>
        <v>0</v>
      </c>
      <c r="P47" s="2188">
        <f>+'T6 (2)'!W47</f>
        <v>0</v>
      </c>
      <c r="Q47" s="1975">
        <f t="shared" si="0"/>
        <v>0</v>
      </c>
      <c r="R47" s="172">
        <f t="shared" si="10"/>
        <v>0</v>
      </c>
      <c r="S47" s="174">
        <f t="shared" si="11"/>
        <v>0</v>
      </c>
      <c r="V47" s="452"/>
      <c r="W47" s="452"/>
      <c r="Y47" s="3014"/>
      <c r="Z47" s="3014"/>
      <c r="AA47" s="3014"/>
      <c r="AB47" s="3014"/>
      <c r="AC47" s="26"/>
    </row>
    <row r="48" spans="1:32" ht="45.75">
      <c r="A48" s="2257"/>
      <c r="C48" s="42">
        <f>+PP!B66</f>
        <v>43</v>
      </c>
      <c r="D48" s="1024" t="str">
        <f>+PP!C66</f>
        <v>TENTACULO C/B C/V SR 500-1000 g/pza (SUCIO)</v>
      </c>
      <c r="E48" s="2187">
        <f>+'T1'!Q48</f>
        <v>0</v>
      </c>
      <c r="F48" s="2052">
        <f>+'T1 (2)'!Y48</f>
        <v>0</v>
      </c>
      <c r="G48" s="2052">
        <f>+'T2'!Q48</f>
        <v>0</v>
      </c>
      <c r="H48" s="2052">
        <f>+'T2 (2)'!Q52</f>
        <v>0</v>
      </c>
      <c r="I48" s="2052">
        <f>+'T3'!Y48</f>
        <v>0</v>
      </c>
      <c r="J48" s="2052">
        <f>+'T3 (2)'!Y48</f>
        <v>0</v>
      </c>
      <c r="K48" s="2052">
        <f>+'T4'!Y48</f>
        <v>0</v>
      </c>
      <c r="L48" s="2052">
        <f>+'T4 (2)'!Y48</f>
        <v>0</v>
      </c>
      <c r="M48" s="2052">
        <f>+'T5'!AB48</f>
        <v>0</v>
      </c>
      <c r="N48" s="2052">
        <f>+'T5 (2)'!AB48</f>
        <v>0</v>
      </c>
      <c r="O48" s="2052">
        <f>+'T6'!W48</f>
        <v>0</v>
      </c>
      <c r="P48" s="2188">
        <f>+'T6 (2)'!W48</f>
        <v>0</v>
      </c>
      <c r="Q48" s="1975">
        <f t="shared" si="0"/>
        <v>0</v>
      </c>
      <c r="R48" s="172">
        <f t="shared" si="10"/>
        <v>0</v>
      </c>
      <c r="S48" s="174">
        <f t="shared" si="11"/>
        <v>0</v>
      </c>
      <c r="V48" s="452"/>
      <c r="W48" s="452"/>
      <c r="Y48" s="3014"/>
      <c r="Z48" s="3014"/>
      <c r="AA48" s="3014"/>
      <c r="AB48" s="3014"/>
      <c r="AC48" s="26"/>
    </row>
    <row r="49" spans="1:28" ht="45.75">
      <c r="A49" s="2257"/>
      <c r="C49" s="42">
        <f>+PP!B67</f>
        <v>44</v>
      </c>
      <c r="D49" s="1024" t="str">
        <f>+PP!C67</f>
        <v>TENTACULO C/B S/V SR 500-1000 g/pza</v>
      </c>
      <c r="E49" s="2187">
        <f>+'T1'!Q49</f>
        <v>0</v>
      </c>
      <c r="F49" s="2052">
        <f>+'T1 (2)'!Y49</f>
        <v>0</v>
      </c>
      <c r="G49" s="2052">
        <f>+'T2'!Q49</f>
        <v>0</v>
      </c>
      <c r="H49" s="2052">
        <f>+'T2 (2)'!Q53</f>
        <v>0</v>
      </c>
      <c r="I49" s="2052">
        <f>+'T3'!Y49</f>
        <v>0</v>
      </c>
      <c r="J49" s="2052">
        <f>+'T3 (2)'!Y49</f>
        <v>0</v>
      </c>
      <c r="K49" s="2052">
        <f>+'T4'!Y49</f>
        <v>0</v>
      </c>
      <c r="L49" s="2052">
        <f>+'T4 (2)'!Y49</f>
        <v>0</v>
      </c>
      <c r="M49" s="2052">
        <f>+'T5'!AB49</f>
        <v>0</v>
      </c>
      <c r="N49" s="2052">
        <f>+'T5 (2)'!AB49</f>
        <v>0</v>
      </c>
      <c r="O49" s="2052">
        <f>+'T6'!W49</f>
        <v>0</v>
      </c>
      <c r="P49" s="2188">
        <f>+'T6 (2)'!W49</f>
        <v>0</v>
      </c>
      <c r="Q49" s="1975">
        <f t="shared" si="0"/>
        <v>0</v>
      </c>
      <c r="R49" s="172">
        <f t="shared" si="10"/>
        <v>0</v>
      </c>
      <c r="S49" s="174">
        <f t="shared" si="11"/>
        <v>0</v>
      </c>
      <c r="V49" s="452"/>
      <c r="W49" s="452"/>
      <c r="AB49" s="26"/>
    </row>
    <row r="50" spans="1:28" ht="45.75">
      <c r="A50" s="2257"/>
      <c r="C50" s="42">
        <f>+PP!B68</f>
        <v>45</v>
      </c>
      <c r="D50" s="1024" t="str">
        <f>+PP!C68</f>
        <v>TENTACULO C/B C/V SR 1.0-2.0 Kg/pza (SUCIO)</v>
      </c>
      <c r="E50" s="2187">
        <f>+'T1'!Q50</f>
        <v>0</v>
      </c>
      <c r="F50" s="2052">
        <f>+'T1 (2)'!Y50</f>
        <v>0</v>
      </c>
      <c r="G50" s="2052">
        <f>+'T2'!Q50</f>
        <v>0</v>
      </c>
      <c r="H50" s="2052">
        <f>+'T2 (2)'!Q54</f>
        <v>0</v>
      </c>
      <c r="I50" s="2052">
        <f>+'T3'!Y50</f>
        <v>0</v>
      </c>
      <c r="J50" s="2052">
        <f>+'T3 (2)'!Y50</f>
        <v>0</v>
      </c>
      <c r="K50" s="2052">
        <f>+'T4'!Y50</f>
        <v>0</v>
      </c>
      <c r="L50" s="2052">
        <f>+'T4 (2)'!Y50</f>
        <v>0</v>
      </c>
      <c r="M50" s="2052">
        <f>+'T5'!AB50</f>
        <v>0</v>
      </c>
      <c r="N50" s="2052">
        <f>+'T5 (2)'!AB50</f>
        <v>0</v>
      </c>
      <c r="O50" s="2052">
        <f>+'T6'!W50</f>
        <v>0</v>
      </c>
      <c r="P50" s="2188">
        <f>+'T6 (2)'!W50</f>
        <v>0</v>
      </c>
      <c r="Q50" s="1975">
        <f t="shared" si="0"/>
        <v>0</v>
      </c>
      <c r="R50" s="172">
        <f t="shared" si="10"/>
        <v>0</v>
      </c>
      <c r="S50" s="174">
        <f t="shared" si="11"/>
        <v>0</v>
      </c>
      <c r="V50" s="452"/>
      <c r="W50" s="452"/>
      <c r="AB50" s="26"/>
    </row>
    <row r="51" spans="1:28" ht="45.75">
      <c r="A51" s="2257"/>
      <c r="C51" s="42">
        <f>+PP!B69</f>
        <v>46</v>
      </c>
      <c r="D51" s="1024" t="str">
        <f>+PP!C69</f>
        <v>TENTACULO C/B S/V SR 1.0-2.0 Kg/pza</v>
      </c>
      <c r="E51" s="2187">
        <f>+'T1'!Q51</f>
        <v>0</v>
      </c>
      <c r="F51" s="2052">
        <f>+'T1 (2)'!Y51</f>
        <v>0</v>
      </c>
      <c r="G51" s="2052">
        <f>+'T2'!Q51</f>
        <v>0</v>
      </c>
      <c r="H51" s="2052">
        <f>+'T2 (2)'!Q55</f>
        <v>0</v>
      </c>
      <c r="I51" s="2052">
        <f>+'T3'!Y51</f>
        <v>0</v>
      </c>
      <c r="J51" s="2052">
        <f>+'T3 (2)'!Y51</f>
        <v>0</v>
      </c>
      <c r="K51" s="2052">
        <f>+'T4'!Y51</f>
        <v>0</v>
      </c>
      <c r="L51" s="2052">
        <f>+'T4 (2)'!Y51</f>
        <v>0</v>
      </c>
      <c r="M51" s="2052">
        <f>+'T5'!AB51</f>
        <v>0</v>
      </c>
      <c r="N51" s="2052">
        <f>+'T5 (2)'!AB51</f>
        <v>0</v>
      </c>
      <c r="O51" s="2052">
        <f>+'T6'!W51</f>
        <v>0</v>
      </c>
      <c r="P51" s="2188">
        <f>+'T6 (2)'!W51</f>
        <v>0</v>
      </c>
      <c r="Q51" s="1975">
        <f t="shared" si="0"/>
        <v>0</v>
      </c>
      <c r="R51" s="172">
        <f t="shared" si="10"/>
        <v>0</v>
      </c>
      <c r="S51" s="174">
        <f t="shared" si="11"/>
        <v>0</v>
      </c>
      <c r="V51" s="452"/>
      <c r="W51" s="452"/>
      <c r="Y51" s="98"/>
      <c r="Z51" s="98"/>
      <c r="AA51" s="98"/>
      <c r="AB51" s="98"/>
    </row>
    <row r="52" spans="1:28" ht="46.5" thickBot="1">
      <c r="A52" s="2257"/>
      <c r="C52" s="42">
        <f>+PP!B70</f>
        <v>47</v>
      </c>
      <c r="D52" s="1025" t="str">
        <f>+PP!C70</f>
        <v>TENTACULO C/B S/V SR 2 UP Kg/pza</v>
      </c>
      <c r="E52" s="2189">
        <f>+'T1'!Q52</f>
        <v>0</v>
      </c>
      <c r="F52" s="2190">
        <f>+'T1 (2)'!Y52</f>
        <v>0</v>
      </c>
      <c r="G52" s="2190">
        <f>+'T2'!Q52</f>
        <v>0</v>
      </c>
      <c r="H52" s="2190">
        <f>+'T2 (2)'!Q56</f>
        <v>0</v>
      </c>
      <c r="I52" s="2190">
        <f>+'T3'!Y52</f>
        <v>0</v>
      </c>
      <c r="J52" s="2190">
        <f>+'T3 (2)'!Y52</f>
        <v>0</v>
      </c>
      <c r="K52" s="2190">
        <f>+'T4'!Y52</f>
        <v>0</v>
      </c>
      <c r="L52" s="2190">
        <f>+'T4 (2)'!Y52</f>
        <v>0</v>
      </c>
      <c r="M52" s="2190">
        <f>+'T5'!AB52</f>
        <v>0</v>
      </c>
      <c r="N52" s="2190">
        <f>+'T5 (2)'!AB52</f>
        <v>0</v>
      </c>
      <c r="O52" s="2190">
        <f>+'T6'!W52</f>
        <v>0</v>
      </c>
      <c r="P52" s="2191">
        <f>+'T6 (2)'!W52</f>
        <v>0</v>
      </c>
      <c r="Q52" s="1978">
        <f t="shared" si="0"/>
        <v>0</v>
      </c>
      <c r="R52" s="172">
        <f t="shared" si="10"/>
        <v>0</v>
      </c>
      <c r="S52" s="174">
        <f t="shared" si="11"/>
        <v>0</v>
      </c>
      <c r="V52" s="452"/>
      <c r="W52" s="452"/>
      <c r="Y52" s="98"/>
      <c r="Z52" s="98"/>
      <c r="AA52" s="98"/>
      <c r="AB52" s="98"/>
    </row>
    <row r="53" spans="1:28" ht="46.5" thickBot="1">
      <c r="A53" s="2257"/>
      <c r="C53" s="40">
        <f>+PP!B71</f>
        <v>48</v>
      </c>
      <c r="D53" s="1196" t="str">
        <f>+PP!C71</f>
        <v>TUBO ALETA 500-1000 g/pza</v>
      </c>
      <c r="E53" s="2192">
        <f>+'T1'!Q53</f>
        <v>0</v>
      </c>
      <c r="F53" s="2193">
        <f>+'T1 (2)'!Y53</f>
        <v>0</v>
      </c>
      <c r="G53" s="2193">
        <f>+'T2'!Q53</f>
        <v>0</v>
      </c>
      <c r="H53" s="2193">
        <f>+'T2 (2)'!Q57</f>
        <v>0</v>
      </c>
      <c r="I53" s="2193">
        <f>+'T3'!Y53</f>
        <v>0</v>
      </c>
      <c r="J53" s="2193">
        <f>+'T3 (2)'!Y53</f>
        <v>0</v>
      </c>
      <c r="K53" s="2193">
        <f>+'T4'!Y53</f>
        <v>0</v>
      </c>
      <c r="L53" s="2193">
        <f>+'T4 (2)'!Y53</f>
        <v>0</v>
      </c>
      <c r="M53" s="2193">
        <f>+'T5'!AB53</f>
        <v>0</v>
      </c>
      <c r="N53" s="2193">
        <f>+'T5 (2)'!AB53</f>
        <v>0</v>
      </c>
      <c r="O53" s="2193">
        <f>+'T6'!W53</f>
        <v>0</v>
      </c>
      <c r="P53" s="2194">
        <f>+'T6 (2)'!W53</f>
        <v>0</v>
      </c>
      <c r="Q53" s="1977">
        <f t="shared" si="0"/>
        <v>0</v>
      </c>
      <c r="R53" s="55">
        <f t="shared" si="10"/>
        <v>0</v>
      </c>
      <c r="S53" s="56">
        <f t="shared" si="11"/>
        <v>0</v>
      </c>
      <c r="V53" s="452"/>
      <c r="W53" s="452"/>
      <c r="Y53" s="98"/>
      <c r="Z53" s="98"/>
      <c r="AA53" s="98"/>
      <c r="AB53" s="98"/>
    </row>
    <row r="54" spans="1:28" ht="70.150000000000006" customHeight="1" thickBot="1">
      <c r="A54" s="2257"/>
      <c r="D54" s="953" t="s">
        <v>38</v>
      </c>
      <c r="E54" s="540">
        <f t="shared" ref="E54:F54" si="12">SUM(E6:E53)</f>
        <v>0</v>
      </c>
      <c r="F54" s="540">
        <f t="shared" si="12"/>
        <v>0</v>
      </c>
      <c r="G54" s="540">
        <f t="shared" ref="G54:R54" si="13">SUM(G6:G53)</f>
        <v>0</v>
      </c>
      <c r="H54" s="540">
        <f t="shared" si="13"/>
        <v>0</v>
      </c>
      <c r="I54" s="540">
        <f t="shared" si="13"/>
        <v>0</v>
      </c>
      <c r="J54" s="540">
        <f t="shared" si="13"/>
        <v>0</v>
      </c>
      <c r="K54" s="540">
        <f t="shared" si="13"/>
        <v>0</v>
      </c>
      <c r="L54" s="540">
        <f t="shared" si="13"/>
        <v>0</v>
      </c>
      <c r="M54" s="540">
        <f t="shared" si="13"/>
        <v>0</v>
      </c>
      <c r="N54" s="2050">
        <f t="shared" si="13"/>
        <v>0</v>
      </c>
      <c r="O54" s="2050">
        <f t="shared" si="13"/>
        <v>0</v>
      </c>
      <c r="P54" s="540">
        <f t="shared" si="13"/>
        <v>0</v>
      </c>
      <c r="Q54" s="57">
        <f t="shared" si="13"/>
        <v>0</v>
      </c>
      <c r="R54" s="58">
        <f t="shared" si="13"/>
        <v>0</v>
      </c>
      <c r="S54" s="59">
        <f>SUM(S6:S53)</f>
        <v>0</v>
      </c>
      <c r="T54" s="210">
        <f>+T13+T23+T31+T42+T30</f>
        <v>0</v>
      </c>
      <c r="V54" s="452"/>
      <c r="W54" s="452"/>
      <c r="Y54" s="98"/>
      <c r="Z54" s="98"/>
      <c r="AA54" s="98"/>
      <c r="AB54" s="98"/>
    </row>
    <row r="55" spans="1:28" ht="46.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V55" s="452"/>
      <c r="W55" s="452"/>
      <c r="Y55" s="98"/>
      <c r="Z55" s="98"/>
      <c r="AA55" s="98"/>
      <c r="AB55" s="98"/>
    </row>
    <row r="56" spans="1:28" ht="69" customHeight="1" thickBot="1">
      <c r="D56" s="96" t="s">
        <v>156</v>
      </c>
      <c r="E56" s="97" t="s">
        <v>114</v>
      </c>
      <c r="F56" s="97" t="s">
        <v>114</v>
      </c>
      <c r="G56" s="97" t="s">
        <v>114</v>
      </c>
      <c r="H56" s="97" t="s">
        <v>114</v>
      </c>
      <c r="I56" s="97" t="s">
        <v>115</v>
      </c>
      <c r="J56" s="97" t="s">
        <v>115</v>
      </c>
      <c r="K56" s="97" t="s">
        <v>119</v>
      </c>
      <c r="L56" s="97" t="s">
        <v>119</v>
      </c>
      <c r="M56" s="97" t="s">
        <v>121</v>
      </c>
      <c r="N56" s="97" t="s">
        <v>121</v>
      </c>
      <c r="O56" s="97" t="s">
        <v>119</v>
      </c>
      <c r="P56" s="97" t="s">
        <v>119</v>
      </c>
      <c r="V56" s="452"/>
      <c r="W56" s="452"/>
      <c r="Y56" s="98"/>
      <c r="Z56" s="98"/>
      <c r="AA56" s="98"/>
      <c r="AB56" s="98"/>
    </row>
    <row r="57" spans="1:28" ht="63.75" customHeight="1">
      <c r="I57" s="30"/>
      <c r="J57" s="30"/>
      <c r="K57" s="30"/>
      <c r="L57" s="30"/>
      <c r="M57" s="30"/>
      <c r="N57" s="30"/>
      <c r="O57" s="30"/>
      <c r="P57" s="30"/>
      <c r="Q57" s="175" t="s">
        <v>77</v>
      </c>
      <c r="R57" s="44" t="str">
        <f>IFERROR(+S54/PP!K19*100,"")</f>
        <v/>
      </c>
      <c r="V57" s="1720"/>
      <c r="W57" s="452"/>
      <c r="AB57" s="26"/>
    </row>
    <row r="58" spans="1:28" ht="30">
      <c r="I58" s="30"/>
      <c r="J58" s="30"/>
      <c r="K58" s="30"/>
      <c r="L58" s="30"/>
      <c r="M58" s="30"/>
      <c r="N58" s="30"/>
      <c r="O58" s="30"/>
      <c r="P58" s="30"/>
      <c r="V58" s="452"/>
      <c r="W58" s="452"/>
      <c r="AB58" s="26"/>
    </row>
    <row r="59" spans="1:28">
      <c r="V59" s="452"/>
      <c r="W59" s="452"/>
      <c r="AB59" s="26"/>
    </row>
    <row r="60" spans="1:28">
      <c r="V60" s="452"/>
      <c r="W60" s="452"/>
      <c r="AB60" s="26"/>
    </row>
    <row r="61" spans="1:28" ht="88.5">
      <c r="D61" s="1194"/>
      <c r="E61" s="2033"/>
      <c r="F61" s="1194"/>
      <c r="G61" s="1194"/>
      <c r="H61" s="1194"/>
      <c r="I61" s="1194"/>
      <c r="J61" s="1194"/>
      <c r="K61" s="1194"/>
      <c r="L61" s="1194"/>
      <c r="M61" s="1194"/>
      <c r="N61" s="1194"/>
      <c r="O61" s="1194"/>
      <c r="P61" s="1194"/>
      <c r="Q61" s="1194"/>
      <c r="R61" s="1194"/>
      <c r="S61" s="1194"/>
      <c r="V61" s="452"/>
      <c r="W61" s="452"/>
      <c r="AB61" s="26"/>
    </row>
    <row r="62" spans="1:28" ht="88.5">
      <c r="D62" s="1194"/>
      <c r="E62" s="1194"/>
      <c r="F62" s="1194"/>
      <c r="G62" s="1194"/>
      <c r="H62" s="1194"/>
      <c r="I62" s="1194"/>
      <c r="J62" s="1194"/>
      <c r="K62" s="1194"/>
      <c r="L62" s="1194"/>
      <c r="M62" s="1194"/>
      <c r="N62" s="1194"/>
      <c r="O62" s="1194"/>
      <c r="P62" s="1194"/>
      <c r="Q62" s="1194"/>
      <c r="R62" s="1194"/>
      <c r="S62" s="1194"/>
      <c r="V62" s="452"/>
      <c r="W62" s="452"/>
      <c r="AB62" s="26"/>
    </row>
    <row r="63" spans="1:28" ht="88.5">
      <c r="D63" s="1194"/>
      <c r="E63" s="1194"/>
      <c r="F63" s="1194"/>
      <c r="G63" s="1194"/>
      <c r="H63" s="1194"/>
      <c r="I63" s="1194"/>
      <c r="J63" s="1194"/>
      <c r="K63" s="1194"/>
      <c r="L63" s="1194"/>
      <c r="M63" s="1194"/>
      <c r="N63" s="1194"/>
      <c r="O63" s="1194"/>
      <c r="P63" s="1194"/>
      <c r="Q63" s="1194"/>
      <c r="R63" s="1194"/>
      <c r="S63" s="1194"/>
      <c r="AB63" s="26"/>
    </row>
    <row r="64" spans="1:28" ht="88.5">
      <c r="D64" s="1194"/>
      <c r="E64" s="1194"/>
      <c r="F64" s="1194"/>
      <c r="G64" s="1194"/>
      <c r="H64" s="1194"/>
      <c r="I64" s="1194"/>
      <c r="J64" s="1194"/>
      <c r="K64" s="1194"/>
      <c r="L64" s="1194"/>
      <c r="M64" s="1194"/>
      <c r="N64" s="1194"/>
      <c r="O64" s="1194"/>
      <c r="P64" s="1194"/>
      <c r="Q64" s="1194"/>
      <c r="R64" s="1194"/>
      <c r="S64" s="1194"/>
      <c r="AB64" s="26"/>
    </row>
    <row r="65" spans="4:28" ht="88.5">
      <c r="D65" s="1194"/>
      <c r="E65" s="1194"/>
      <c r="F65" s="1194"/>
      <c r="G65" s="1194"/>
      <c r="H65" s="1194"/>
      <c r="I65" s="1194"/>
      <c r="J65" s="1194"/>
      <c r="K65" s="1194"/>
      <c r="L65" s="1194"/>
      <c r="M65" s="1194"/>
      <c r="N65" s="1194"/>
      <c r="O65" s="1194"/>
      <c r="P65" s="1194"/>
      <c r="Q65" s="1194"/>
      <c r="R65" s="1194"/>
      <c r="S65" s="1194"/>
      <c r="AB65" s="26"/>
    </row>
    <row r="66" spans="4:28" ht="88.5">
      <c r="D66" s="1194"/>
      <c r="E66" s="1194"/>
      <c r="F66" s="1194"/>
      <c r="G66" s="1194"/>
      <c r="H66" s="1194"/>
      <c r="I66" s="1194"/>
      <c r="J66" s="1194"/>
      <c r="K66" s="1194"/>
      <c r="L66" s="1194"/>
      <c r="M66" s="1194"/>
      <c r="N66" s="1194"/>
      <c r="O66" s="1194"/>
      <c r="P66" s="1194"/>
      <c r="Q66" s="1194"/>
      <c r="R66" s="1194"/>
      <c r="S66" s="1194"/>
    </row>
    <row r="67" spans="4:28" ht="88.5">
      <c r="D67" s="1194"/>
      <c r="E67" s="1194"/>
      <c r="F67" s="1194"/>
      <c r="G67" s="1194"/>
      <c r="H67" s="1194"/>
      <c r="I67" s="1194"/>
      <c r="J67" s="1194"/>
      <c r="K67" s="1194"/>
      <c r="L67" s="1194"/>
      <c r="M67" s="1194"/>
      <c r="N67" s="1194"/>
      <c r="O67" s="1194"/>
      <c r="P67" s="1194"/>
      <c r="Q67" s="1194"/>
      <c r="R67" s="1194"/>
      <c r="S67" s="1194"/>
    </row>
    <row r="68" spans="4:28" ht="88.5">
      <c r="D68" s="1194"/>
      <c r="E68" s="1194"/>
      <c r="F68" s="1194"/>
      <c r="G68" s="1194"/>
      <c r="H68" s="1194"/>
      <c r="I68" s="1194"/>
      <c r="J68" s="1194"/>
      <c r="K68" s="1194"/>
      <c r="L68" s="1194"/>
      <c r="M68" s="1194"/>
      <c r="N68" s="1194"/>
      <c r="O68" s="1194"/>
      <c r="P68" s="1194"/>
      <c r="Q68" s="1194"/>
      <c r="R68" s="1194"/>
      <c r="S68" s="1194"/>
    </row>
    <row r="69" spans="4:28" ht="88.5">
      <c r="D69" s="1194"/>
      <c r="E69" s="1194"/>
      <c r="F69" s="1194"/>
      <c r="G69" s="1194"/>
      <c r="H69" s="1194"/>
      <c r="I69" s="1194"/>
      <c r="J69" s="1194"/>
      <c r="K69" s="1194"/>
      <c r="L69" s="1194"/>
      <c r="M69" s="1194"/>
      <c r="N69" s="1194"/>
      <c r="O69" s="1194"/>
      <c r="P69" s="1194"/>
      <c r="Q69" s="1194"/>
      <c r="R69" s="1194"/>
      <c r="S69" s="1194"/>
    </row>
    <row r="70" spans="4:28" ht="88.5">
      <c r="D70" s="1194"/>
      <c r="E70" s="1194"/>
      <c r="F70" s="1194"/>
      <c r="G70" s="1194"/>
      <c r="H70" s="1194"/>
      <c r="I70" s="1194"/>
      <c r="J70" s="1194"/>
      <c r="K70" s="1194"/>
      <c r="L70" s="1194"/>
      <c r="M70" s="1194"/>
      <c r="N70" s="1194"/>
      <c r="O70" s="1194"/>
      <c r="P70" s="1194"/>
      <c r="Q70" s="1194"/>
      <c r="R70" s="1194"/>
      <c r="S70" s="1194"/>
    </row>
    <row r="71" spans="4:28" ht="88.5">
      <c r="D71" s="1194"/>
      <c r="E71" s="1194"/>
      <c r="F71" s="1194"/>
      <c r="G71" s="1194"/>
      <c r="H71" s="1194"/>
      <c r="I71" s="1194"/>
      <c r="J71" s="1194"/>
      <c r="K71" s="1194"/>
      <c r="L71" s="1194"/>
      <c r="M71" s="1194"/>
      <c r="N71" s="1194"/>
      <c r="O71" s="1194"/>
      <c r="P71" s="1194"/>
      <c r="Q71" s="1194"/>
      <c r="R71" s="1194"/>
      <c r="S71" s="1194"/>
    </row>
    <row r="72" spans="4:28" ht="88.5">
      <c r="D72" s="1194"/>
      <c r="E72" s="1194"/>
      <c r="F72" s="1194"/>
      <c r="G72" s="1194"/>
      <c r="H72" s="1194"/>
      <c r="I72" s="1194"/>
      <c r="J72" s="1194"/>
      <c r="K72" s="1194"/>
      <c r="L72" s="1194"/>
      <c r="M72" s="1194"/>
      <c r="N72" s="1194"/>
      <c r="O72" s="1194"/>
      <c r="P72" s="1194"/>
      <c r="Q72" s="1194"/>
      <c r="R72" s="1194"/>
      <c r="S72" s="1194"/>
    </row>
    <row r="73" spans="4:28" ht="88.5">
      <c r="D73" s="1194"/>
      <c r="E73" s="1194"/>
      <c r="F73" s="1194"/>
      <c r="G73" s="1194"/>
      <c r="H73" s="1194"/>
      <c r="I73" s="1194"/>
      <c r="J73" s="1194"/>
      <c r="K73" s="1194"/>
      <c r="L73" s="1194"/>
      <c r="M73" s="1194"/>
      <c r="N73" s="1194"/>
      <c r="O73" s="1194"/>
      <c r="P73" s="1194"/>
      <c r="Q73" s="1194"/>
      <c r="R73" s="1194"/>
      <c r="S73" s="1194"/>
    </row>
    <row r="74" spans="4:28" ht="88.5">
      <c r="D74" s="1194"/>
      <c r="E74" s="1194"/>
      <c r="F74" s="1194"/>
      <c r="G74" s="1194"/>
      <c r="H74" s="1194"/>
      <c r="I74" s="1194"/>
      <c r="J74" s="1194"/>
      <c r="K74" s="1194"/>
      <c r="L74" s="1194"/>
      <c r="M74" s="1194"/>
      <c r="N74" s="1194"/>
      <c r="O74" s="1194"/>
      <c r="P74" s="1194"/>
      <c r="Q74" s="1194"/>
      <c r="R74" s="1194"/>
      <c r="S74" s="1194"/>
    </row>
    <row r="75" spans="4:28" ht="88.5">
      <c r="D75" s="1194"/>
      <c r="E75" s="1194"/>
      <c r="F75" s="1194"/>
      <c r="G75" s="1194"/>
      <c r="H75" s="1194"/>
      <c r="I75" s="1194"/>
      <c r="J75" s="1194"/>
      <c r="K75" s="1194"/>
      <c r="L75" s="1194"/>
      <c r="M75" s="1194"/>
      <c r="N75" s="1194"/>
      <c r="O75" s="1194"/>
      <c r="P75" s="1194"/>
      <c r="Q75" s="1194"/>
      <c r="R75" s="1194"/>
      <c r="S75" s="1194"/>
    </row>
    <row r="76" spans="4:28" ht="88.5">
      <c r="D76" s="1194"/>
      <c r="E76" s="1194"/>
      <c r="F76" s="1194"/>
      <c r="G76" s="1194"/>
      <c r="H76" s="1194"/>
      <c r="I76" s="1194"/>
      <c r="J76" s="1194"/>
      <c r="K76" s="1194"/>
      <c r="L76" s="1194"/>
      <c r="M76" s="1194"/>
      <c r="N76" s="1194"/>
      <c r="O76" s="1194"/>
      <c r="P76" s="1194"/>
      <c r="Q76" s="1194"/>
      <c r="R76" s="1194"/>
      <c r="S76" s="1194"/>
    </row>
    <row r="77" spans="4:28" ht="88.5">
      <c r="D77" s="1194"/>
      <c r="E77" s="1194"/>
      <c r="F77" s="1194"/>
      <c r="G77" s="1194"/>
      <c r="H77" s="1194"/>
      <c r="I77" s="1194"/>
      <c r="J77" s="1194"/>
      <c r="K77" s="1194"/>
      <c r="L77" s="1194"/>
      <c r="M77" s="1194"/>
      <c r="N77" s="1194"/>
      <c r="O77" s="1194"/>
      <c r="P77" s="1194"/>
      <c r="Q77" s="1194"/>
      <c r="R77" s="1194"/>
      <c r="S77" s="1194"/>
    </row>
    <row r="78" spans="4:28" ht="88.5">
      <c r="D78" s="1194"/>
      <c r="E78" s="1194"/>
      <c r="F78" s="1194"/>
      <c r="G78" s="1194"/>
      <c r="H78" s="1194"/>
      <c r="I78" s="1194"/>
      <c r="J78" s="1194"/>
      <c r="K78" s="1194"/>
      <c r="L78" s="1194"/>
      <c r="M78" s="1194"/>
      <c r="N78" s="1194"/>
      <c r="O78" s="1194"/>
      <c r="P78" s="1194"/>
      <c r="Q78" s="1194"/>
      <c r="R78" s="1194"/>
      <c r="S78" s="1194"/>
    </row>
    <row r="79" spans="4:28" ht="88.5">
      <c r="D79" s="1194"/>
      <c r="E79" s="1194"/>
      <c r="F79" s="1194"/>
      <c r="G79" s="1194"/>
      <c r="H79" s="1194"/>
      <c r="I79" s="1194"/>
      <c r="J79" s="1194"/>
      <c r="K79" s="1194"/>
      <c r="L79" s="1194"/>
      <c r="M79" s="1194"/>
      <c r="N79" s="1194"/>
      <c r="O79" s="1194"/>
      <c r="P79" s="1194"/>
      <c r="Q79" s="1194"/>
      <c r="R79" s="1194"/>
      <c r="S79" s="1194"/>
    </row>
    <row r="80" spans="4:28" ht="88.5">
      <c r="D80" s="1194"/>
      <c r="E80" s="1194"/>
      <c r="F80" s="1194"/>
      <c r="G80" s="1194"/>
      <c r="H80" s="1194"/>
      <c r="I80" s="1194"/>
      <c r="J80" s="1194"/>
      <c r="K80" s="1194"/>
      <c r="L80" s="1194"/>
      <c r="M80" s="1194"/>
      <c r="N80" s="1194"/>
      <c r="O80" s="1194"/>
      <c r="P80" s="1194"/>
      <c r="Q80" s="1194"/>
      <c r="R80" s="1194"/>
      <c r="S80" s="1194"/>
    </row>
    <row r="81" spans="4:19" ht="88.5">
      <c r="D81" s="1194"/>
      <c r="E81" s="1194"/>
      <c r="F81" s="1194"/>
      <c r="G81" s="1194"/>
      <c r="H81" s="1194"/>
      <c r="I81" s="1194"/>
      <c r="J81" s="1194"/>
      <c r="K81" s="1194"/>
      <c r="L81" s="1194"/>
      <c r="M81" s="1194"/>
      <c r="N81" s="1194"/>
      <c r="O81" s="1194"/>
      <c r="P81" s="1194"/>
      <c r="Q81" s="1194"/>
      <c r="R81" s="1194"/>
      <c r="S81" s="1194"/>
    </row>
    <row r="82" spans="4:19" ht="88.5">
      <c r="D82" s="1194"/>
      <c r="E82" s="1194"/>
      <c r="F82" s="1194"/>
      <c r="G82" s="1194"/>
      <c r="H82" s="1194"/>
      <c r="I82" s="1194"/>
      <c r="J82" s="1194"/>
      <c r="K82" s="1194"/>
      <c r="L82" s="1194"/>
      <c r="M82" s="1194"/>
      <c r="N82" s="1194"/>
      <c r="O82" s="1194"/>
      <c r="P82" s="1194"/>
      <c r="Q82" s="1194"/>
      <c r="R82" s="1194"/>
      <c r="S82" s="1194"/>
    </row>
    <row r="83" spans="4:19" ht="88.5">
      <c r="D83" s="1194"/>
      <c r="E83" s="1194"/>
      <c r="F83" s="1194"/>
      <c r="G83" s="1194"/>
      <c r="H83" s="1194"/>
      <c r="I83" s="1194"/>
      <c r="J83" s="1194"/>
      <c r="K83" s="1194"/>
      <c r="L83" s="1194"/>
      <c r="M83" s="1194"/>
      <c r="N83" s="1194"/>
      <c r="O83" s="1194"/>
      <c r="P83" s="1194"/>
      <c r="Q83" s="1194"/>
      <c r="R83" s="1194"/>
      <c r="S83" s="1194"/>
    </row>
    <row r="84" spans="4:19" ht="88.5">
      <c r="D84" s="1194"/>
      <c r="E84" s="1194"/>
      <c r="F84" s="1194"/>
      <c r="G84" s="1194"/>
      <c r="H84" s="1194"/>
      <c r="I84" s="1194"/>
      <c r="J84" s="1194"/>
      <c r="K84" s="1194"/>
      <c r="L84" s="1194"/>
      <c r="M84" s="1194"/>
      <c r="N84" s="1194"/>
      <c r="O84" s="1194"/>
      <c r="P84" s="1194"/>
      <c r="Q84" s="1194"/>
      <c r="R84" s="1194"/>
      <c r="S84" s="1194"/>
    </row>
    <row r="85" spans="4:19" ht="88.5">
      <c r="D85" s="1194"/>
      <c r="E85" s="1194"/>
      <c r="F85" s="1194"/>
      <c r="G85" s="1194"/>
      <c r="H85" s="1194"/>
      <c r="I85" s="1194"/>
      <c r="J85" s="1194"/>
      <c r="K85" s="1194"/>
      <c r="L85" s="1194"/>
      <c r="M85" s="1194"/>
      <c r="N85" s="1194"/>
      <c r="O85" s="1194"/>
      <c r="P85" s="1194"/>
      <c r="Q85" s="1194"/>
      <c r="R85" s="1194"/>
      <c r="S85" s="1194"/>
    </row>
    <row r="86" spans="4:19" ht="88.5">
      <c r="D86" s="1194"/>
      <c r="E86" s="1194"/>
      <c r="F86" s="1194"/>
      <c r="G86" s="1194"/>
      <c r="H86" s="1194"/>
      <c r="I86" s="1194"/>
      <c r="J86" s="1194"/>
      <c r="K86" s="1194"/>
      <c r="L86" s="1194"/>
      <c r="M86" s="1194"/>
      <c r="N86" s="1194"/>
      <c r="O86" s="1194"/>
      <c r="P86" s="1194"/>
      <c r="Q86" s="1194"/>
      <c r="R86" s="1194"/>
      <c r="S86" s="1194"/>
    </row>
    <row r="87" spans="4:19" ht="88.5">
      <c r="D87" s="1194"/>
      <c r="E87" s="1194"/>
      <c r="F87" s="1194"/>
      <c r="G87" s="1194"/>
      <c r="H87" s="1194"/>
      <c r="I87" s="1194"/>
      <c r="J87" s="1194"/>
      <c r="K87" s="1194"/>
      <c r="L87" s="1194"/>
      <c r="M87" s="1194"/>
      <c r="N87" s="1194"/>
      <c r="O87" s="1194"/>
      <c r="P87" s="1194"/>
      <c r="Q87" s="1194"/>
      <c r="R87" s="1194"/>
      <c r="S87" s="1194"/>
    </row>
    <row r="88" spans="4:19" ht="88.5">
      <c r="D88" s="1194"/>
      <c r="E88" s="1194"/>
      <c r="F88" s="1194"/>
      <c r="G88" s="1194"/>
      <c r="H88" s="1194"/>
      <c r="I88" s="1194"/>
      <c r="J88" s="1194"/>
      <c r="K88" s="1194"/>
      <c r="L88" s="1194"/>
      <c r="M88" s="1194"/>
      <c r="N88" s="1194"/>
      <c r="O88" s="1194"/>
      <c r="P88" s="1194"/>
      <c r="Q88" s="1194"/>
      <c r="R88" s="1194"/>
      <c r="S88" s="1194"/>
    </row>
    <row r="89" spans="4:19" ht="88.5">
      <c r="D89" s="1194"/>
      <c r="E89" s="1194"/>
      <c r="F89" s="1194"/>
      <c r="G89" s="1194"/>
      <c r="H89" s="1194"/>
      <c r="I89" s="1194"/>
      <c r="J89" s="1194"/>
      <c r="K89" s="1194"/>
      <c r="L89" s="1194"/>
      <c r="M89" s="1194"/>
      <c r="N89" s="1194"/>
      <c r="O89" s="1194"/>
      <c r="P89" s="1194"/>
      <c r="Q89" s="1194"/>
      <c r="R89" s="1194"/>
      <c r="S89" s="1194"/>
    </row>
    <row r="90" spans="4:19" ht="88.5">
      <c r="D90" s="1194"/>
      <c r="E90" s="1194"/>
      <c r="F90" s="1194"/>
      <c r="G90" s="1194"/>
      <c r="H90" s="1194"/>
      <c r="I90" s="1194"/>
      <c r="J90" s="1194"/>
      <c r="K90" s="1194"/>
      <c r="L90" s="1194"/>
      <c r="M90" s="1194"/>
      <c r="N90" s="1194"/>
      <c r="O90" s="1194"/>
      <c r="P90" s="1194"/>
      <c r="Q90" s="1194"/>
      <c r="R90" s="1194"/>
      <c r="S90" s="1194"/>
    </row>
    <row r="91" spans="4:19" ht="88.5">
      <c r="D91" s="1194"/>
      <c r="E91" s="1194"/>
      <c r="F91" s="1194"/>
      <c r="G91" s="1194"/>
      <c r="H91" s="1194"/>
      <c r="I91" s="1194"/>
      <c r="J91" s="1194"/>
      <c r="K91" s="1194"/>
      <c r="L91" s="1194"/>
      <c r="M91" s="1194"/>
      <c r="N91" s="1194"/>
      <c r="O91" s="1194"/>
      <c r="P91" s="1194"/>
      <c r="Q91" s="1194"/>
      <c r="R91" s="1194"/>
      <c r="S91" s="1194"/>
    </row>
    <row r="92" spans="4:19" ht="88.5">
      <c r="D92" s="1194"/>
      <c r="E92" s="1194"/>
      <c r="F92" s="1194"/>
      <c r="G92" s="1194"/>
      <c r="H92" s="1194"/>
      <c r="I92" s="1194"/>
      <c r="J92" s="1194"/>
      <c r="K92" s="1194"/>
      <c r="L92" s="1194"/>
      <c r="M92" s="1194"/>
      <c r="N92" s="1194"/>
      <c r="O92" s="1194"/>
      <c r="P92" s="1194"/>
      <c r="Q92" s="1194"/>
      <c r="R92" s="1194"/>
      <c r="S92" s="1194"/>
    </row>
    <row r="93" spans="4:19" ht="88.5">
      <c r="D93" s="1194"/>
      <c r="E93" s="1194"/>
      <c r="F93" s="1194"/>
      <c r="G93" s="1194"/>
      <c r="H93" s="1194"/>
      <c r="I93" s="1194"/>
      <c r="J93" s="1194"/>
      <c r="K93" s="1194"/>
      <c r="L93" s="1194"/>
      <c r="M93" s="1194"/>
      <c r="N93" s="1194"/>
      <c r="O93" s="1194"/>
      <c r="P93" s="1194"/>
      <c r="Q93" s="1194"/>
      <c r="R93" s="1194"/>
      <c r="S93" s="1194"/>
    </row>
    <row r="94" spans="4:19" ht="88.5">
      <c r="D94" s="1194"/>
      <c r="E94" s="1194"/>
      <c r="F94" s="1194"/>
      <c r="G94" s="1194"/>
      <c r="H94" s="1194"/>
      <c r="I94" s="1194"/>
      <c r="J94" s="1194"/>
      <c r="K94" s="1194"/>
      <c r="L94" s="1194"/>
      <c r="M94" s="1194"/>
      <c r="N94" s="1194"/>
      <c r="O94" s="1194"/>
      <c r="P94" s="1194"/>
      <c r="Q94" s="1194"/>
      <c r="R94" s="1194"/>
      <c r="S94" s="1194"/>
    </row>
    <row r="95" spans="4:19" ht="88.5">
      <c r="D95" s="1194"/>
      <c r="E95" s="1194"/>
      <c r="F95" s="1194"/>
      <c r="G95" s="1194"/>
      <c r="H95" s="1194"/>
      <c r="I95" s="1194"/>
      <c r="J95" s="1194"/>
      <c r="K95" s="1194"/>
      <c r="L95" s="1194"/>
      <c r="M95" s="1194"/>
      <c r="N95" s="1194"/>
      <c r="O95" s="1194"/>
      <c r="P95" s="1194"/>
      <c r="Q95" s="1194"/>
      <c r="R95" s="1194"/>
      <c r="S95" s="1194"/>
    </row>
    <row r="96" spans="4:19" ht="88.5">
      <c r="D96" s="1194"/>
      <c r="E96" s="1194"/>
      <c r="F96" s="1194"/>
      <c r="G96" s="1194"/>
      <c r="H96" s="1194"/>
      <c r="I96" s="1194"/>
      <c r="J96" s="1194"/>
      <c r="K96" s="1194"/>
      <c r="L96" s="1194"/>
      <c r="M96" s="1194"/>
      <c r="N96" s="1194"/>
      <c r="O96" s="1194"/>
      <c r="P96" s="1194"/>
      <c r="Q96" s="1194"/>
      <c r="R96" s="1194"/>
      <c r="S96" s="1194"/>
    </row>
    <row r="97" spans="4:19" ht="88.5">
      <c r="D97" s="1194"/>
      <c r="E97" s="1194"/>
      <c r="F97" s="1194"/>
      <c r="G97" s="1194"/>
      <c r="H97" s="1194"/>
      <c r="I97" s="1194"/>
      <c r="J97" s="1194"/>
      <c r="K97" s="1194"/>
      <c r="L97" s="1194"/>
      <c r="M97" s="1194"/>
      <c r="N97" s="1194"/>
      <c r="O97" s="1194"/>
      <c r="P97" s="1194"/>
      <c r="Q97" s="1194"/>
      <c r="R97" s="1194"/>
      <c r="S97" s="1194"/>
    </row>
    <row r="98" spans="4:19" ht="88.5">
      <c r="D98" s="1194"/>
      <c r="E98" s="1194"/>
      <c r="F98" s="1194"/>
      <c r="G98" s="1194"/>
      <c r="H98" s="1194"/>
      <c r="I98" s="1194"/>
      <c r="J98" s="1194"/>
      <c r="K98" s="1194"/>
      <c r="L98" s="1194"/>
      <c r="M98" s="1194"/>
      <c r="N98" s="1194"/>
      <c r="O98" s="1194"/>
      <c r="P98" s="1194"/>
      <c r="Q98" s="1194"/>
      <c r="R98" s="1194"/>
      <c r="S98" s="1194"/>
    </row>
    <row r="99" spans="4:19" ht="88.5">
      <c r="D99" s="1194"/>
      <c r="E99" s="1194"/>
      <c r="F99" s="1194"/>
      <c r="G99" s="1194"/>
      <c r="H99" s="1194"/>
      <c r="I99" s="1194"/>
      <c r="J99" s="1194"/>
      <c r="K99" s="1194"/>
      <c r="L99" s="1194"/>
      <c r="M99" s="1194"/>
      <c r="N99" s="1194"/>
      <c r="O99" s="1194"/>
      <c r="P99" s="1194"/>
      <c r="Q99" s="1194"/>
      <c r="R99" s="1194"/>
      <c r="S99" s="1194"/>
    </row>
    <row r="100" spans="4:19" ht="88.5">
      <c r="D100" s="1194"/>
      <c r="E100" s="1194"/>
      <c r="F100" s="1194"/>
      <c r="G100" s="1194"/>
      <c r="H100" s="1194"/>
      <c r="I100" s="1194"/>
      <c r="J100" s="1194"/>
      <c r="K100" s="1194"/>
      <c r="L100" s="1194"/>
      <c r="M100" s="1194"/>
      <c r="N100" s="1194"/>
      <c r="O100" s="1194"/>
      <c r="P100" s="1194"/>
      <c r="Q100" s="1194"/>
      <c r="R100" s="1194"/>
      <c r="S100" s="1194"/>
    </row>
    <row r="101" spans="4:19" ht="88.5">
      <c r="D101" s="1194"/>
      <c r="E101" s="1194"/>
      <c r="F101" s="1194"/>
      <c r="G101" s="1194"/>
      <c r="H101" s="1194"/>
      <c r="I101" s="1194"/>
      <c r="J101" s="1194"/>
      <c r="K101" s="1194"/>
      <c r="L101" s="1194"/>
      <c r="M101" s="1194"/>
      <c r="N101" s="1194"/>
      <c r="O101" s="1194"/>
      <c r="P101" s="1194"/>
      <c r="Q101" s="1194"/>
      <c r="R101" s="1194"/>
      <c r="S101" s="1194"/>
    </row>
    <row r="102" spans="4:19" ht="88.5">
      <c r="D102" s="1194"/>
      <c r="E102" s="1194"/>
      <c r="F102" s="1194"/>
      <c r="G102" s="1194"/>
      <c r="H102" s="1194"/>
      <c r="I102" s="1194"/>
      <c r="J102" s="1194"/>
      <c r="K102" s="1194"/>
      <c r="L102" s="1194"/>
      <c r="M102" s="1194"/>
      <c r="N102" s="1194"/>
      <c r="O102" s="1194"/>
      <c r="P102" s="1194"/>
      <c r="Q102" s="1194"/>
      <c r="R102" s="1194"/>
      <c r="S102" s="1194"/>
    </row>
    <row r="103" spans="4:19" ht="88.5">
      <c r="D103" s="1194"/>
      <c r="E103" s="1194"/>
      <c r="F103" s="1194"/>
      <c r="G103" s="1194"/>
      <c r="H103" s="1194"/>
      <c r="I103" s="1194"/>
      <c r="J103" s="1194"/>
      <c r="K103" s="1194"/>
      <c r="L103" s="1194"/>
      <c r="M103" s="1194"/>
      <c r="N103" s="1194"/>
      <c r="O103" s="1194"/>
      <c r="P103" s="1194"/>
      <c r="Q103" s="1194"/>
      <c r="R103" s="1194"/>
      <c r="S103" s="1194"/>
    </row>
    <row r="104" spans="4:19" ht="88.5">
      <c r="D104" s="1194"/>
      <c r="E104" s="1194"/>
      <c r="F104" s="1194"/>
      <c r="G104" s="1194"/>
      <c r="H104" s="1194"/>
      <c r="I104" s="1194"/>
      <c r="J104" s="1194"/>
      <c r="K104" s="1194"/>
      <c r="L104" s="1194"/>
      <c r="M104" s="1194"/>
      <c r="N104" s="1194"/>
      <c r="O104" s="1194"/>
      <c r="P104" s="1194"/>
      <c r="Q104" s="1194"/>
      <c r="R104" s="1194"/>
      <c r="S104" s="1194"/>
    </row>
    <row r="105" spans="4:19" ht="88.5">
      <c r="D105" s="1194"/>
      <c r="E105" s="1194"/>
      <c r="F105" s="1194"/>
      <c r="G105" s="1194"/>
      <c r="H105" s="1194"/>
      <c r="I105" s="1194"/>
      <c r="J105" s="1194"/>
      <c r="K105" s="1194"/>
      <c r="L105" s="1194"/>
      <c r="M105" s="1194"/>
      <c r="N105" s="1194"/>
      <c r="O105" s="1194"/>
      <c r="P105" s="1194"/>
      <c r="Q105" s="1194"/>
      <c r="R105" s="1194"/>
      <c r="S105" s="1194"/>
    </row>
    <row r="106" spans="4:19" ht="88.5">
      <c r="D106" s="1194"/>
      <c r="E106" s="1194"/>
      <c r="F106" s="1194"/>
      <c r="G106" s="1194"/>
      <c r="H106" s="1194"/>
      <c r="I106" s="1194"/>
      <c r="J106" s="1194"/>
      <c r="K106" s="1194"/>
      <c r="L106" s="1194"/>
      <c r="M106" s="1194"/>
      <c r="N106" s="1194"/>
      <c r="O106" s="1194"/>
      <c r="P106" s="1194"/>
      <c r="Q106" s="1194"/>
      <c r="R106" s="1194"/>
      <c r="S106" s="1194"/>
    </row>
    <row r="107" spans="4:19" ht="88.5">
      <c r="D107" s="1194"/>
      <c r="E107" s="1194"/>
      <c r="F107" s="1194"/>
      <c r="G107" s="1194"/>
      <c r="H107" s="1194"/>
      <c r="I107" s="1194"/>
      <c r="J107" s="1194"/>
      <c r="K107" s="1194"/>
      <c r="L107" s="1194"/>
      <c r="M107" s="1194"/>
      <c r="N107" s="1194"/>
      <c r="O107" s="1194"/>
      <c r="P107" s="1194"/>
      <c r="Q107" s="1194"/>
      <c r="R107" s="1194"/>
      <c r="S107" s="1194"/>
    </row>
    <row r="108" spans="4:19" ht="88.5">
      <c r="D108" s="1194"/>
      <c r="E108" s="1194"/>
      <c r="F108" s="1194"/>
      <c r="G108" s="1194"/>
      <c r="H108" s="1194"/>
      <c r="I108" s="1194"/>
      <c r="J108" s="1194"/>
      <c r="K108" s="1194"/>
      <c r="L108" s="1194"/>
      <c r="M108" s="1194"/>
      <c r="N108" s="1194"/>
      <c r="O108" s="1194"/>
      <c r="P108" s="1194"/>
      <c r="Q108" s="1194"/>
      <c r="R108" s="1194"/>
      <c r="S108" s="1194"/>
    </row>
  </sheetData>
  <autoFilter ref="C5:S54" xr:uid="{F1FE0DF9-6AEE-4D2A-8053-7334AF812B37}"/>
  <mergeCells count="19">
    <mergeCell ref="AC35:AE35"/>
    <mergeCell ref="AC36:AE36"/>
    <mergeCell ref="AC37:AE37"/>
    <mergeCell ref="AD4:AP4"/>
    <mergeCell ref="AS4:AW4"/>
    <mergeCell ref="AU28:AW28"/>
    <mergeCell ref="AS28:AT28"/>
    <mergeCell ref="Y33:Y34"/>
    <mergeCell ref="Z33:AA34"/>
    <mergeCell ref="A5:A54"/>
    <mergeCell ref="C2:D2"/>
    <mergeCell ref="E2:O2"/>
    <mergeCell ref="Z25:Z26"/>
    <mergeCell ref="Y29:AA29"/>
    <mergeCell ref="Y30:AA32"/>
    <mergeCell ref="Y37:Y38"/>
    <mergeCell ref="Z37:AA38"/>
    <mergeCell ref="Y35:Y36"/>
    <mergeCell ref="Z35:AA36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7EE46-F794-43EC-9FE3-040327642D0F}">
  <sheetPr codeName="Hoja15">
    <pageSetUpPr fitToPage="1"/>
  </sheetPr>
  <dimension ref="A1:CU304"/>
  <sheetViews>
    <sheetView topLeftCell="B1" zoomScale="55" zoomScaleNormal="55" workbookViewId="0">
      <pane xSplit="1" ySplit="5" topLeftCell="C6" activePane="bottomRight" state="frozen"/>
      <selection activeCell="C32" sqref="C32"/>
      <selection pane="topRight" activeCell="C32" sqref="C32"/>
      <selection pane="bottomLeft" activeCell="C32" sqref="C32"/>
      <selection pane="bottomRight" activeCell="AG18" sqref="AG18"/>
    </sheetView>
  </sheetViews>
  <sheetFormatPr baseColWidth="10" defaultRowHeight="18.75"/>
  <cols>
    <col min="1" max="1" width="5.28515625" style="26" hidden="1" customWidth="1"/>
    <col min="2" max="2" width="8.7109375" style="26" customWidth="1"/>
    <col min="3" max="3" width="11.85546875" style="26" customWidth="1"/>
    <col min="4" max="4" width="100.5703125" style="26" customWidth="1"/>
    <col min="5" max="5" width="14.85546875" style="26" customWidth="1"/>
    <col min="6" max="6" width="14.140625" style="26" customWidth="1"/>
    <col min="7" max="7" width="12.42578125" style="26" customWidth="1"/>
    <col min="8" max="8" width="14.7109375" style="26" customWidth="1"/>
    <col min="9" max="9" width="16.42578125" style="26" customWidth="1"/>
    <col min="10" max="13" width="15.5703125" style="26" customWidth="1"/>
    <col min="14" max="14" width="15.5703125" style="561" customWidth="1"/>
    <col min="15" max="15" width="15.5703125" style="26" customWidth="1"/>
    <col min="16" max="16" width="16" style="26" customWidth="1"/>
    <col min="17" max="17" width="13.28515625" style="26" customWidth="1"/>
    <col min="18" max="18" width="15.140625" style="26" customWidth="1"/>
    <col min="19" max="21" width="15.5703125" style="26" customWidth="1"/>
    <col min="22" max="27" width="13.7109375" style="26" customWidth="1"/>
    <col min="28" max="28" width="13.28515625" style="26" customWidth="1"/>
    <col min="29" max="31" width="30.85546875" style="26" customWidth="1"/>
    <col min="32" max="32" width="48" style="26" bestFit="1" customWidth="1"/>
    <col min="33" max="33" width="39.42578125" style="26" customWidth="1"/>
    <col min="34" max="34" width="12" style="26" customWidth="1"/>
    <col min="35" max="35" width="14.28515625" style="26" customWidth="1"/>
    <col min="36" max="36" width="91.28515625" style="26" customWidth="1"/>
    <col min="37" max="37" width="7.5703125" style="1183" hidden="1" customWidth="1"/>
    <col min="38" max="39" width="8" style="1183" hidden="1" customWidth="1"/>
    <col min="40" max="40" width="8.85546875" style="1183" hidden="1" customWidth="1"/>
    <col min="41" max="42" width="8" style="1183" hidden="1" customWidth="1"/>
    <col min="43" max="46" width="8.7109375" style="1183" hidden="1" customWidth="1"/>
    <col min="47" max="48" width="8" style="1183" customWidth="1"/>
    <col min="49" max="58" width="8.7109375" style="1183" customWidth="1"/>
    <col min="59" max="59" width="26.140625" style="26" bestFit="1" customWidth="1"/>
    <col min="60" max="60" width="22.28515625" style="26" bestFit="1" customWidth="1"/>
    <col min="61" max="61" width="19.42578125" style="26" bestFit="1" customWidth="1"/>
    <col min="62" max="62" width="18.7109375" style="26" bestFit="1" customWidth="1"/>
    <col min="63" max="64" width="13.85546875" style="26" customWidth="1"/>
    <col min="65" max="65" width="18.7109375" style="26" bestFit="1" customWidth="1"/>
    <col min="66" max="66" width="76.42578125" style="26" customWidth="1"/>
    <col min="67" max="67" width="28.140625" style="26" customWidth="1"/>
    <col min="68" max="68" width="25.42578125" style="26" customWidth="1"/>
    <col min="69" max="95" width="13.85546875" style="26" customWidth="1"/>
    <col min="96" max="96" width="12.140625" style="26" bestFit="1" customWidth="1"/>
    <col min="97" max="99" width="28.28515625" style="26" customWidth="1"/>
    <col min="100" max="16384" width="11.42578125" style="26"/>
  </cols>
  <sheetData>
    <row r="1" spans="1:69" ht="45.75" customHeight="1">
      <c r="B1" s="37"/>
      <c r="C1" s="37"/>
      <c r="D1" s="43"/>
      <c r="E1" s="43"/>
      <c r="F1" s="43"/>
      <c r="G1" s="43"/>
      <c r="H1" s="43"/>
      <c r="I1" s="43"/>
      <c r="J1" s="43"/>
      <c r="K1" s="43"/>
      <c r="L1" s="43"/>
      <c r="M1" s="43"/>
      <c r="N1" s="659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37"/>
      <c r="AD1" s="37"/>
      <c r="AE1" s="37"/>
      <c r="AF1" s="37"/>
      <c r="AG1" s="37"/>
      <c r="AH1" s="37"/>
      <c r="AI1" s="37"/>
      <c r="AJ1" s="37"/>
      <c r="AK1" s="1180"/>
      <c r="AL1" s="1180"/>
      <c r="AM1" s="1180"/>
      <c r="AN1" s="1180"/>
      <c r="AO1" s="1180"/>
      <c r="AP1" s="1180"/>
      <c r="AQ1" s="1180"/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</row>
    <row r="2" spans="1:69" ht="56.25" hidden="1" thickBot="1">
      <c r="B2" s="38"/>
      <c r="C2" s="2266" t="s">
        <v>41</v>
      </c>
      <c r="D2" s="2651"/>
      <c r="E2" s="2652" t="str">
        <f>+'EM-TUN'!D2</f>
        <v>1055PPF26062026</v>
      </c>
      <c r="F2" s="2653"/>
      <c r="G2" s="2653"/>
      <c r="H2" s="2653"/>
      <c r="I2" s="2653"/>
      <c r="J2" s="2653"/>
      <c r="K2" s="2653"/>
      <c r="L2" s="2653"/>
      <c r="M2" s="2653"/>
      <c r="N2" s="2653"/>
      <c r="O2" s="2653"/>
      <c r="P2" s="2653"/>
      <c r="Q2" s="2653"/>
      <c r="R2" s="2653"/>
      <c r="S2" s="2653"/>
      <c r="T2" s="2653"/>
      <c r="U2" s="2653"/>
      <c r="V2" s="2653"/>
      <c r="W2" s="2654"/>
      <c r="X2" s="2654"/>
      <c r="Y2" s="2654"/>
      <c r="Z2" s="2654"/>
      <c r="AA2" s="2654"/>
      <c r="AB2" s="2655"/>
      <c r="AC2" s="38"/>
      <c r="AD2" s="38"/>
      <c r="AE2" s="38"/>
      <c r="AF2" s="38"/>
      <c r="AG2" s="38"/>
      <c r="AH2" s="38"/>
      <c r="AI2" s="38"/>
      <c r="AJ2" s="38"/>
      <c r="AK2" s="1181"/>
      <c r="AL2" s="1181"/>
      <c r="AM2" s="1181"/>
      <c r="AN2" s="1181"/>
      <c r="AO2" s="1181"/>
      <c r="AP2" s="1182"/>
      <c r="AQ2" s="1182"/>
      <c r="AR2" s="1182"/>
      <c r="AS2" s="1182"/>
      <c r="AT2" s="1182"/>
      <c r="AU2" s="1182"/>
      <c r="AV2" s="1182"/>
      <c r="AW2" s="1182"/>
      <c r="AX2" s="1182"/>
      <c r="AY2" s="1182"/>
      <c r="AZ2" s="1182"/>
      <c r="BA2" s="1182"/>
      <c r="BB2" s="1182"/>
      <c r="BC2" s="1182"/>
      <c r="BD2" s="1182"/>
      <c r="BE2" s="1182"/>
      <c r="BF2" s="1182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</row>
    <row r="3" spans="1:69">
      <c r="C3" s="28"/>
      <c r="BO3" s="28"/>
      <c r="BP3" s="28"/>
      <c r="BQ3" s="28"/>
    </row>
    <row r="4" spans="1:69" ht="38.25" customHeight="1" thickBot="1">
      <c r="C4" s="28"/>
      <c r="E4" s="34" t="s">
        <v>112</v>
      </c>
      <c r="F4" s="34"/>
      <c r="G4" s="34"/>
      <c r="H4" s="34"/>
      <c r="I4" s="34"/>
      <c r="AB4" s="27"/>
      <c r="AI4" s="2659" t="s">
        <v>516</v>
      </c>
      <c r="AJ4" s="2659"/>
      <c r="AK4" s="2659"/>
      <c r="AL4" s="2659"/>
      <c r="AM4" s="2659"/>
      <c r="AN4" s="2659"/>
      <c r="AO4" s="2659"/>
      <c r="AP4" s="2659"/>
      <c r="AQ4" s="2659"/>
      <c r="AR4" s="2659"/>
      <c r="AS4" s="2659"/>
      <c r="AT4" s="2659"/>
      <c r="AU4" s="2659"/>
      <c r="AV4" s="2659"/>
      <c r="AW4" s="2659"/>
      <c r="AX4" s="2659"/>
      <c r="AY4" s="2659"/>
      <c r="AZ4" s="2659"/>
      <c r="BA4" s="2659"/>
      <c r="BB4" s="2659"/>
      <c r="BC4" s="2659"/>
      <c r="BD4" s="2659"/>
      <c r="BE4" s="2659"/>
      <c r="BF4" s="2659"/>
      <c r="BG4" s="2659"/>
      <c r="BH4" s="2659"/>
      <c r="BI4" s="2659"/>
      <c r="BJ4" s="2659"/>
      <c r="BM4" s="2650" t="s">
        <v>511</v>
      </c>
      <c r="BN4" s="2650"/>
      <c r="BO4" s="2650"/>
      <c r="BP4" s="2650"/>
      <c r="BQ4" s="28"/>
    </row>
    <row r="5" spans="1:69" ht="102.6" customHeight="1" thickBot="1">
      <c r="A5" s="2257"/>
      <c r="C5" s="543" t="s">
        <v>15</v>
      </c>
      <c r="D5" s="544" t="s">
        <v>6</v>
      </c>
      <c r="E5" s="2053" t="s">
        <v>78</v>
      </c>
      <c r="F5" s="1882" t="s">
        <v>79</v>
      </c>
      <c r="G5" s="1885" t="s">
        <v>80</v>
      </c>
      <c r="H5" s="1890" t="s">
        <v>78</v>
      </c>
      <c r="I5" s="1891" t="s">
        <v>79</v>
      </c>
      <c r="J5" s="1892" t="s">
        <v>80</v>
      </c>
      <c r="K5" s="1887" t="s">
        <v>78</v>
      </c>
      <c r="L5" s="1879" t="s">
        <v>79</v>
      </c>
      <c r="M5" s="1879" t="s">
        <v>80</v>
      </c>
      <c r="N5" s="1880" t="s">
        <v>78</v>
      </c>
      <c r="O5" s="1880" t="s">
        <v>79</v>
      </c>
      <c r="P5" s="1880" t="s">
        <v>80</v>
      </c>
      <c r="Q5" s="1881" t="s">
        <v>78</v>
      </c>
      <c r="R5" s="1881" t="s">
        <v>79</v>
      </c>
      <c r="S5" s="1881" t="s">
        <v>80</v>
      </c>
      <c r="T5" s="3016" t="s">
        <v>78</v>
      </c>
      <c r="U5" s="3016" t="s">
        <v>79</v>
      </c>
      <c r="V5" s="3016" t="s">
        <v>80</v>
      </c>
      <c r="W5" s="3017" t="s">
        <v>78</v>
      </c>
      <c r="X5" s="3017" t="s">
        <v>79</v>
      </c>
      <c r="Y5" s="3017" t="s">
        <v>80</v>
      </c>
      <c r="Z5" s="3018" t="s">
        <v>78</v>
      </c>
      <c r="AA5" s="3019" t="s">
        <v>79</v>
      </c>
      <c r="AB5" s="3019" t="s">
        <v>80</v>
      </c>
      <c r="AC5" s="60" t="s">
        <v>108</v>
      </c>
      <c r="AD5" s="49" t="s">
        <v>107</v>
      </c>
      <c r="AE5" s="660" t="s">
        <v>3</v>
      </c>
      <c r="AF5" s="112"/>
      <c r="AI5" s="1435" t="s">
        <v>15</v>
      </c>
      <c r="AJ5" s="1435" t="s">
        <v>6</v>
      </c>
      <c r="AK5" s="2223" t="s">
        <v>78</v>
      </c>
      <c r="AL5" s="2223" t="s">
        <v>79</v>
      </c>
      <c r="AM5" s="2223" t="s">
        <v>80</v>
      </c>
      <c r="AN5" s="2224" t="s">
        <v>78</v>
      </c>
      <c r="AO5" s="2224" t="s">
        <v>79</v>
      </c>
      <c r="AP5" s="2224" t="s">
        <v>80</v>
      </c>
      <c r="AQ5" s="2225" t="s">
        <v>78</v>
      </c>
      <c r="AR5" s="2225" t="s">
        <v>79</v>
      </c>
      <c r="AS5" s="2225" t="s">
        <v>80</v>
      </c>
      <c r="AT5" s="2226" t="s">
        <v>78</v>
      </c>
      <c r="AU5" s="2226" t="s">
        <v>79</v>
      </c>
      <c r="AV5" s="2226" t="s">
        <v>80</v>
      </c>
      <c r="AW5" s="2227" t="s">
        <v>78</v>
      </c>
      <c r="AX5" s="2026"/>
      <c r="AY5" s="2026"/>
      <c r="AZ5" s="2026"/>
      <c r="BA5" s="1629"/>
      <c r="BB5" s="1629"/>
      <c r="BC5" s="1629"/>
      <c r="BD5" s="1629"/>
      <c r="BE5" s="1629"/>
      <c r="BF5" s="1629"/>
      <c r="BG5" s="1435" t="s">
        <v>502</v>
      </c>
      <c r="BH5" s="1435" t="s">
        <v>503</v>
      </c>
      <c r="BI5" s="1435" t="s">
        <v>8</v>
      </c>
      <c r="BJ5" s="1435"/>
      <c r="BM5" s="661" t="s">
        <v>15</v>
      </c>
      <c r="BN5" s="661" t="s">
        <v>6</v>
      </c>
      <c r="BO5" s="661" t="s">
        <v>8</v>
      </c>
      <c r="BP5" s="661" t="s">
        <v>513</v>
      </c>
    </row>
    <row r="6" spans="1:69" ht="45.75">
      <c r="A6" s="2257"/>
      <c r="C6" s="41">
        <f>+PP!B24</f>
        <v>1</v>
      </c>
      <c r="D6" s="162" t="str">
        <f>+PP!C24</f>
        <v>ANILLAS BLANCAS SM ST</v>
      </c>
      <c r="E6" s="1536"/>
      <c r="F6" s="1007"/>
      <c r="G6" s="1503"/>
      <c r="H6" s="1893"/>
      <c r="I6" s="1007"/>
      <c r="J6" s="1894"/>
      <c r="K6" s="1536"/>
      <c r="L6" s="1007"/>
      <c r="M6" s="1007"/>
      <c r="N6" s="1007"/>
      <c r="O6" s="1007"/>
      <c r="P6" s="1007"/>
      <c r="Q6" s="1007"/>
      <c r="R6" s="1007"/>
      <c r="S6" s="212"/>
      <c r="T6" s="1007"/>
      <c r="U6" s="1007"/>
      <c r="V6" s="1007"/>
      <c r="W6" s="1503"/>
      <c r="X6" s="1503"/>
      <c r="Y6" s="1503"/>
      <c r="Z6" s="1503"/>
      <c r="AA6" s="1503"/>
      <c r="AB6" s="1497"/>
      <c r="AC6" s="596">
        <f t="shared" ref="AC6:AC53" si="0">SUM(E6:AB6)</f>
        <v>0</v>
      </c>
      <c r="AD6" s="148">
        <f t="shared" ref="AD6:AD53" si="1">AC6/2</f>
        <v>0</v>
      </c>
      <c r="AE6" s="145">
        <f>+AC6*10</f>
        <v>0</v>
      </c>
      <c r="AF6" s="112"/>
      <c r="AI6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6))),"")</f>
        <v/>
      </c>
      <c r="AJ6" s="1437" t="str">
        <f t="shared" ref="AJ6:AJ53" si="2">IF($AI6="","",IFERROR(INDEX($D$6:$D$53,MATCH($AI6,$C$6:$C$53,0)),""))</f>
        <v/>
      </c>
      <c r="AK6" s="1436" t="str">
        <f t="shared" ref="AK6:AK53" si="3">IF($AI6="","",IFERROR(IF(INDEX($E$6:$E$53,MATCH($AI6,$C$6:$C$53,0))&gt;0,INDEX($E$6:$E$53,MATCH($AI6,$C$6:$C$53,0)),""),""))</f>
        <v/>
      </c>
      <c r="AL6" s="1436" t="str">
        <f t="shared" ref="AL6:AL53" si="4">IF($AI6="","",IFERROR(IF(INDEX($F$6:$F$53,MATCH($AI6,$C$6:$C$53,0))&gt;0,INDEX($F$6:$F$53,MATCH($AI6,$C$6:$C$53,0)),""),""))</f>
        <v/>
      </c>
      <c r="AM6" s="1436" t="str">
        <f t="shared" ref="AM6:AM53" si="5">IF($AI6="","",IFERROR(IF(INDEX($G$6:$G$53,MATCH($AI6,$C$6:$C$53,0))&gt;0,INDEX($G$6:$G$53,MATCH($AI6,$C$6:$C$53,0)),""),""))</f>
        <v/>
      </c>
      <c r="AN6" s="1436" t="str">
        <f t="shared" ref="AN6:AN53" si="6">IF($AI6="","",IFERROR(IF(INDEX($H$6:$H$53,MATCH($AI6,$C$6:$C$53,0))&gt;0,INDEX($H$6:$H$53,MATCH($AI6,$C$6:$C$53,0)),""),""))</f>
        <v/>
      </c>
      <c r="AO6" s="1436" t="str">
        <f t="shared" ref="AO6:AO53" si="7">IF($AI6="","",IFERROR(IF(INDEX($I$6:$I$53,MATCH($AI6,$C$6:$C$53,0))&gt;0,INDEX($I$6:$I$53,MATCH($AI6,$C$6:$C$53,0)),""),""))</f>
        <v/>
      </c>
      <c r="AP6" s="1436" t="str">
        <f t="shared" ref="AP6:AP53" si="8">IF($AI6="","",IFERROR(IF(INDEX($J$6:$J$53,MATCH($AI6,$C$6:$C$53,0))&gt;0,INDEX($J$6:$J$53,MATCH($AI6,$C$6:$C$53,0)),""),""))</f>
        <v/>
      </c>
      <c r="AQ6" s="1436" t="str">
        <f t="shared" ref="AQ6:AQ53" si="9">IF($AI6="","",IFERROR(IF(INDEX($K$6:$K$53,MATCH($AI6,$C$6:$C$53,0))&gt;0,INDEX($K$6:$K$53,MATCH($AI6,$C$6:$C$53,0)),""),""))</f>
        <v/>
      </c>
      <c r="AR6" s="1436" t="str">
        <f t="shared" ref="AR6:AR53" si="10">IF($AI6="","",IFERROR(IF(INDEX($L$6:$L$53,MATCH($AI6,$C$6:$C$53,0))&gt;0,INDEX($L$6:$L$53,MATCH($AI6,$C$6:$C$53,0)),""),""))</f>
        <v/>
      </c>
      <c r="AS6" s="1436" t="str">
        <f t="shared" ref="AS6:AS53" si="11">IF($AI6="","",IFERROR(IF(INDEX($M$6:$M$53,MATCH($AI6,$C$6:$C$53,0))&gt;0,INDEX($M$6:$M$53,MATCH($AI6,$C$6:$C$53,0)),""),""))</f>
        <v/>
      </c>
      <c r="AT6" s="1436" t="str">
        <f t="shared" ref="AT6:AT53" si="12">IF($AI6="","",IFERROR(IF(INDEX($N$6:$N$53,MATCH($AI6,$C$6:$C$53,0))&gt;0,INDEX($N$6:$N$53,MATCH($AI6,$C$6:$C$53,0)),""),""))</f>
        <v/>
      </c>
      <c r="AU6" s="1436" t="str">
        <f t="shared" ref="AU6:AU53" si="13">IF($AI6="","",IFERROR(IF(INDEX($O$6:$O$53,MATCH($AI6,$C$6:$C$53,0))&gt;0,INDEX($O$6:$O$53,MATCH($AI6,$C$6:$C$53,0)),""),""))</f>
        <v/>
      </c>
      <c r="AV6" s="1436" t="str">
        <f t="shared" ref="AV6:AV53" si="14">IF($AI6="","",IFERROR(IF(INDEX($P$6:$P$53,MATCH($AI6,$C$6:$C$53,0))&gt;0,INDEX($P$6:$P$53,MATCH($AI6,$C$6:$C$53,0)),""),""))</f>
        <v/>
      </c>
      <c r="AW6" s="1436" t="str">
        <f t="shared" ref="AW6:AW53" si="15">IF($AI6="","",IFERROR(IF(INDEX($Q$6:$Q$53,MATCH($AI6,$C$6:$C$53,0))&gt;0,INDEX($Q$6:$Q$53,MATCH($AI6,$C$6:$C$53,0)),""),""))</f>
        <v/>
      </c>
      <c r="AX6" s="1436" t="str">
        <f t="shared" ref="AX6:AX53" si="16">IF($AI6="","",IFERROR(IF(INDEX($R$6:$R$53,MATCH($AI6,$C$6:$C$53,0))&gt;0,INDEX($R$6:$R$53,MATCH($AI6,$C$6:$C$53,0)),""),""))</f>
        <v/>
      </c>
      <c r="AY6" s="1436" t="str">
        <f t="shared" ref="AY6:AY53" si="17">IF($AI6="","",IFERROR(IF(INDEX($S$6:$S$53,MATCH($AI6,$C$6:$C$53,0))&gt;0,INDEX($S$6:$S$53,MATCH($AI6,$C$6:$C$53,0)),""),""))</f>
        <v/>
      </c>
      <c r="AZ6" s="1436" t="str">
        <f t="shared" ref="AZ6:AZ53" si="18">IF($AI6="","",IFERROR(IF(INDEX($T$6:$T$53,MATCH($AI6,$C$6:$C$53,0))&gt;0,INDEX($T$6:$T$53,MATCH($AI6,$C$6:$C$53,0)),""),""))</f>
        <v/>
      </c>
      <c r="BA6" s="1436" t="str">
        <f t="shared" ref="BA6:BA53" si="19">IF($AI6="","",IFERROR(IF(INDEX($U$6:$U$53,MATCH($AI6,$C$6:$C$53,0))&gt;0,INDEX($U$6:$U$53,MATCH($AI6,$C$6:$C$53,0)),""),""))</f>
        <v/>
      </c>
      <c r="BB6" s="1436" t="str">
        <f t="shared" ref="BB6:BB53" si="20">IF($AI6="","",IFERROR(IF(INDEX($V$6:$V$53,MATCH($AI6,$C$6:$C$53,0))&gt;0,INDEX($V$6:$V$53,MATCH($AI6,$C$6:$C$53,0)),""),""))</f>
        <v/>
      </c>
      <c r="BC6" s="1436"/>
      <c r="BD6" s="1436"/>
      <c r="BE6" s="1436"/>
      <c r="BF6" s="1436"/>
      <c r="BG6" s="1436" t="str">
        <f t="shared" ref="BG6:BG53" si="21">IF($AI6="","",IF(SUM($AK6:$BB6)=0,"",SUM($AK6:$BB6)))</f>
        <v/>
      </c>
      <c r="BH6" s="1436" t="str">
        <f t="shared" ref="BH6:BH53" si="22">IF($BG6="","",$BG6/2)</f>
        <v/>
      </c>
      <c r="BI6" s="1436" t="str">
        <f t="shared" ref="BI6:BI53" si="23">IF($BG6="","",$BG6*10)</f>
        <v/>
      </c>
      <c r="BJ6" s="1436"/>
      <c r="BM6" s="662" t="str">
        <f>IFERROR(INDEX($C$6:$C$53,_xlfn.AGGREGATE(15,6,(ROW($AE$6:$AE$53)-ROW($AE$6)+1)/(($AE$6:$AE$53&gt;0)*(MOD($AE$6:$AE$53,20)=10)),ROWS($BM$6:BM6))),"")</f>
        <v/>
      </c>
      <c r="BN6" s="662" t="str">
        <f t="shared" ref="BN6:BN50" si="24">IF($BM6="","",IFERROR(INDEX($D$6:$D$53,MATCH($BM6,$C$6:$C$53,0)),""))</f>
        <v/>
      </c>
      <c r="BO6" s="662" t="str">
        <f t="shared" ref="BO6:BO50" si="25">IF($BM6="","",IFERROR(INDEX($AE$6:$AE$53,MATCH($BM6,$C$6:$C$53,0)),""))</f>
        <v/>
      </c>
      <c r="BP6" s="662" t="str">
        <f>IF($BM6="","","10 KG")</f>
        <v/>
      </c>
    </row>
    <row r="7" spans="1:69" ht="45.75">
      <c r="A7" s="2257"/>
      <c r="C7" s="42">
        <f>+PP!B25</f>
        <v>2</v>
      </c>
      <c r="D7" s="164" t="str">
        <f>+PP!C25</f>
        <v>ANILLAS AMARILLAS SM ST</v>
      </c>
      <c r="E7" s="1537"/>
      <c r="F7" s="1498"/>
      <c r="G7" s="1699"/>
      <c r="H7" s="1895"/>
      <c r="I7" s="388"/>
      <c r="J7" s="1896"/>
      <c r="K7" s="1533"/>
      <c r="L7" s="388"/>
      <c r="M7" s="388"/>
      <c r="N7" s="388"/>
      <c r="O7" s="388"/>
      <c r="P7" s="1498"/>
      <c r="Q7" s="1498"/>
      <c r="R7" s="1498"/>
      <c r="S7" s="258"/>
      <c r="T7" s="1498"/>
      <c r="U7" s="1498"/>
      <c r="V7" s="1498"/>
      <c r="W7" s="1699"/>
      <c r="X7" s="1699"/>
      <c r="Y7" s="1699"/>
      <c r="Z7" s="1699"/>
      <c r="AA7" s="1699"/>
      <c r="AB7" s="1499"/>
      <c r="AC7" s="597">
        <f t="shared" si="0"/>
        <v>0</v>
      </c>
      <c r="AD7" s="663">
        <f>AC7/2</f>
        <v>0</v>
      </c>
      <c r="AE7" s="664">
        <f>+AC7*10</f>
        <v>0</v>
      </c>
      <c r="AF7" s="112"/>
      <c r="AI7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7))),"")</f>
        <v/>
      </c>
      <c r="AJ7" s="1437" t="str">
        <f t="shared" si="2"/>
        <v/>
      </c>
      <c r="AK7" s="1436" t="str">
        <f t="shared" si="3"/>
        <v/>
      </c>
      <c r="AL7" s="1436" t="str">
        <f t="shared" si="4"/>
        <v/>
      </c>
      <c r="AM7" s="1436" t="str">
        <f t="shared" si="5"/>
        <v/>
      </c>
      <c r="AN7" s="1436" t="str">
        <f t="shared" si="6"/>
        <v/>
      </c>
      <c r="AO7" s="1436" t="str">
        <f t="shared" si="7"/>
        <v/>
      </c>
      <c r="AP7" s="1436" t="str">
        <f t="shared" si="8"/>
        <v/>
      </c>
      <c r="AQ7" s="1436" t="str">
        <f t="shared" si="9"/>
        <v/>
      </c>
      <c r="AR7" s="1436" t="str">
        <f t="shared" si="10"/>
        <v/>
      </c>
      <c r="AS7" s="1436" t="str">
        <f t="shared" si="11"/>
        <v/>
      </c>
      <c r="AT7" s="1436" t="str">
        <f t="shared" si="12"/>
        <v/>
      </c>
      <c r="AU7" s="1436" t="str">
        <f t="shared" si="13"/>
        <v/>
      </c>
      <c r="AV7" s="1436" t="str">
        <f t="shared" si="14"/>
        <v/>
      </c>
      <c r="AW7" s="1436" t="str">
        <f t="shared" si="15"/>
        <v/>
      </c>
      <c r="AX7" s="1436" t="str">
        <f t="shared" si="16"/>
        <v/>
      </c>
      <c r="AY7" s="1436" t="str">
        <f t="shared" si="17"/>
        <v/>
      </c>
      <c r="AZ7" s="1436" t="str">
        <f t="shared" si="18"/>
        <v/>
      </c>
      <c r="BA7" s="1436" t="str">
        <f t="shared" si="19"/>
        <v/>
      </c>
      <c r="BB7" s="1436" t="str">
        <f t="shared" si="20"/>
        <v/>
      </c>
      <c r="BC7" s="1436"/>
      <c r="BD7" s="1436"/>
      <c r="BE7" s="1436"/>
      <c r="BF7" s="1436"/>
      <c r="BG7" s="1436" t="str">
        <f t="shared" si="21"/>
        <v/>
      </c>
      <c r="BH7" s="1436" t="str">
        <f t="shared" si="22"/>
        <v/>
      </c>
      <c r="BI7" s="1436" t="str">
        <f t="shared" si="23"/>
        <v/>
      </c>
      <c r="BJ7" s="1436"/>
      <c r="BM7" s="662" t="str">
        <f>IFERROR(INDEX($C$6:$C$53,_xlfn.AGGREGATE(15,6,(ROW($AE$6:$AE$53)-ROW($AE$6)+1)/(($AE$6:$AE$53&gt;0)*(MOD($AE$6:$AE$53,20)=10)),ROWS($BM$6:BM7))),"")</f>
        <v/>
      </c>
      <c r="BN7" s="662" t="str">
        <f t="shared" si="24"/>
        <v/>
      </c>
      <c r="BO7" s="662" t="str">
        <f t="shared" si="25"/>
        <v/>
      </c>
      <c r="BP7" s="662" t="str">
        <f t="shared" ref="BP7:BP53" si="26">IF($BM7="","","10 KG")</f>
        <v/>
      </c>
    </row>
    <row r="8" spans="1:69" ht="46.5" thickBot="1">
      <c r="A8" s="2257"/>
      <c r="C8" s="42">
        <f>+PP!B26</f>
        <v>3</v>
      </c>
      <c r="D8" s="163" t="str">
        <f>+PP!C26</f>
        <v>ANILLAS BLANCAS SM ST MEDIANA</v>
      </c>
      <c r="E8" s="1535"/>
      <c r="F8" s="1008"/>
      <c r="G8" s="1506"/>
      <c r="H8" s="1897"/>
      <c r="I8" s="1008"/>
      <c r="J8" s="1898"/>
      <c r="K8" s="1535"/>
      <c r="L8" s="1008"/>
      <c r="M8" s="1008"/>
      <c r="N8" s="1008"/>
      <c r="O8" s="1008"/>
      <c r="P8" s="1008"/>
      <c r="Q8" s="1008"/>
      <c r="R8" s="1008"/>
      <c r="S8" s="215"/>
      <c r="T8" s="1008"/>
      <c r="U8" s="1008"/>
      <c r="V8" s="1008"/>
      <c r="W8" s="1506"/>
      <c r="X8" s="1506"/>
      <c r="Y8" s="1506"/>
      <c r="Z8" s="1506"/>
      <c r="AA8" s="1506"/>
      <c r="AB8" s="1500"/>
      <c r="AC8" s="598">
        <f t="shared" si="0"/>
        <v>0</v>
      </c>
      <c r="AD8" s="155">
        <f t="shared" si="1"/>
        <v>0</v>
      </c>
      <c r="AE8" s="156">
        <f t="shared" ref="AE8:AE53" si="27">+AC8*10</f>
        <v>0</v>
      </c>
      <c r="AF8" s="112"/>
      <c r="AI8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8))),"")</f>
        <v/>
      </c>
      <c r="AJ8" s="1437" t="str">
        <f t="shared" si="2"/>
        <v/>
      </c>
      <c r="AK8" s="1436" t="str">
        <f t="shared" si="3"/>
        <v/>
      </c>
      <c r="AL8" s="1436" t="str">
        <f t="shared" si="4"/>
        <v/>
      </c>
      <c r="AM8" s="1436" t="str">
        <f t="shared" si="5"/>
        <v/>
      </c>
      <c r="AN8" s="1436" t="str">
        <f t="shared" si="6"/>
        <v/>
      </c>
      <c r="AO8" s="1436" t="str">
        <f t="shared" si="7"/>
        <v/>
      </c>
      <c r="AP8" s="1436" t="str">
        <f t="shared" si="8"/>
        <v/>
      </c>
      <c r="AQ8" s="1436" t="str">
        <f t="shared" si="9"/>
        <v/>
      </c>
      <c r="AR8" s="1436" t="str">
        <f t="shared" si="10"/>
        <v/>
      </c>
      <c r="AS8" s="1436" t="str">
        <f t="shared" si="11"/>
        <v/>
      </c>
      <c r="AT8" s="1436" t="str">
        <f t="shared" si="12"/>
        <v/>
      </c>
      <c r="AU8" s="1436" t="str">
        <f t="shared" si="13"/>
        <v/>
      </c>
      <c r="AV8" s="1436" t="str">
        <f t="shared" si="14"/>
        <v/>
      </c>
      <c r="AW8" s="1436" t="str">
        <f t="shared" si="15"/>
        <v/>
      </c>
      <c r="AX8" s="1436" t="str">
        <f t="shared" si="16"/>
        <v/>
      </c>
      <c r="AY8" s="1436" t="str">
        <f t="shared" si="17"/>
        <v/>
      </c>
      <c r="AZ8" s="1436" t="str">
        <f t="shared" si="18"/>
        <v/>
      </c>
      <c r="BA8" s="1436" t="str">
        <f t="shared" si="19"/>
        <v/>
      </c>
      <c r="BB8" s="1436" t="str">
        <f t="shared" si="20"/>
        <v/>
      </c>
      <c r="BC8" s="1436"/>
      <c r="BD8" s="1436"/>
      <c r="BE8" s="1436"/>
      <c r="BF8" s="1436"/>
      <c r="BG8" s="1436" t="str">
        <f t="shared" si="21"/>
        <v/>
      </c>
      <c r="BH8" s="1436" t="str">
        <f t="shared" si="22"/>
        <v/>
      </c>
      <c r="BI8" s="1436" t="str">
        <f t="shared" si="23"/>
        <v/>
      </c>
      <c r="BJ8" s="1436"/>
      <c r="BM8" s="662" t="str">
        <f>IFERROR(INDEX($C$6:$C$53,_xlfn.AGGREGATE(15,6,(ROW($AE$6:$AE$53)-ROW($AE$6)+1)/(($AE$6:$AE$53&gt;0)*(MOD($AE$6:$AE$53,20)=10)),ROWS($BM$6:BM8))),"")</f>
        <v/>
      </c>
      <c r="BN8" s="662" t="str">
        <f t="shared" si="24"/>
        <v/>
      </c>
      <c r="BO8" s="662" t="str">
        <f t="shared" si="25"/>
        <v/>
      </c>
      <c r="BP8" s="662" t="str">
        <f t="shared" si="26"/>
        <v/>
      </c>
    </row>
    <row r="9" spans="1:69" ht="45.75" customHeight="1">
      <c r="A9" s="2257"/>
      <c r="C9" s="42">
        <f>+PP!B27</f>
        <v>4</v>
      </c>
      <c r="D9" s="162" t="str">
        <f>+PP!C27</f>
        <v>ALETA FRESCA CORTE CRUZ</v>
      </c>
      <c r="E9" s="1532"/>
      <c r="F9" s="1155"/>
      <c r="G9" s="1507"/>
      <c r="H9" s="1899"/>
      <c r="I9" s="1155"/>
      <c r="J9" s="1900"/>
      <c r="K9" s="1532"/>
      <c r="L9" s="1155"/>
      <c r="M9" s="1155"/>
      <c r="N9" s="1155"/>
      <c r="O9" s="1155"/>
      <c r="P9" s="1155"/>
      <c r="Q9" s="1155"/>
      <c r="R9" s="1155"/>
      <c r="S9" s="224"/>
      <c r="T9" s="1155"/>
      <c r="U9" s="1155"/>
      <c r="V9" s="1155"/>
      <c r="W9" s="1507"/>
      <c r="X9" s="1507"/>
      <c r="Y9" s="1507"/>
      <c r="Z9" s="1507"/>
      <c r="AA9" s="1507"/>
      <c r="AB9" s="1501"/>
      <c r="AC9" s="599">
        <f t="shared" si="0"/>
        <v>0</v>
      </c>
      <c r="AD9" s="148">
        <f t="shared" si="1"/>
        <v>0</v>
      </c>
      <c r="AE9" s="145">
        <f t="shared" si="27"/>
        <v>0</v>
      </c>
      <c r="AF9" s="112"/>
      <c r="AI9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9))),"")</f>
        <v/>
      </c>
      <c r="AJ9" s="1437" t="str">
        <f t="shared" si="2"/>
        <v/>
      </c>
      <c r="AK9" s="1436" t="str">
        <f t="shared" si="3"/>
        <v/>
      </c>
      <c r="AL9" s="1436" t="str">
        <f t="shared" si="4"/>
        <v/>
      </c>
      <c r="AM9" s="1436" t="str">
        <f t="shared" si="5"/>
        <v/>
      </c>
      <c r="AN9" s="1436" t="str">
        <f t="shared" si="6"/>
        <v/>
      </c>
      <c r="AO9" s="1436" t="str">
        <f t="shared" si="7"/>
        <v/>
      </c>
      <c r="AP9" s="1436" t="str">
        <f t="shared" si="8"/>
        <v/>
      </c>
      <c r="AQ9" s="1436" t="str">
        <f t="shared" si="9"/>
        <v/>
      </c>
      <c r="AR9" s="1436" t="str">
        <f t="shared" si="10"/>
        <v/>
      </c>
      <c r="AS9" s="1436" t="str">
        <f t="shared" si="11"/>
        <v/>
      </c>
      <c r="AT9" s="1436" t="str">
        <f t="shared" si="12"/>
        <v/>
      </c>
      <c r="AU9" s="1436" t="str">
        <f t="shared" si="13"/>
        <v/>
      </c>
      <c r="AV9" s="1436" t="str">
        <f t="shared" si="14"/>
        <v/>
      </c>
      <c r="AW9" s="1436" t="str">
        <f t="shared" si="15"/>
        <v/>
      </c>
      <c r="AX9" s="1436" t="str">
        <f t="shared" si="16"/>
        <v/>
      </c>
      <c r="AY9" s="1436" t="str">
        <f t="shared" si="17"/>
        <v/>
      </c>
      <c r="AZ9" s="1436" t="str">
        <f t="shared" si="18"/>
        <v/>
      </c>
      <c r="BA9" s="1436" t="str">
        <f t="shared" si="19"/>
        <v/>
      </c>
      <c r="BB9" s="1436" t="str">
        <f t="shared" si="20"/>
        <v/>
      </c>
      <c r="BC9" s="1436"/>
      <c r="BD9" s="1436"/>
      <c r="BE9" s="1436"/>
      <c r="BF9" s="1436"/>
      <c r="BG9" s="1436" t="str">
        <f t="shared" si="21"/>
        <v/>
      </c>
      <c r="BH9" s="1436" t="str">
        <f t="shared" si="22"/>
        <v/>
      </c>
      <c r="BI9" s="1436" t="str">
        <f t="shared" si="23"/>
        <v/>
      </c>
      <c r="BJ9" s="1436"/>
      <c r="BM9" s="662" t="str">
        <f>IFERROR(INDEX($C$6:$C$53,_xlfn.AGGREGATE(15,6,(ROW($AE$6:$AE$53)-ROW($AE$6)+1)/(($AE$6:$AE$53&gt;0)*(MOD($AE$6:$AE$53,20)=10)),ROWS($BM$6:BM9))),"")</f>
        <v/>
      </c>
      <c r="BN9" s="662" t="str">
        <f t="shared" si="24"/>
        <v/>
      </c>
      <c r="BO9" s="662" t="str">
        <f t="shared" si="25"/>
        <v/>
      </c>
      <c r="BP9" s="662" t="str">
        <f t="shared" si="26"/>
        <v/>
      </c>
    </row>
    <row r="10" spans="1:69" ht="45.75">
      <c r="A10" s="2257"/>
      <c r="C10" s="42">
        <f>+PP!B28</f>
        <v>5</v>
      </c>
      <c r="D10" s="164" t="str">
        <f>+PP!C28</f>
        <v>ALETA ENTERA 100-500 g/pza</v>
      </c>
      <c r="E10" s="1533"/>
      <c r="F10" s="388"/>
      <c r="G10" s="1504"/>
      <c r="H10" s="1895"/>
      <c r="I10" s="388"/>
      <c r="J10" s="1896"/>
      <c r="K10" s="1533"/>
      <c r="L10" s="388"/>
      <c r="M10" s="388"/>
      <c r="N10" s="388"/>
      <c r="O10" s="388"/>
      <c r="P10" s="388"/>
      <c r="Q10" s="388"/>
      <c r="R10" s="388"/>
      <c r="S10" s="218"/>
      <c r="T10" s="388"/>
      <c r="U10" s="388"/>
      <c r="V10" s="388"/>
      <c r="W10" s="1504"/>
      <c r="X10" s="1504"/>
      <c r="Y10" s="1504"/>
      <c r="Z10" s="1504"/>
      <c r="AA10" s="1504"/>
      <c r="AB10" s="1502"/>
      <c r="AC10" s="600">
        <f t="shared" si="0"/>
        <v>0</v>
      </c>
      <c r="AD10" s="149">
        <f t="shared" si="1"/>
        <v>0</v>
      </c>
      <c r="AE10" s="146">
        <f t="shared" si="27"/>
        <v>0</v>
      </c>
      <c r="AF10" s="112"/>
      <c r="AI10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10))),"")</f>
        <v/>
      </c>
      <c r="AJ10" s="1437" t="str">
        <f t="shared" si="2"/>
        <v/>
      </c>
      <c r="AK10" s="1436" t="str">
        <f t="shared" si="3"/>
        <v/>
      </c>
      <c r="AL10" s="1436" t="str">
        <f t="shared" si="4"/>
        <v/>
      </c>
      <c r="AM10" s="1436" t="str">
        <f t="shared" si="5"/>
        <v/>
      </c>
      <c r="AN10" s="1436" t="str">
        <f t="shared" si="6"/>
        <v/>
      </c>
      <c r="AO10" s="1436" t="str">
        <f t="shared" si="7"/>
        <v/>
      </c>
      <c r="AP10" s="1436" t="str">
        <f t="shared" si="8"/>
        <v/>
      </c>
      <c r="AQ10" s="1436" t="str">
        <f t="shared" si="9"/>
        <v/>
      </c>
      <c r="AR10" s="1436" t="str">
        <f t="shared" si="10"/>
        <v/>
      </c>
      <c r="AS10" s="1436" t="str">
        <f t="shared" si="11"/>
        <v/>
      </c>
      <c r="AT10" s="1436" t="str">
        <f t="shared" si="12"/>
        <v/>
      </c>
      <c r="AU10" s="1436" t="str">
        <f t="shared" si="13"/>
        <v/>
      </c>
      <c r="AV10" s="1436" t="str">
        <f t="shared" si="14"/>
        <v/>
      </c>
      <c r="AW10" s="1436" t="str">
        <f t="shared" si="15"/>
        <v/>
      </c>
      <c r="AX10" s="1436" t="str">
        <f t="shared" si="16"/>
        <v/>
      </c>
      <c r="AY10" s="1436" t="str">
        <f t="shared" si="17"/>
        <v/>
      </c>
      <c r="AZ10" s="1436" t="str">
        <f t="shared" si="18"/>
        <v/>
      </c>
      <c r="BA10" s="1436" t="str">
        <f t="shared" si="19"/>
        <v/>
      </c>
      <c r="BB10" s="1436" t="str">
        <f t="shared" si="20"/>
        <v/>
      </c>
      <c r="BC10" s="1436"/>
      <c r="BD10" s="1436"/>
      <c r="BE10" s="1436"/>
      <c r="BF10" s="1436"/>
      <c r="BG10" s="1436" t="str">
        <f t="shared" si="21"/>
        <v/>
      </c>
      <c r="BH10" s="1436" t="str">
        <f t="shared" si="22"/>
        <v/>
      </c>
      <c r="BI10" s="1436" t="str">
        <f t="shared" si="23"/>
        <v/>
      </c>
      <c r="BJ10" s="1436"/>
      <c r="BM10" s="662" t="str">
        <f>IFERROR(INDEX($C$6:$C$53,_xlfn.AGGREGATE(15,6,(ROW($AE$6:$AE$53)-ROW($AE$6)+1)/(($AE$6:$AE$53&gt;0)*(MOD($AE$6:$AE$53,20)=10)),ROWS($BM$6:BM10))),"")</f>
        <v/>
      </c>
      <c r="BN10" s="662" t="str">
        <f t="shared" si="24"/>
        <v/>
      </c>
      <c r="BO10" s="662" t="str">
        <f t="shared" si="25"/>
        <v/>
      </c>
      <c r="BP10" s="662" t="str">
        <f t="shared" si="26"/>
        <v/>
      </c>
    </row>
    <row r="11" spans="1:69" ht="45.75">
      <c r="A11" s="2257"/>
      <c r="C11" s="42">
        <f>+PP!B29</f>
        <v>6</v>
      </c>
      <c r="D11" s="164" t="str">
        <f>+PP!C29</f>
        <v>ALETA ENTERA 500-1000 g/pza</v>
      </c>
      <c r="E11" s="1533"/>
      <c r="F11" s="388"/>
      <c r="G11" s="1504"/>
      <c r="H11" s="1895"/>
      <c r="I11" s="388"/>
      <c r="J11" s="1896"/>
      <c r="K11" s="1533"/>
      <c r="L11" s="388"/>
      <c r="M11" s="388"/>
      <c r="N11" s="388"/>
      <c r="O11" s="388"/>
      <c r="P11" s="388"/>
      <c r="Q11" s="388"/>
      <c r="R11" s="388"/>
      <c r="S11" s="218"/>
      <c r="T11" s="388"/>
      <c r="U11" s="388"/>
      <c r="V11" s="388"/>
      <c r="W11" s="1504"/>
      <c r="X11" s="1504"/>
      <c r="Y11" s="1504"/>
      <c r="Z11" s="1504"/>
      <c r="AA11" s="1504"/>
      <c r="AB11" s="1502"/>
      <c r="AC11" s="600">
        <f t="shared" si="0"/>
        <v>0</v>
      </c>
      <c r="AD11" s="149">
        <f t="shared" si="1"/>
        <v>0</v>
      </c>
      <c r="AE11" s="146">
        <f t="shared" si="27"/>
        <v>0</v>
      </c>
      <c r="AF11" s="112"/>
      <c r="AI11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11))),"")</f>
        <v/>
      </c>
      <c r="AJ11" s="1437" t="str">
        <f t="shared" si="2"/>
        <v/>
      </c>
      <c r="AK11" s="1436" t="str">
        <f t="shared" si="3"/>
        <v/>
      </c>
      <c r="AL11" s="1436" t="str">
        <f t="shared" si="4"/>
        <v/>
      </c>
      <c r="AM11" s="1436" t="str">
        <f t="shared" si="5"/>
        <v/>
      </c>
      <c r="AN11" s="1436" t="str">
        <f t="shared" si="6"/>
        <v/>
      </c>
      <c r="AO11" s="1436" t="str">
        <f t="shared" si="7"/>
        <v/>
      </c>
      <c r="AP11" s="1436" t="str">
        <f t="shared" si="8"/>
        <v/>
      </c>
      <c r="AQ11" s="1436" t="str">
        <f t="shared" si="9"/>
        <v/>
      </c>
      <c r="AR11" s="1436" t="str">
        <f t="shared" si="10"/>
        <v/>
      </c>
      <c r="AS11" s="1436" t="str">
        <f t="shared" si="11"/>
        <v/>
      </c>
      <c r="AT11" s="1436" t="str">
        <f t="shared" si="12"/>
        <v/>
      </c>
      <c r="AU11" s="1436" t="str">
        <f t="shared" si="13"/>
        <v/>
      </c>
      <c r="AV11" s="1436" t="str">
        <f t="shared" si="14"/>
        <v/>
      </c>
      <c r="AW11" s="1436" t="str">
        <f t="shared" si="15"/>
        <v/>
      </c>
      <c r="AX11" s="1436" t="str">
        <f t="shared" si="16"/>
        <v/>
      </c>
      <c r="AY11" s="1436" t="str">
        <f t="shared" si="17"/>
        <v/>
      </c>
      <c r="AZ11" s="1436" t="str">
        <f t="shared" si="18"/>
        <v/>
      </c>
      <c r="BA11" s="1436" t="str">
        <f t="shared" si="19"/>
        <v/>
      </c>
      <c r="BB11" s="1436" t="str">
        <f t="shared" si="20"/>
        <v/>
      </c>
      <c r="BC11" s="1436"/>
      <c r="BD11" s="1436"/>
      <c r="BE11" s="1436"/>
      <c r="BF11" s="1436"/>
      <c r="BG11" s="1436" t="str">
        <f t="shared" si="21"/>
        <v/>
      </c>
      <c r="BH11" s="1436" t="str">
        <f t="shared" si="22"/>
        <v/>
      </c>
      <c r="BI11" s="1436" t="str">
        <f t="shared" si="23"/>
        <v/>
      </c>
      <c r="BJ11" s="1436"/>
      <c r="BM11" s="662" t="str">
        <f>IFERROR(INDEX($C$6:$C$53,_xlfn.AGGREGATE(15,6,(ROW($AE$6:$AE$53)-ROW($AE$6)+1)/(($AE$6:$AE$53&gt;0)*(MOD($AE$6:$AE$53,20)=10)),ROWS($BM$6:BM11))),"")</f>
        <v/>
      </c>
      <c r="BN11" s="662" t="str">
        <f t="shared" si="24"/>
        <v/>
      </c>
      <c r="BO11" s="662" t="str">
        <f t="shared" si="25"/>
        <v/>
      </c>
      <c r="BP11" s="662" t="str">
        <f t="shared" si="26"/>
        <v/>
      </c>
    </row>
    <row r="12" spans="1:69" ht="45.75">
      <c r="A12" s="2257"/>
      <c r="C12" s="42">
        <f>+PP!B30</f>
        <v>7</v>
      </c>
      <c r="D12" s="164" t="str">
        <f>+PP!C30</f>
        <v>ALETA ENTERA 1.0-2.0 kg/pza</v>
      </c>
      <c r="E12" s="1533"/>
      <c r="F12" s="388"/>
      <c r="G12" s="1504"/>
      <c r="H12" s="1895"/>
      <c r="I12" s="388"/>
      <c r="J12" s="1896"/>
      <c r="K12" s="1888"/>
      <c r="L12" s="1534"/>
      <c r="M12" s="388"/>
      <c r="N12" s="388"/>
      <c r="O12" s="388"/>
      <c r="P12" s="388"/>
      <c r="Q12" s="388"/>
      <c r="R12" s="388"/>
      <c r="S12" s="218"/>
      <c r="T12" s="388"/>
      <c r="U12" s="388"/>
      <c r="V12" s="388"/>
      <c r="W12" s="1504"/>
      <c r="X12" s="1504"/>
      <c r="Y12" s="1504"/>
      <c r="Z12" s="1504"/>
      <c r="AA12" s="1504"/>
      <c r="AB12" s="1502"/>
      <c r="AC12" s="600">
        <f t="shared" si="0"/>
        <v>0</v>
      </c>
      <c r="AD12" s="149">
        <f t="shared" si="1"/>
        <v>0</v>
      </c>
      <c r="AE12" s="146">
        <f t="shared" si="27"/>
        <v>0</v>
      </c>
      <c r="AF12" s="112"/>
      <c r="AI12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12))),"")</f>
        <v/>
      </c>
      <c r="AJ12" s="1437" t="str">
        <f t="shared" si="2"/>
        <v/>
      </c>
      <c r="AK12" s="1436" t="str">
        <f t="shared" si="3"/>
        <v/>
      </c>
      <c r="AL12" s="1436" t="str">
        <f t="shared" si="4"/>
        <v/>
      </c>
      <c r="AM12" s="1436" t="str">
        <f t="shared" si="5"/>
        <v/>
      </c>
      <c r="AN12" s="1436" t="str">
        <f t="shared" si="6"/>
        <v/>
      </c>
      <c r="AO12" s="1436" t="str">
        <f t="shared" si="7"/>
        <v/>
      </c>
      <c r="AP12" s="1436" t="str">
        <f t="shared" si="8"/>
        <v/>
      </c>
      <c r="AQ12" s="1436" t="str">
        <f t="shared" si="9"/>
        <v/>
      </c>
      <c r="AR12" s="1436" t="str">
        <f t="shared" si="10"/>
        <v/>
      </c>
      <c r="AS12" s="1436" t="str">
        <f t="shared" si="11"/>
        <v/>
      </c>
      <c r="AT12" s="1436" t="str">
        <f t="shared" si="12"/>
        <v/>
      </c>
      <c r="AU12" s="1436" t="str">
        <f t="shared" si="13"/>
        <v/>
      </c>
      <c r="AV12" s="1436" t="str">
        <f t="shared" si="14"/>
        <v/>
      </c>
      <c r="AW12" s="1436" t="str">
        <f t="shared" si="15"/>
        <v/>
      </c>
      <c r="AX12" s="1436" t="str">
        <f t="shared" si="16"/>
        <v/>
      </c>
      <c r="AY12" s="1436" t="str">
        <f t="shared" si="17"/>
        <v/>
      </c>
      <c r="AZ12" s="1436" t="str">
        <f t="shared" si="18"/>
        <v/>
      </c>
      <c r="BA12" s="1436" t="str">
        <f t="shared" si="19"/>
        <v/>
      </c>
      <c r="BB12" s="1436" t="str">
        <f t="shared" si="20"/>
        <v/>
      </c>
      <c r="BC12" s="1436"/>
      <c r="BD12" s="1436"/>
      <c r="BE12" s="1436"/>
      <c r="BF12" s="1436"/>
      <c r="BG12" s="1436" t="str">
        <f t="shared" si="21"/>
        <v/>
      </c>
      <c r="BH12" s="1436" t="str">
        <f t="shared" si="22"/>
        <v/>
      </c>
      <c r="BI12" s="1436" t="str">
        <f t="shared" si="23"/>
        <v/>
      </c>
      <c r="BJ12" s="1436"/>
      <c r="BM12" s="662" t="str">
        <f>IFERROR(INDEX($C$6:$C$53,_xlfn.AGGREGATE(15,6,(ROW($AE$6:$AE$53)-ROW($AE$6)+1)/(($AE$6:$AE$53&gt;0)*(MOD($AE$6:$AE$53,20)=10)),ROWS($BM$6:BM12))),"")</f>
        <v/>
      </c>
      <c r="BN12" s="662" t="str">
        <f t="shared" si="24"/>
        <v/>
      </c>
      <c r="BO12" s="662" t="str">
        <f t="shared" si="25"/>
        <v/>
      </c>
      <c r="BP12" s="662" t="str">
        <f t="shared" si="26"/>
        <v/>
      </c>
    </row>
    <row r="13" spans="1:69" ht="45.75">
      <c r="A13" s="2257"/>
      <c r="C13" s="42">
        <f>+PP!B31</f>
        <v>8</v>
      </c>
      <c r="D13" s="164" t="str">
        <f>+PP!C31</f>
        <v>ALETA FRESCA PARTIDA 2.0-4.0 kg/pza</v>
      </c>
      <c r="E13" s="1533"/>
      <c r="F13" s="388"/>
      <c r="G13" s="1504"/>
      <c r="H13" s="1895"/>
      <c r="I13" s="388"/>
      <c r="J13" s="1896"/>
      <c r="K13" s="1533"/>
      <c r="L13" s="388"/>
      <c r="M13" s="388"/>
      <c r="N13" s="388"/>
      <c r="O13" s="388"/>
      <c r="P13" s="388"/>
      <c r="Q13" s="388"/>
      <c r="R13" s="388"/>
      <c r="S13" s="218"/>
      <c r="T13" s="388"/>
      <c r="U13" s="388"/>
      <c r="V13" s="388"/>
      <c r="W13" s="1504"/>
      <c r="X13" s="1504"/>
      <c r="Y13" s="1504"/>
      <c r="Z13" s="1504"/>
      <c r="AA13" s="1504"/>
      <c r="AB13" s="1502"/>
      <c r="AC13" s="600">
        <f t="shared" si="0"/>
        <v>0</v>
      </c>
      <c r="AD13" s="149">
        <f t="shared" si="1"/>
        <v>0</v>
      </c>
      <c r="AE13" s="146">
        <f t="shared" si="27"/>
        <v>0</v>
      </c>
      <c r="AF13" s="946">
        <f>SUM(AE9:AE15)</f>
        <v>0</v>
      </c>
      <c r="AI13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13))),"")</f>
        <v/>
      </c>
      <c r="AJ13" s="1437" t="str">
        <f t="shared" si="2"/>
        <v/>
      </c>
      <c r="AK13" s="1436" t="str">
        <f t="shared" si="3"/>
        <v/>
      </c>
      <c r="AL13" s="1436" t="str">
        <f t="shared" si="4"/>
        <v/>
      </c>
      <c r="AM13" s="1436" t="str">
        <f t="shared" si="5"/>
        <v/>
      </c>
      <c r="AN13" s="1436" t="str">
        <f t="shared" si="6"/>
        <v/>
      </c>
      <c r="AO13" s="1436" t="str">
        <f t="shared" si="7"/>
        <v/>
      </c>
      <c r="AP13" s="1436" t="str">
        <f t="shared" si="8"/>
        <v/>
      </c>
      <c r="AQ13" s="1436" t="str">
        <f t="shared" si="9"/>
        <v/>
      </c>
      <c r="AR13" s="1436" t="str">
        <f t="shared" si="10"/>
        <v/>
      </c>
      <c r="AS13" s="1436" t="str">
        <f t="shared" si="11"/>
        <v/>
      </c>
      <c r="AT13" s="1436" t="str">
        <f t="shared" si="12"/>
        <v/>
      </c>
      <c r="AU13" s="1436" t="str">
        <f t="shared" si="13"/>
        <v/>
      </c>
      <c r="AV13" s="1436" t="str">
        <f t="shared" si="14"/>
        <v/>
      </c>
      <c r="AW13" s="1436" t="str">
        <f t="shared" si="15"/>
        <v/>
      </c>
      <c r="AX13" s="1436" t="str">
        <f t="shared" si="16"/>
        <v/>
      </c>
      <c r="AY13" s="1436" t="str">
        <f t="shared" si="17"/>
        <v/>
      </c>
      <c r="AZ13" s="1436" t="str">
        <f t="shared" si="18"/>
        <v/>
      </c>
      <c r="BA13" s="1436" t="str">
        <f t="shared" si="19"/>
        <v/>
      </c>
      <c r="BB13" s="1436" t="str">
        <f t="shared" si="20"/>
        <v/>
      </c>
      <c r="BC13" s="1436"/>
      <c r="BD13" s="1436"/>
      <c r="BE13" s="1436"/>
      <c r="BF13" s="1436"/>
      <c r="BG13" s="1436" t="str">
        <f t="shared" si="21"/>
        <v/>
      </c>
      <c r="BH13" s="1436" t="str">
        <f t="shared" si="22"/>
        <v/>
      </c>
      <c r="BI13" s="1436" t="str">
        <f t="shared" si="23"/>
        <v/>
      </c>
      <c r="BJ13" s="1436"/>
      <c r="BM13" s="662" t="str">
        <f>IFERROR(INDEX($C$6:$C$53,_xlfn.AGGREGATE(15,6,(ROW($AE$6:$AE$53)-ROW($AE$6)+1)/(($AE$6:$AE$53&gt;0)*(MOD($AE$6:$AE$53,20)=10)),ROWS($BM$6:BM13))),"")</f>
        <v/>
      </c>
      <c r="BN13" s="662" t="str">
        <f t="shared" si="24"/>
        <v/>
      </c>
      <c r="BO13" s="662" t="str">
        <f t="shared" si="25"/>
        <v/>
      </c>
      <c r="BP13" s="662" t="str">
        <f t="shared" si="26"/>
        <v/>
      </c>
    </row>
    <row r="14" spans="1:69" ht="45.75">
      <c r="A14" s="2257"/>
      <c r="C14" s="42">
        <f>+PP!B32</f>
        <v>9</v>
      </c>
      <c r="D14" s="164" t="str">
        <f>+PP!C32</f>
        <v>ALETA PRECOCIDA ENTERA 300-UP g/pza</v>
      </c>
      <c r="E14" s="1533"/>
      <c r="F14" s="388"/>
      <c r="G14" s="1504"/>
      <c r="H14" s="1895"/>
      <c r="I14" s="388"/>
      <c r="J14" s="1896"/>
      <c r="K14" s="1533"/>
      <c r="L14" s="388"/>
      <c r="M14" s="388"/>
      <c r="N14" s="388"/>
      <c r="O14" s="388"/>
      <c r="P14" s="388"/>
      <c r="Q14" s="388"/>
      <c r="R14" s="388"/>
      <c r="S14" s="218"/>
      <c r="T14" s="388"/>
      <c r="U14" s="388"/>
      <c r="V14" s="388"/>
      <c r="W14" s="1504"/>
      <c r="X14" s="1504"/>
      <c r="Y14" s="1504"/>
      <c r="Z14" s="1504"/>
      <c r="AA14" s="1504"/>
      <c r="AB14" s="1502"/>
      <c r="AC14" s="600">
        <f t="shared" si="0"/>
        <v>0</v>
      </c>
      <c r="AD14" s="149">
        <f t="shared" si="1"/>
        <v>0</v>
      </c>
      <c r="AE14" s="146">
        <f t="shared" si="27"/>
        <v>0</v>
      </c>
      <c r="AF14" s="112"/>
      <c r="AI14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14))),"")</f>
        <v/>
      </c>
      <c r="AJ14" s="1437" t="str">
        <f t="shared" si="2"/>
        <v/>
      </c>
      <c r="AK14" s="1436" t="str">
        <f t="shared" si="3"/>
        <v/>
      </c>
      <c r="AL14" s="1436" t="str">
        <f t="shared" si="4"/>
        <v/>
      </c>
      <c r="AM14" s="1436" t="str">
        <f t="shared" si="5"/>
        <v/>
      </c>
      <c r="AN14" s="1436" t="str">
        <f t="shared" si="6"/>
        <v/>
      </c>
      <c r="AO14" s="1436" t="str">
        <f t="shared" si="7"/>
        <v/>
      </c>
      <c r="AP14" s="1436" t="str">
        <f t="shared" si="8"/>
        <v/>
      </c>
      <c r="AQ14" s="1436" t="str">
        <f t="shared" si="9"/>
        <v/>
      </c>
      <c r="AR14" s="1436" t="str">
        <f t="shared" si="10"/>
        <v/>
      </c>
      <c r="AS14" s="1436" t="str">
        <f t="shared" si="11"/>
        <v/>
      </c>
      <c r="AT14" s="1436" t="str">
        <f t="shared" si="12"/>
        <v/>
      </c>
      <c r="AU14" s="1436" t="str">
        <f t="shared" si="13"/>
        <v/>
      </c>
      <c r="AV14" s="1436" t="str">
        <f t="shared" si="14"/>
        <v/>
      </c>
      <c r="AW14" s="1436" t="str">
        <f t="shared" si="15"/>
        <v/>
      </c>
      <c r="AX14" s="1436" t="str">
        <f t="shared" si="16"/>
        <v/>
      </c>
      <c r="AY14" s="1436" t="str">
        <f t="shared" si="17"/>
        <v/>
      </c>
      <c r="AZ14" s="1436" t="str">
        <f t="shared" si="18"/>
        <v/>
      </c>
      <c r="BA14" s="1436" t="str">
        <f t="shared" si="19"/>
        <v/>
      </c>
      <c r="BB14" s="1436" t="str">
        <f t="shared" si="20"/>
        <v/>
      </c>
      <c r="BC14" s="1436"/>
      <c r="BD14" s="1436"/>
      <c r="BE14" s="1436"/>
      <c r="BF14" s="1436"/>
      <c r="BG14" s="1436" t="str">
        <f t="shared" si="21"/>
        <v/>
      </c>
      <c r="BH14" s="1436" t="str">
        <f t="shared" si="22"/>
        <v/>
      </c>
      <c r="BI14" s="1436" t="str">
        <f t="shared" si="23"/>
        <v/>
      </c>
      <c r="BJ14" s="1436"/>
      <c r="BM14" s="662" t="str">
        <f>IFERROR(INDEX($C$6:$C$53,_xlfn.AGGREGATE(15,6,(ROW($AE$6:$AE$53)-ROW($AE$6)+1)/(($AE$6:$AE$53&gt;0)*(MOD($AE$6:$AE$53,20)=10)),ROWS($BM$6:BM14))),"")</f>
        <v/>
      </c>
      <c r="BN14" s="662" t="str">
        <f t="shared" si="24"/>
        <v/>
      </c>
      <c r="BO14" s="662" t="str">
        <f t="shared" si="25"/>
        <v/>
      </c>
      <c r="BP14" s="662" t="str">
        <f t="shared" si="26"/>
        <v/>
      </c>
    </row>
    <row r="15" spans="1:69" ht="46.5" thickBot="1">
      <c r="A15" s="2257"/>
      <c r="C15" s="42">
        <f>+PP!B33</f>
        <v>10</v>
      </c>
      <c r="D15" s="163" t="str">
        <f>+PP!C33</f>
        <v>ALETA PRECOCIDA PARTIDA 300-UP g/pza</v>
      </c>
      <c r="E15" s="1535"/>
      <c r="F15" s="1008"/>
      <c r="G15" s="1506"/>
      <c r="H15" s="1897"/>
      <c r="I15" s="1008"/>
      <c r="J15" s="1898"/>
      <c r="K15" s="1535"/>
      <c r="L15" s="1008"/>
      <c r="M15" s="1008"/>
      <c r="N15" s="1008"/>
      <c r="O15" s="1008"/>
      <c r="P15" s="1008"/>
      <c r="Q15" s="1008"/>
      <c r="R15" s="1008"/>
      <c r="S15" s="215"/>
      <c r="T15" s="1008"/>
      <c r="U15" s="1008"/>
      <c r="V15" s="1008"/>
      <c r="W15" s="1506"/>
      <c r="X15" s="1506"/>
      <c r="Y15" s="1506"/>
      <c r="Z15" s="1506"/>
      <c r="AA15" s="1506"/>
      <c r="AB15" s="1500"/>
      <c r="AC15" s="601">
        <f t="shared" si="0"/>
        <v>0</v>
      </c>
      <c r="AD15" s="150">
        <f t="shared" si="1"/>
        <v>0</v>
      </c>
      <c r="AE15" s="147">
        <f t="shared" si="27"/>
        <v>0</v>
      </c>
      <c r="AF15" s="112"/>
      <c r="AI15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15))),"")</f>
        <v/>
      </c>
      <c r="AJ15" s="1437" t="str">
        <f t="shared" si="2"/>
        <v/>
      </c>
      <c r="AK15" s="1436" t="str">
        <f t="shared" si="3"/>
        <v/>
      </c>
      <c r="AL15" s="1436" t="str">
        <f t="shared" si="4"/>
        <v/>
      </c>
      <c r="AM15" s="1436" t="str">
        <f t="shared" si="5"/>
        <v/>
      </c>
      <c r="AN15" s="1436" t="str">
        <f t="shared" si="6"/>
        <v/>
      </c>
      <c r="AO15" s="1436" t="str">
        <f t="shared" si="7"/>
        <v/>
      </c>
      <c r="AP15" s="1436" t="str">
        <f t="shared" si="8"/>
        <v/>
      </c>
      <c r="AQ15" s="1436" t="str">
        <f t="shared" si="9"/>
        <v/>
      </c>
      <c r="AR15" s="1436" t="str">
        <f t="shared" si="10"/>
        <v/>
      </c>
      <c r="AS15" s="1436" t="str">
        <f t="shared" si="11"/>
        <v/>
      </c>
      <c r="AT15" s="1436" t="str">
        <f t="shared" si="12"/>
        <v/>
      </c>
      <c r="AU15" s="1436" t="str">
        <f t="shared" si="13"/>
        <v/>
      </c>
      <c r="AV15" s="1436" t="str">
        <f t="shared" si="14"/>
        <v/>
      </c>
      <c r="AW15" s="1436" t="str">
        <f t="shared" si="15"/>
        <v/>
      </c>
      <c r="AX15" s="1436" t="str">
        <f t="shared" si="16"/>
        <v/>
      </c>
      <c r="AY15" s="1436" t="str">
        <f t="shared" si="17"/>
        <v/>
      </c>
      <c r="AZ15" s="1436" t="str">
        <f t="shared" si="18"/>
        <v/>
      </c>
      <c r="BA15" s="1436" t="str">
        <f t="shared" si="19"/>
        <v/>
      </c>
      <c r="BB15" s="1436" t="str">
        <f t="shared" si="20"/>
        <v/>
      </c>
      <c r="BC15" s="1436"/>
      <c r="BD15" s="1436"/>
      <c r="BE15" s="1436"/>
      <c r="BF15" s="1436"/>
      <c r="BG15" s="1436" t="str">
        <f t="shared" si="21"/>
        <v/>
      </c>
      <c r="BH15" s="1436" t="str">
        <f t="shared" si="22"/>
        <v/>
      </c>
      <c r="BI15" s="1436" t="str">
        <f t="shared" si="23"/>
        <v/>
      </c>
      <c r="BJ15" s="1436"/>
      <c r="BM15" s="662" t="str">
        <f>IFERROR(INDEX($C$6:$C$53,_xlfn.AGGREGATE(15,6,(ROW($AE$6:$AE$53)-ROW($AE$6)+1)/(($AE$6:$AE$53&gt;0)*(MOD($AE$6:$AE$53,20)=10)),ROWS($BM$6:BM15))),"")</f>
        <v/>
      </c>
      <c r="BN15" s="662" t="str">
        <f t="shared" si="24"/>
        <v/>
      </c>
      <c r="BO15" s="662" t="str">
        <f t="shared" si="25"/>
        <v/>
      </c>
      <c r="BP15" s="662" t="str">
        <f t="shared" si="26"/>
        <v/>
      </c>
    </row>
    <row r="16" spans="1:69" ht="45.75">
      <c r="A16" s="2257"/>
      <c r="C16" s="42">
        <f>+PP!B34</f>
        <v>11</v>
      </c>
      <c r="D16" s="162" t="str">
        <f>+PP!C34</f>
        <v>BOTON BLANCO SM ST</v>
      </c>
      <c r="E16" s="1536"/>
      <c r="F16" s="1007"/>
      <c r="G16" s="1503"/>
      <c r="H16" s="1893"/>
      <c r="I16" s="1007"/>
      <c r="J16" s="1894"/>
      <c r="K16" s="1536"/>
      <c r="L16" s="1007"/>
      <c r="M16" s="1007"/>
      <c r="N16" s="1007"/>
      <c r="O16" s="1155"/>
      <c r="P16" s="1155"/>
      <c r="Q16" s="1155"/>
      <c r="R16" s="1155"/>
      <c r="S16" s="224"/>
      <c r="T16" s="1155"/>
      <c r="U16" s="1155"/>
      <c r="V16" s="1155"/>
      <c r="W16" s="1155"/>
      <c r="X16" s="1155"/>
      <c r="Y16" s="1155"/>
      <c r="Z16" s="1155"/>
      <c r="AA16" s="1155"/>
      <c r="AB16" s="1155"/>
      <c r="AC16" s="602">
        <f t="shared" si="0"/>
        <v>0</v>
      </c>
      <c r="AD16" s="151">
        <f t="shared" si="1"/>
        <v>0</v>
      </c>
      <c r="AE16" s="152">
        <f t="shared" si="27"/>
        <v>0</v>
      </c>
      <c r="AI16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16))),"")</f>
        <v/>
      </c>
      <c r="AJ16" s="1437" t="str">
        <f t="shared" si="2"/>
        <v/>
      </c>
      <c r="AK16" s="1436" t="str">
        <f t="shared" si="3"/>
        <v/>
      </c>
      <c r="AL16" s="1436" t="str">
        <f t="shared" si="4"/>
        <v/>
      </c>
      <c r="AM16" s="1436" t="str">
        <f t="shared" si="5"/>
        <v/>
      </c>
      <c r="AN16" s="1436" t="str">
        <f t="shared" si="6"/>
        <v/>
      </c>
      <c r="AO16" s="1436" t="str">
        <f t="shared" si="7"/>
        <v/>
      </c>
      <c r="AP16" s="1436" t="str">
        <f t="shared" si="8"/>
        <v/>
      </c>
      <c r="AQ16" s="1436" t="str">
        <f t="shared" si="9"/>
        <v/>
      </c>
      <c r="AR16" s="1436" t="str">
        <f t="shared" si="10"/>
        <v/>
      </c>
      <c r="AS16" s="1436" t="str">
        <f t="shared" si="11"/>
        <v/>
      </c>
      <c r="AT16" s="1436" t="str">
        <f t="shared" si="12"/>
        <v/>
      </c>
      <c r="AU16" s="1436" t="str">
        <f t="shared" si="13"/>
        <v/>
      </c>
      <c r="AV16" s="1436" t="str">
        <f t="shared" si="14"/>
        <v/>
      </c>
      <c r="AW16" s="1436" t="str">
        <f t="shared" si="15"/>
        <v/>
      </c>
      <c r="AX16" s="1436" t="str">
        <f t="shared" si="16"/>
        <v/>
      </c>
      <c r="AY16" s="1436" t="str">
        <f t="shared" si="17"/>
        <v/>
      </c>
      <c r="AZ16" s="1436" t="str">
        <f t="shared" si="18"/>
        <v/>
      </c>
      <c r="BA16" s="1436" t="str">
        <f t="shared" si="19"/>
        <v/>
      </c>
      <c r="BB16" s="1436" t="str">
        <f t="shared" si="20"/>
        <v/>
      </c>
      <c r="BC16" s="1436"/>
      <c r="BD16" s="1436"/>
      <c r="BE16" s="1436"/>
      <c r="BF16" s="1436"/>
      <c r="BG16" s="1436" t="str">
        <f t="shared" si="21"/>
        <v/>
      </c>
      <c r="BH16" s="1436" t="str">
        <f t="shared" si="22"/>
        <v/>
      </c>
      <c r="BI16" s="1436" t="str">
        <f t="shared" si="23"/>
        <v/>
      </c>
      <c r="BJ16" s="1436"/>
      <c r="BM16" s="662" t="str">
        <f>IFERROR(INDEX($C$6:$C$53,_xlfn.AGGREGATE(15,6,(ROW($AE$6:$AE$53)-ROW($AE$6)+1)/(($AE$6:$AE$53&gt;0)*(MOD($AE$6:$AE$53,20)=10)),ROWS($BM$6:BM16))),"")</f>
        <v/>
      </c>
      <c r="BN16" s="662" t="str">
        <f t="shared" si="24"/>
        <v/>
      </c>
      <c r="BO16" s="662" t="str">
        <f t="shared" si="25"/>
        <v/>
      </c>
      <c r="BP16" s="662" t="str">
        <f t="shared" si="26"/>
        <v/>
      </c>
    </row>
    <row r="17" spans="1:68" ht="46.5" thickBot="1">
      <c r="A17" s="2257"/>
      <c r="C17" s="42">
        <f>+PP!B35</f>
        <v>12</v>
      </c>
      <c r="D17" s="163" t="str">
        <f>+PP!C35</f>
        <v>BOTON AMARILLO SM ST</v>
      </c>
      <c r="E17" s="1535"/>
      <c r="F17" s="1008"/>
      <c r="G17" s="1506"/>
      <c r="H17" s="1897"/>
      <c r="I17" s="1008"/>
      <c r="J17" s="1898"/>
      <c r="K17" s="1535"/>
      <c r="L17" s="1008"/>
      <c r="M17" s="1008"/>
      <c r="N17" s="1008"/>
      <c r="O17" s="1154"/>
      <c r="P17" s="1154"/>
      <c r="Q17" s="1154"/>
      <c r="R17" s="1154"/>
      <c r="S17" s="227"/>
      <c r="T17" s="1154"/>
      <c r="U17" s="1154"/>
      <c r="V17" s="1154"/>
      <c r="W17" s="1154"/>
      <c r="X17" s="1154"/>
      <c r="Y17" s="1154"/>
      <c r="Z17" s="1154"/>
      <c r="AA17" s="1154"/>
      <c r="AB17" s="1154"/>
      <c r="AC17" s="603">
        <f t="shared" si="0"/>
        <v>0</v>
      </c>
      <c r="AD17" s="155">
        <f t="shared" si="1"/>
        <v>0</v>
      </c>
      <c r="AE17" s="156">
        <f t="shared" si="27"/>
        <v>0</v>
      </c>
      <c r="AI17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17))),"")</f>
        <v/>
      </c>
      <c r="AJ17" s="1437" t="str">
        <f t="shared" si="2"/>
        <v/>
      </c>
      <c r="AK17" s="1436" t="str">
        <f t="shared" si="3"/>
        <v/>
      </c>
      <c r="AL17" s="1436" t="str">
        <f t="shared" si="4"/>
        <v/>
      </c>
      <c r="AM17" s="1436" t="str">
        <f t="shared" si="5"/>
        <v/>
      </c>
      <c r="AN17" s="1436" t="str">
        <f t="shared" si="6"/>
        <v/>
      </c>
      <c r="AO17" s="1436" t="str">
        <f t="shared" si="7"/>
        <v/>
      </c>
      <c r="AP17" s="1436" t="str">
        <f t="shared" si="8"/>
        <v/>
      </c>
      <c r="AQ17" s="1436" t="str">
        <f t="shared" si="9"/>
        <v/>
      </c>
      <c r="AR17" s="1436" t="str">
        <f t="shared" si="10"/>
        <v/>
      </c>
      <c r="AS17" s="1436" t="str">
        <f t="shared" si="11"/>
        <v/>
      </c>
      <c r="AT17" s="1436" t="str">
        <f t="shared" si="12"/>
        <v/>
      </c>
      <c r="AU17" s="1436" t="str">
        <f t="shared" si="13"/>
        <v/>
      </c>
      <c r="AV17" s="1436" t="str">
        <f t="shared" si="14"/>
        <v/>
      </c>
      <c r="AW17" s="1436" t="str">
        <f t="shared" si="15"/>
        <v/>
      </c>
      <c r="AX17" s="1436" t="str">
        <f t="shared" si="16"/>
        <v/>
      </c>
      <c r="AY17" s="1436" t="str">
        <f t="shared" si="17"/>
        <v/>
      </c>
      <c r="AZ17" s="1436" t="str">
        <f t="shared" si="18"/>
        <v/>
      </c>
      <c r="BA17" s="1436" t="str">
        <f t="shared" si="19"/>
        <v/>
      </c>
      <c r="BB17" s="1436" t="str">
        <f t="shared" si="20"/>
        <v/>
      </c>
      <c r="BC17" s="1436"/>
      <c r="BD17" s="1436"/>
      <c r="BE17" s="1436"/>
      <c r="BF17" s="1436"/>
      <c r="BG17" s="1436" t="str">
        <f t="shared" si="21"/>
        <v/>
      </c>
      <c r="BH17" s="1436" t="str">
        <f t="shared" si="22"/>
        <v/>
      </c>
      <c r="BI17" s="1436" t="str">
        <f t="shared" si="23"/>
        <v/>
      </c>
      <c r="BJ17" s="1436"/>
      <c r="BM17" s="662" t="str">
        <f>IFERROR(INDEX($C$6:$C$53,_xlfn.AGGREGATE(15,6,(ROW($AE$6:$AE$53)-ROW($AE$6)+1)/(($AE$6:$AE$53&gt;0)*(MOD($AE$6:$AE$53,20)=10)),ROWS($BM$6:BM17))),"")</f>
        <v/>
      </c>
      <c r="BN17" s="662" t="str">
        <f t="shared" si="24"/>
        <v/>
      </c>
      <c r="BO17" s="662" t="str">
        <f t="shared" si="25"/>
        <v/>
      </c>
      <c r="BP17" s="662" t="str">
        <f t="shared" si="26"/>
        <v/>
      </c>
    </row>
    <row r="18" spans="1:68" ht="46.5" thickBot="1">
      <c r="A18" s="2257"/>
      <c r="C18" s="42">
        <f>+PP!B36</f>
        <v>13</v>
      </c>
      <c r="D18" s="165" t="str">
        <f>+PP!C36</f>
        <v>CONOS DE POTA</v>
      </c>
      <c r="E18" s="1537"/>
      <c r="F18" s="1498"/>
      <c r="G18" s="1699"/>
      <c r="H18" s="1901"/>
      <c r="I18" s="1498"/>
      <c r="J18" s="1902"/>
      <c r="K18" s="1537"/>
      <c r="L18" s="1498"/>
      <c r="M18" s="1498"/>
      <c r="N18" s="1498"/>
      <c r="O18" s="1156"/>
      <c r="P18" s="1156"/>
      <c r="Q18" s="1156"/>
      <c r="R18" s="1156"/>
      <c r="S18" s="221"/>
      <c r="T18" s="1156"/>
      <c r="U18" s="1156"/>
      <c r="V18" s="1156"/>
      <c r="W18" s="1156"/>
      <c r="X18" s="1156"/>
      <c r="Y18" s="1156"/>
      <c r="Z18" s="1156"/>
      <c r="AA18" s="1156"/>
      <c r="AB18" s="1156"/>
      <c r="AC18" s="539">
        <f t="shared" si="0"/>
        <v>0</v>
      </c>
      <c r="AD18" s="153">
        <f t="shared" si="1"/>
        <v>0</v>
      </c>
      <c r="AE18" s="2004">
        <f t="shared" si="27"/>
        <v>0</v>
      </c>
      <c r="AI18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18))),"")</f>
        <v/>
      </c>
      <c r="AJ18" s="1437" t="str">
        <f t="shared" si="2"/>
        <v/>
      </c>
      <c r="AK18" s="1436" t="str">
        <f t="shared" si="3"/>
        <v/>
      </c>
      <c r="AL18" s="1436" t="str">
        <f t="shared" si="4"/>
        <v/>
      </c>
      <c r="AM18" s="1436" t="str">
        <f t="shared" si="5"/>
        <v/>
      </c>
      <c r="AN18" s="1436" t="str">
        <f t="shared" si="6"/>
        <v/>
      </c>
      <c r="AO18" s="1436" t="str">
        <f t="shared" si="7"/>
        <v/>
      </c>
      <c r="AP18" s="1436" t="str">
        <f t="shared" si="8"/>
        <v/>
      </c>
      <c r="AQ18" s="1436" t="str">
        <f t="shared" si="9"/>
        <v/>
      </c>
      <c r="AR18" s="1436" t="str">
        <f t="shared" si="10"/>
        <v/>
      </c>
      <c r="AS18" s="1436" t="str">
        <f t="shared" si="11"/>
        <v/>
      </c>
      <c r="AT18" s="1436" t="str">
        <f t="shared" si="12"/>
        <v/>
      </c>
      <c r="AU18" s="1436" t="str">
        <f t="shared" si="13"/>
        <v/>
      </c>
      <c r="AV18" s="1436" t="str">
        <f t="shared" si="14"/>
        <v/>
      </c>
      <c r="AW18" s="1436" t="str">
        <f t="shared" si="15"/>
        <v/>
      </c>
      <c r="AX18" s="1436" t="str">
        <f t="shared" si="16"/>
        <v/>
      </c>
      <c r="AY18" s="1436" t="str">
        <f t="shared" si="17"/>
        <v/>
      </c>
      <c r="AZ18" s="1436" t="str">
        <f t="shared" si="18"/>
        <v/>
      </c>
      <c r="BA18" s="1436" t="str">
        <f t="shared" si="19"/>
        <v/>
      </c>
      <c r="BB18" s="1436" t="str">
        <f t="shared" si="20"/>
        <v/>
      </c>
      <c r="BC18" s="1436"/>
      <c r="BD18" s="1436"/>
      <c r="BE18" s="1436"/>
      <c r="BF18" s="1436"/>
      <c r="BG18" s="1436" t="str">
        <f t="shared" si="21"/>
        <v/>
      </c>
      <c r="BH18" s="1436" t="str">
        <f t="shared" si="22"/>
        <v/>
      </c>
      <c r="BI18" s="1436" t="str">
        <f t="shared" si="23"/>
        <v/>
      </c>
      <c r="BJ18" s="1436"/>
      <c r="BM18" s="662" t="str">
        <f>IFERROR(INDEX($C$6:$C$53,_xlfn.AGGREGATE(15,6,(ROW($AE$6:$AE$53)-ROW($AE$6)+1)/(($AE$6:$AE$53&gt;0)*(MOD($AE$6:$AE$53,20)=10)),ROWS($BM$6:BM18))),"")</f>
        <v/>
      </c>
      <c r="BN18" s="662" t="str">
        <f t="shared" si="24"/>
        <v/>
      </c>
      <c r="BO18" s="662" t="str">
        <f t="shared" si="25"/>
        <v/>
      </c>
      <c r="BP18" s="662" t="str">
        <f t="shared" si="26"/>
        <v/>
      </c>
    </row>
    <row r="19" spans="1:68" ht="46.5" thickBot="1">
      <c r="A19" s="2257"/>
      <c r="C19" s="42">
        <f>+PP!B37</f>
        <v>14</v>
      </c>
      <c r="D19" s="162" t="str">
        <f>+PP!C37</f>
        <v>FILETE C/TT DARUMA</v>
      </c>
      <c r="E19" s="1536"/>
      <c r="F19" s="1007"/>
      <c r="G19" s="1503"/>
      <c r="H19" s="1893"/>
      <c r="I19" s="1007"/>
      <c r="J19" s="1894"/>
      <c r="K19" s="1536"/>
      <c r="L19" s="1007"/>
      <c r="M19" s="1007"/>
      <c r="N19" s="1007"/>
      <c r="O19" s="1155"/>
      <c r="P19" s="1155"/>
      <c r="Q19" s="1155"/>
      <c r="R19" s="1155"/>
      <c r="S19" s="224"/>
      <c r="T19" s="1155"/>
      <c r="U19" s="1155"/>
      <c r="V19" s="1155"/>
      <c r="W19" s="1155"/>
      <c r="X19" s="1155"/>
      <c r="Y19" s="1155"/>
      <c r="Z19" s="1155"/>
      <c r="AA19" s="1155"/>
      <c r="AB19" s="1155"/>
      <c r="AC19" s="602">
        <f t="shared" si="0"/>
        <v>0</v>
      </c>
      <c r="AD19" s="583">
        <f t="shared" si="1"/>
        <v>0</v>
      </c>
      <c r="AE19" s="2005">
        <f t="shared" si="27"/>
        <v>0</v>
      </c>
      <c r="AF19" s="2002"/>
      <c r="AI19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19))),"")</f>
        <v/>
      </c>
      <c r="AJ19" s="1437" t="str">
        <f t="shared" si="2"/>
        <v/>
      </c>
      <c r="AK19" s="1436" t="str">
        <f t="shared" si="3"/>
        <v/>
      </c>
      <c r="AL19" s="1436" t="str">
        <f t="shared" si="4"/>
        <v/>
      </c>
      <c r="AM19" s="1436" t="str">
        <f t="shared" si="5"/>
        <v/>
      </c>
      <c r="AN19" s="1436" t="str">
        <f t="shared" si="6"/>
        <v/>
      </c>
      <c r="AO19" s="1436" t="str">
        <f t="shared" si="7"/>
        <v/>
      </c>
      <c r="AP19" s="1436" t="str">
        <f t="shared" si="8"/>
        <v/>
      </c>
      <c r="AQ19" s="1436" t="str">
        <f t="shared" si="9"/>
        <v/>
      </c>
      <c r="AR19" s="1436" t="str">
        <f t="shared" si="10"/>
        <v/>
      </c>
      <c r="AS19" s="1436" t="str">
        <f t="shared" si="11"/>
        <v/>
      </c>
      <c r="AT19" s="1436" t="str">
        <f t="shared" si="12"/>
        <v/>
      </c>
      <c r="AU19" s="1436" t="str">
        <f t="shared" si="13"/>
        <v/>
      </c>
      <c r="AV19" s="1436" t="str">
        <f t="shared" si="14"/>
        <v/>
      </c>
      <c r="AW19" s="1436" t="str">
        <f t="shared" si="15"/>
        <v/>
      </c>
      <c r="AX19" s="1436" t="str">
        <f t="shared" si="16"/>
        <v/>
      </c>
      <c r="AY19" s="1436" t="str">
        <f t="shared" si="17"/>
        <v/>
      </c>
      <c r="AZ19" s="1436" t="str">
        <f t="shared" si="18"/>
        <v/>
      </c>
      <c r="BA19" s="1436" t="str">
        <f t="shared" si="19"/>
        <v/>
      </c>
      <c r="BB19" s="1436" t="str">
        <f t="shared" si="20"/>
        <v/>
      </c>
      <c r="BC19" s="1436"/>
      <c r="BD19" s="1436"/>
      <c r="BE19" s="1436"/>
      <c r="BF19" s="1436"/>
      <c r="BG19" s="1436" t="str">
        <f t="shared" si="21"/>
        <v/>
      </c>
      <c r="BH19" s="1436" t="str">
        <f t="shared" si="22"/>
        <v/>
      </c>
      <c r="BI19" s="1436" t="str">
        <f t="shared" si="23"/>
        <v/>
      </c>
      <c r="BJ19" s="1436"/>
      <c r="BM19" s="662" t="str">
        <f>IFERROR(INDEX($C$6:$C$53,_xlfn.AGGREGATE(15,6,(ROW($AE$6:$AE$53)-ROW($AE$6)+1)/(($AE$6:$AE$53&gt;0)*(MOD($AE$6:$AE$53,20)=10)),ROWS($BM$6:BM19))),"")</f>
        <v/>
      </c>
      <c r="BN19" s="662" t="str">
        <f t="shared" si="24"/>
        <v/>
      </c>
      <c r="BO19" s="662" t="str">
        <f t="shared" si="25"/>
        <v/>
      </c>
      <c r="BP19" s="662" t="str">
        <f t="shared" si="26"/>
        <v/>
      </c>
    </row>
    <row r="20" spans="1:68" ht="46.5" thickBot="1">
      <c r="A20" s="2257"/>
      <c r="C20" s="42">
        <f>+PP!B38</f>
        <v>15</v>
      </c>
      <c r="D20" s="164" t="str">
        <f>+PP!C38</f>
        <v>FILETE C/M C/T TRES PIELES 1.0-2.0 kg/pza</v>
      </c>
      <c r="E20" s="1532"/>
      <c r="F20" s="1155"/>
      <c r="G20" s="1507"/>
      <c r="H20" s="1899"/>
      <c r="I20" s="1155"/>
      <c r="J20" s="1900"/>
      <c r="K20" s="1889"/>
      <c r="L20" s="1155"/>
      <c r="M20" s="1155"/>
      <c r="N20" s="1155"/>
      <c r="O20" s="1155"/>
      <c r="P20" s="1155"/>
      <c r="Q20" s="1155"/>
      <c r="R20" s="1155"/>
      <c r="S20" s="224"/>
      <c r="T20" s="1155"/>
      <c r="U20" s="1155"/>
      <c r="V20" s="1155"/>
      <c r="W20" s="1155"/>
      <c r="X20" s="1155"/>
      <c r="Y20" s="1155"/>
      <c r="Z20" s="1155"/>
      <c r="AA20" s="1155"/>
      <c r="AB20" s="1155"/>
      <c r="AC20" s="600">
        <f t="shared" si="0"/>
        <v>0</v>
      </c>
      <c r="AD20" s="579">
        <f>AC20/2</f>
        <v>0</v>
      </c>
      <c r="AE20" s="2006">
        <f>+AC20*10</f>
        <v>0</v>
      </c>
      <c r="AF20" s="2002"/>
      <c r="AI20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20))),"")</f>
        <v/>
      </c>
      <c r="AJ20" s="1437" t="str">
        <f t="shared" si="2"/>
        <v/>
      </c>
      <c r="AK20" s="1436" t="str">
        <f t="shared" si="3"/>
        <v/>
      </c>
      <c r="AL20" s="1436" t="str">
        <f t="shared" si="4"/>
        <v/>
      </c>
      <c r="AM20" s="1436" t="str">
        <f t="shared" si="5"/>
        <v/>
      </c>
      <c r="AN20" s="1436" t="str">
        <f t="shared" si="6"/>
        <v/>
      </c>
      <c r="AO20" s="1436" t="str">
        <f t="shared" si="7"/>
        <v/>
      </c>
      <c r="AP20" s="1436" t="str">
        <f t="shared" si="8"/>
        <v/>
      </c>
      <c r="AQ20" s="1436" t="str">
        <f t="shared" si="9"/>
        <v/>
      </c>
      <c r="AR20" s="1436" t="str">
        <f t="shared" si="10"/>
        <v/>
      </c>
      <c r="AS20" s="1436" t="str">
        <f t="shared" si="11"/>
        <v/>
      </c>
      <c r="AT20" s="1436" t="str">
        <f t="shared" si="12"/>
        <v/>
      </c>
      <c r="AU20" s="1436" t="str">
        <f t="shared" si="13"/>
        <v/>
      </c>
      <c r="AV20" s="1436" t="str">
        <f t="shared" si="14"/>
        <v/>
      </c>
      <c r="AW20" s="1436" t="str">
        <f t="shared" si="15"/>
        <v/>
      </c>
      <c r="AX20" s="1436" t="str">
        <f t="shared" si="16"/>
        <v/>
      </c>
      <c r="AY20" s="1436" t="str">
        <f t="shared" si="17"/>
        <v/>
      </c>
      <c r="AZ20" s="1436" t="str">
        <f t="shared" si="18"/>
        <v/>
      </c>
      <c r="BA20" s="1436" t="str">
        <f t="shared" si="19"/>
        <v/>
      </c>
      <c r="BB20" s="1436" t="str">
        <f t="shared" si="20"/>
        <v/>
      </c>
      <c r="BC20" s="1436"/>
      <c r="BD20" s="1436"/>
      <c r="BE20" s="1436"/>
      <c r="BF20" s="1436"/>
      <c r="BG20" s="1436" t="str">
        <f t="shared" si="21"/>
        <v/>
      </c>
      <c r="BH20" s="1436" t="str">
        <f t="shared" si="22"/>
        <v/>
      </c>
      <c r="BI20" s="1436" t="str">
        <f t="shared" si="23"/>
        <v/>
      </c>
      <c r="BJ20" s="1436"/>
      <c r="BM20" s="662" t="str">
        <f>IFERROR(INDEX($C$6:$C$53,_xlfn.AGGREGATE(15,6,(ROW($AE$6:$AE$53)-ROW($AE$6)+1)/(($AE$6:$AE$53&gt;0)*(MOD($AE$6:$AE$53,20)=10)),ROWS($BM$6:BM20))),"")</f>
        <v/>
      </c>
      <c r="BN20" s="662" t="str">
        <f t="shared" si="24"/>
        <v/>
      </c>
      <c r="BO20" s="662" t="str">
        <f t="shared" si="25"/>
        <v/>
      </c>
      <c r="BP20" s="662" t="str">
        <f t="shared" si="26"/>
        <v/>
      </c>
    </row>
    <row r="21" spans="1:68" ht="46.5" thickBot="1">
      <c r="A21" s="2257"/>
      <c r="C21" s="42">
        <f>+PP!B39</f>
        <v>16</v>
      </c>
      <c r="D21" s="164" t="str">
        <f>+PP!C39</f>
        <v>FILETE C/M C/T TRES PIELES 2.0-4.0 kg/pza</v>
      </c>
      <c r="E21" s="1532"/>
      <c r="F21" s="1155"/>
      <c r="G21" s="1507"/>
      <c r="H21" s="1899"/>
      <c r="I21" s="1155"/>
      <c r="J21" s="1900"/>
      <c r="K21" s="1532"/>
      <c r="L21" s="1155"/>
      <c r="M21" s="1155"/>
      <c r="N21" s="1155"/>
      <c r="O21" s="1155"/>
      <c r="P21" s="1155"/>
      <c r="Q21" s="1155"/>
      <c r="R21" s="1155"/>
      <c r="S21" s="224"/>
      <c r="T21" s="1155"/>
      <c r="U21" s="1155"/>
      <c r="V21" s="1155"/>
      <c r="W21" s="1155"/>
      <c r="X21" s="1155"/>
      <c r="Y21" s="1155"/>
      <c r="Z21" s="1155"/>
      <c r="AA21" s="1155"/>
      <c r="AB21" s="1155"/>
      <c r="AC21" s="600">
        <f t="shared" si="0"/>
        <v>0</v>
      </c>
      <c r="AD21" s="579">
        <f>AC21/2</f>
        <v>0</v>
      </c>
      <c r="AE21" s="2006">
        <f>+AC21*10</f>
        <v>0</v>
      </c>
      <c r="AF21" s="2002">
        <f>+AE19*0.38</f>
        <v>0</v>
      </c>
      <c r="AI21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21))),"")</f>
        <v/>
      </c>
      <c r="AJ21" s="1437" t="str">
        <f t="shared" si="2"/>
        <v/>
      </c>
      <c r="AK21" s="1436" t="str">
        <f t="shared" si="3"/>
        <v/>
      </c>
      <c r="AL21" s="1436" t="str">
        <f t="shared" si="4"/>
        <v/>
      </c>
      <c r="AM21" s="1436" t="str">
        <f t="shared" si="5"/>
        <v/>
      </c>
      <c r="AN21" s="1436" t="str">
        <f t="shared" si="6"/>
        <v/>
      </c>
      <c r="AO21" s="1436" t="str">
        <f t="shared" si="7"/>
        <v/>
      </c>
      <c r="AP21" s="1436" t="str">
        <f t="shared" si="8"/>
        <v/>
      </c>
      <c r="AQ21" s="1436" t="str">
        <f t="shared" si="9"/>
        <v/>
      </c>
      <c r="AR21" s="1436" t="str">
        <f t="shared" si="10"/>
        <v/>
      </c>
      <c r="AS21" s="1436" t="str">
        <f t="shared" si="11"/>
        <v/>
      </c>
      <c r="AT21" s="1436" t="str">
        <f t="shared" si="12"/>
        <v/>
      </c>
      <c r="AU21" s="1436" t="str">
        <f t="shared" si="13"/>
        <v/>
      </c>
      <c r="AV21" s="1436" t="str">
        <f t="shared" si="14"/>
        <v/>
      </c>
      <c r="AW21" s="1436" t="str">
        <f t="shared" si="15"/>
        <v/>
      </c>
      <c r="AX21" s="1436" t="str">
        <f t="shared" si="16"/>
        <v/>
      </c>
      <c r="AY21" s="1436" t="str">
        <f t="shared" si="17"/>
        <v/>
      </c>
      <c r="AZ21" s="1436" t="str">
        <f t="shared" si="18"/>
        <v/>
      </c>
      <c r="BA21" s="1436" t="str">
        <f t="shared" si="19"/>
        <v/>
      </c>
      <c r="BB21" s="1436" t="str">
        <f t="shared" si="20"/>
        <v/>
      </c>
      <c r="BC21" s="1436"/>
      <c r="BD21" s="1436"/>
      <c r="BE21" s="1436"/>
      <c r="BF21" s="1436"/>
      <c r="BG21" s="1436" t="str">
        <f t="shared" si="21"/>
        <v/>
      </c>
      <c r="BH21" s="1436" t="str">
        <f t="shared" si="22"/>
        <v/>
      </c>
      <c r="BI21" s="1436" t="str">
        <f t="shared" si="23"/>
        <v/>
      </c>
      <c r="BJ21" s="1436"/>
      <c r="BM21" s="662" t="str">
        <f>IFERROR(INDEX($C$6:$C$53,_xlfn.AGGREGATE(15,6,(ROW($AE$6:$AE$53)-ROW($AE$6)+1)/(($AE$6:$AE$53&gt;0)*(MOD($AE$6:$AE$53,20)=10)),ROWS($BM$6:BM21))),"")</f>
        <v/>
      </c>
      <c r="BN21" s="662" t="str">
        <f t="shared" si="24"/>
        <v/>
      </c>
      <c r="BO21" s="662" t="str">
        <f t="shared" si="25"/>
        <v/>
      </c>
      <c r="BP21" s="662" t="str">
        <f t="shared" si="26"/>
        <v/>
      </c>
    </row>
    <row r="22" spans="1:68" ht="45.75" customHeight="1" thickBot="1">
      <c r="A22" s="2257"/>
      <c r="C22" s="42">
        <f>+PP!B40</f>
        <v>17</v>
      </c>
      <c r="D22" s="164" t="str">
        <f>+PP!C40</f>
        <v>FILETE C/M C/T ENTERO BLANCO 1.0-2.0 kg/pza</v>
      </c>
      <c r="E22" s="1533"/>
      <c r="F22" s="1155"/>
      <c r="G22" s="1504"/>
      <c r="H22" s="1895"/>
      <c r="I22" s="388"/>
      <c r="J22" s="1896"/>
      <c r="K22" s="1533"/>
      <c r="L22" s="388"/>
      <c r="M22" s="388"/>
      <c r="N22" s="388"/>
      <c r="O22" s="388"/>
      <c r="P22" s="388"/>
      <c r="Q22" s="388"/>
      <c r="R22" s="388"/>
      <c r="S22" s="218"/>
      <c r="T22" s="388"/>
      <c r="U22" s="388"/>
      <c r="V22" s="388"/>
      <c r="W22" s="388"/>
      <c r="X22" s="388"/>
      <c r="Y22" s="388"/>
      <c r="Z22" s="388"/>
      <c r="AA22" s="388"/>
      <c r="AB22" s="388"/>
      <c r="AC22" s="600">
        <f t="shared" si="0"/>
        <v>0</v>
      </c>
      <c r="AD22" s="579">
        <f t="shared" si="1"/>
        <v>0</v>
      </c>
      <c r="AE22" s="2006">
        <f t="shared" si="27"/>
        <v>0</v>
      </c>
      <c r="AF22" s="2003">
        <f>+AE19+AF21+AE38</f>
        <v>0</v>
      </c>
      <c r="AG22" s="1999">
        <f>+AF22/2</f>
        <v>0</v>
      </c>
      <c r="AI22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22))),"")</f>
        <v/>
      </c>
      <c r="AJ22" s="1437" t="str">
        <f t="shared" si="2"/>
        <v/>
      </c>
      <c r="AK22" s="1436" t="str">
        <f t="shared" si="3"/>
        <v/>
      </c>
      <c r="AL22" s="1436" t="str">
        <f t="shared" si="4"/>
        <v/>
      </c>
      <c r="AM22" s="1436" t="str">
        <f t="shared" si="5"/>
        <v/>
      </c>
      <c r="AN22" s="1436" t="str">
        <f t="shared" si="6"/>
        <v/>
      </c>
      <c r="AO22" s="1436" t="str">
        <f t="shared" si="7"/>
        <v/>
      </c>
      <c r="AP22" s="1436" t="str">
        <f t="shared" si="8"/>
        <v/>
      </c>
      <c r="AQ22" s="1436" t="str">
        <f t="shared" si="9"/>
        <v/>
      </c>
      <c r="AR22" s="1436" t="str">
        <f t="shared" si="10"/>
        <v/>
      </c>
      <c r="AS22" s="1436" t="str">
        <f t="shared" si="11"/>
        <v/>
      </c>
      <c r="AT22" s="1436" t="str">
        <f t="shared" si="12"/>
        <v/>
      </c>
      <c r="AU22" s="1436" t="str">
        <f t="shared" si="13"/>
        <v/>
      </c>
      <c r="AV22" s="1436" t="str">
        <f t="shared" si="14"/>
        <v/>
      </c>
      <c r="AW22" s="1436" t="str">
        <f t="shared" si="15"/>
        <v/>
      </c>
      <c r="AX22" s="1436" t="str">
        <f t="shared" si="16"/>
        <v/>
      </c>
      <c r="AY22" s="1436" t="str">
        <f t="shared" si="17"/>
        <v/>
      </c>
      <c r="AZ22" s="1436" t="str">
        <f t="shared" si="18"/>
        <v/>
      </c>
      <c r="BA22" s="1436" t="str">
        <f t="shared" si="19"/>
        <v/>
      </c>
      <c r="BB22" s="1436" t="str">
        <f t="shared" si="20"/>
        <v/>
      </c>
      <c r="BC22" s="1436"/>
      <c r="BD22" s="1436"/>
      <c r="BE22" s="1436"/>
      <c r="BF22" s="1436"/>
      <c r="BG22" s="1436" t="str">
        <f t="shared" si="21"/>
        <v/>
      </c>
      <c r="BH22" s="1436" t="str">
        <f t="shared" si="22"/>
        <v/>
      </c>
      <c r="BI22" s="1436" t="str">
        <f t="shared" si="23"/>
        <v/>
      </c>
      <c r="BJ22" s="1436"/>
      <c r="BM22" s="662" t="str">
        <f>IFERROR(INDEX($C$6:$C$53,_xlfn.AGGREGATE(15,6,(ROW($AE$6:$AE$53)-ROW($AE$6)+1)/(($AE$6:$AE$53&gt;0)*(MOD($AE$6:$AE$53,20)=10)),ROWS($BM$6:BM22))),"")</f>
        <v/>
      </c>
      <c r="BN22" s="662" t="str">
        <f t="shared" si="24"/>
        <v/>
      </c>
      <c r="BO22" s="662" t="str">
        <f t="shared" si="25"/>
        <v/>
      </c>
      <c r="BP22" s="662" t="str">
        <f t="shared" si="26"/>
        <v/>
      </c>
    </row>
    <row r="23" spans="1:68" ht="45.75" customHeight="1" thickBot="1">
      <c r="A23" s="2257"/>
      <c r="C23" s="42">
        <f>+PP!B41</f>
        <v>18</v>
      </c>
      <c r="D23" s="164" t="str">
        <f>+PP!C41</f>
        <v>FILETE C/M C/T ENTERO BLANCO 2.0-4.0 kg/pza</v>
      </c>
      <c r="E23" s="1533"/>
      <c r="F23" s="388"/>
      <c r="G23" s="1504"/>
      <c r="H23" s="1895"/>
      <c r="I23" s="388"/>
      <c r="J23" s="1896"/>
      <c r="K23" s="1533"/>
      <c r="L23" s="388"/>
      <c r="M23" s="388"/>
      <c r="N23" s="388"/>
      <c r="O23" s="388"/>
      <c r="P23" s="388"/>
      <c r="Q23" s="388"/>
      <c r="R23" s="388"/>
      <c r="S23" s="218"/>
      <c r="T23" s="388"/>
      <c r="U23" s="388"/>
      <c r="V23" s="388"/>
      <c r="W23" s="388"/>
      <c r="X23" s="388"/>
      <c r="Y23" s="388"/>
      <c r="Z23" s="388"/>
      <c r="AA23" s="388"/>
      <c r="AB23" s="388"/>
      <c r="AC23" s="600">
        <f t="shared" si="0"/>
        <v>0</v>
      </c>
      <c r="AD23" s="579">
        <f t="shared" si="1"/>
        <v>0</v>
      </c>
      <c r="AE23" s="2006">
        <f t="shared" si="27"/>
        <v>0</v>
      </c>
      <c r="AF23" s="2002"/>
      <c r="AI23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23))),"")</f>
        <v/>
      </c>
      <c r="AJ23" s="1437" t="str">
        <f t="shared" si="2"/>
        <v/>
      </c>
      <c r="AK23" s="1436" t="str">
        <f t="shared" si="3"/>
        <v/>
      </c>
      <c r="AL23" s="1436" t="str">
        <f t="shared" si="4"/>
        <v/>
      </c>
      <c r="AM23" s="1436" t="str">
        <f t="shared" si="5"/>
        <v/>
      </c>
      <c r="AN23" s="1436" t="str">
        <f t="shared" si="6"/>
        <v/>
      </c>
      <c r="AO23" s="1436" t="str">
        <f t="shared" si="7"/>
        <v/>
      </c>
      <c r="AP23" s="1436" t="str">
        <f t="shared" si="8"/>
        <v/>
      </c>
      <c r="AQ23" s="1436" t="str">
        <f t="shared" si="9"/>
        <v/>
      </c>
      <c r="AR23" s="1436" t="str">
        <f t="shared" si="10"/>
        <v/>
      </c>
      <c r="AS23" s="1436" t="str">
        <f t="shared" si="11"/>
        <v/>
      </c>
      <c r="AT23" s="1436" t="str">
        <f t="shared" si="12"/>
        <v/>
      </c>
      <c r="AU23" s="1436" t="str">
        <f t="shared" si="13"/>
        <v/>
      </c>
      <c r="AV23" s="1436" t="str">
        <f t="shared" si="14"/>
        <v/>
      </c>
      <c r="AW23" s="1436" t="str">
        <f t="shared" si="15"/>
        <v/>
      </c>
      <c r="AX23" s="1436" t="str">
        <f t="shared" si="16"/>
        <v/>
      </c>
      <c r="AY23" s="1436" t="str">
        <f t="shared" si="17"/>
        <v/>
      </c>
      <c r="AZ23" s="1436" t="str">
        <f t="shared" si="18"/>
        <v/>
      </c>
      <c r="BA23" s="1436" t="str">
        <f t="shared" si="19"/>
        <v/>
      </c>
      <c r="BB23" s="1436" t="str">
        <f t="shared" si="20"/>
        <v/>
      </c>
      <c r="BC23" s="1436"/>
      <c r="BD23" s="1436"/>
      <c r="BE23" s="1436"/>
      <c r="BF23" s="1436"/>
      <c r="BG23" s="1436" t="str">
        <f t="shared" si="21"/>
        <v/>
      </c>
      <c r="BH23" s="1436" t="str">
        <f t="shared" si="22"/>
        <v/>
      </c>
      <c r="BI23" s="1436" t="str">
        <f t="shared" si="23"/>
        <v/>
      </c>
      <c r="BJ23" s="1436"/>
      <c r="BM23" s="662" t="str">
        <f>IFERROR(INDEX($C$6:$C$53,_xlfn.AGGREGATE(15,6,(ROW($AE$6:$AE$53)-ROW($AE$6)+1)/(($AE$6:$AE$53&gt;0)*(MOD($AE$6:$AE$53,20)=10)),ROWS($BM$6:BM23))),"")</f>
        <v/>
      </c>
      <c r="BN23" s="662" t="str">
        <f t="shared" si="24"/>
        <v/>
      </c>
      <c r="BO23" s="662" t="str">
        <f t="shared" si="25"/>
        <v/>
      </c>
      <c r="BP23" s="662" t="str">
        <f t="shared" si="26"/>
        <v/>
      </c>
    </row>
    <row r="24" spans="1:68" ht="46.5" customHeight="1" thickBot="1">
      <c r="A24" s="2257"/>
      <c r="C24" s="42">
        <f>+PP!B42</f>
        <v>19</v>
      </c>
      <c r="D24" s="163" t="str">
        <f>+PP!C42</f>
        <v>FILETE LP C/M C/T ENTERO 2.0-4.0 kg/pza</v>
      </c>
      <c r="E24" s="1535"/>
      <c r="F24" s="1008"/>
      <c r="G24" s="1506"/>
      <c r="H24" s="1897"/>
      <c r="I24" s="1008"/>
      <c r="J24" s="1898"/>
      <c r="K24" s="1535"/>
      <c r="L24" s="1008"/>
      <c r="M24" s="1008"/>
      <c r="N24" s="1008"/>
      <c r="O24" s="1154"/>
      <c r="P24" s="1154"/>
      <c r="Q24" s="1154"/>
      <c r="R24" s="1154"/>
      <c r="S24" s="227"/>
      <c r="T24" s="1154"/>
      <c r="U24" s="1154"/>
      <c r="V24" s="1154"/>
      <c r="W24" s="1154"/>
      <c r="X24" s="1154"/>
      <c r="Y24" s="1154"/>
      <c r="Z24" s="1154"/>
      <c r="AA24" s="1154"/>
      <c r="AB24" s="1154"/>
      <c r="AC24" s="603">
        <f t="shared" si="0"/>
        <v>0</v>
      </c>
      <c r="AD24" s="581">
        <f t="shared" si="1"/>
        <v>0</v>
      </c>
      <c r="AE24" s="2007">
        <f t="shared" si="27"/>
        <v>0</v>
      </c>
      <c r="AF24" s="2002">
        <f>+SUM(AE21:AE24)</f>
        <v>0</v>
      </c>
      <c r="AI24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24))),"")</f>
        <v/>
      </c>
      <c r="AJ24" s="1437" t="str">
        <f t="shared" si="2"/>
        <v/>
      </c>
      <c r="AK24" s="1436" t="str">
        <f t="shared" si="3"/>
        <v/>
      </c>
      <c r="AL24" s="1436" t="str">
        <f t="shared" si="4"/>
        <v/>
      </c>
      <c r="AM24" s="1436" t="str">
        <f t="shared" si="5"/>
        <v/>
      </c>
      <c r="AN24" s="1436" t="str">
        <f t="shared" si="6"/>
        <v/>
      </c>
      <c r="AO24" s="1436" t="str">
        <f t="shared" si="7"/>
        <v/>
      </c>
      <c r="AP24" s="1436" t="str">
        <f t="shared" si="8"/>
        <v/>
      </c>
      <c r="AQ24" s="1436" t="str">
        <f t="shared" si="9"/>
        <v/>
      </c>
      <c r="AR24" s="1436" t="str">
        <f t="shared" si="10"/>
        <v/>
      </c>
      <c r="AS24" s="1436" t="str">
        <f t="shared" si="11"/>
        <v/>
      </c>
      <c r="AT24" s="1436" t="str">
        <f t="shared" si="12"/>
        <v/>
      </c>
      <c r="AU24" s="1436" t="str">
        <f t="shared" si="13"/>
        <v/>
      </c>
      <c r="AV24" s="1436" t="str">
        <f t="shared" si="14"/>
        <v/>
      </c>
      <c r="AW24" s="1436" t="str">
        <f t="shared" si="15"/>
        <v/>
      </c>
      <c r="AX24" s="1436" t="str">
        <f t="shared" si="16"/>
        <v/>
      </c>
      <c r="AY24" s="1436" t="str">
        <f t="shared" si="17"/>
        <v/>
      </c>
      <c r="AZ24" s="1436" t="str">
        <f t="shared" si="18"/>
        <v/>
      </c>
      <c r="BA24" s="1436" t="str">
        <f t="shared" si="19"/>
        <v/>
      </c>
      <c r="BB24" s="1436" t="str">
        <f t="shared" si="20"/>
        <v/>
      </c>
      <c r="BC24" s="1436"/>
      <c r="BD24" s="1436"/>
      <c r="BE24" s="1436"/>
      <c r="BF24" s="1436"/>
      <c r="BG24" s="1436" t="str">
        <f t="shared" si="21"/>
        <v/>
      </c>
      <c r="BH24" s="1436" t="str">
        <f t="shared" si="22"/>
        <v/>
      </c>
      <c r="BI24" s="1436" t="str">
        <f t="shared" si="23"/>
        <v/>
      </c>
      <c r="BJ24" s="1436"/>
      <c r="BM24" s="662" t="str">
        <f>IFERROR(INDEX($C$6:$C$53,_xlfn.AGGREGATE(15,6,(ROW($AE$6:$AE$53)-ROW($AE$6)+1)/(($AE$6:$AE$53&gt;0)*(MOD($AE$6:$AE$53,20)=10)),ROWS($BM$6:BM24))),"")</f>
        <v/>
      </c>
      <c r="BN24" s="662" t="str">
        <f t="shared" si="24"/>
        <v/>
      </c>
      <c r="BO24" s="662" t="str">
        <f t="shared" si="25"/>
        <v/>
      </c>
      <c r="BP24" s="662" t="str">
        <f t="shared" si="26"/>
        <v/>
      </c>
    </row>
    <row r="25" spans="1:68" ht="45.75" customHeight="1">
      <c r="A25" s="2257"/>
      <c r="C25" s="42">
        <f>+PP!B43</f>
        <v>20</v>
      </c>
      <c r="D25" s="162" t="str">
        <f>+PP!C43</f>
        <v>MANTO BLANCO C/M C/T 500-1000 g/pza</v>
      </c>
      <c r="E25" s="1536"/>
      <c r="F25" s="1007"/>
      <c r="G25" s="1503"/>
      <c r="H25" s="1893"/>
      <c r="I25" s="1007"/>
      <c r="J25" s="1894"/>
      <c r="K25" s="1536"/>
      <c r="L25" s="1007"/>
      <c r="M25" s="1007"/>
      <c r="N25" s="1007"/>
      <c r="O25" s="1007"/>
      <c r="P25" s="1007"/>
      <c r="Q25" s="1007"/>
      <c r="R25" s="1007"/>
      <c r="S25" s="212"/>
      <c r="T25" s="1007"/>
      <c r="U25" s="1007"/>
      <c r="V25" s="1007"/>
      <c r="W25" s="1503"/>
      <c r="X25" s="1503"/>
      <c r="Y25" s="1503"/>
      <c r="Z25" s="1503"/>
      <c r="AA25" s="1503"/>
      <c r="AB25" s="1503"/>
      <c r="AC25" s="959">
        <f t="shared" si="0"/>
        <v>0</v>
      </c>
      <c r="AD25" s="548">
        <f t="shared" si="1"/>
        <v>0</v>
      </c>
      <c r="AE25" s="554">
        <f t="shared" si="27"/>
        <v>0</v>
      </c>
      <c r="AI25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25))),"")</f>
        <v/>
      </c>
      <c r="AJ25" s="1437" t="str">
        <f t="shared" si="2"/>
        <v/>
      </c>
      <c r="AK25" s="1436" t="str">
        <f t="shared" si="3"/>
        <v/>
      </c>
      <c r="AL25" s="1436" t="str">
        <f t="shared" si="4"/>
        <v/>
      </c>
      <c r="AM25" s="1436" t="str">
        <f t="shared" si="5"/>
        <v/>
      </c>
      <c r="AN25" s="1436" t="str">
        <f t="shared" si="6"/>
        <v/>
      </c>
      <c r="AO25" s="1436" t="str">
        <f t="shared" si="7"/>
        <v/>
      </c>
      <c r="AP25" s="1436" t="str">
        <f t="shared" si="8"/>
        <v/>
      </c>
      <c r="AQ25" s="1436" t="str">
        <f t="shared" si="9"/>
        <v/>
      </c>
      <c r="AR25" s="1436" t="str">
        <f t="shared" si="10"/>
        <v/>
      </c>
      <c r="AS25" s="1436" t="str">
        <f t="shared" si="11"/>
        <v/>
      </c>
      <c r="AT25" s="1436" t="str">
        <f t="shared" si="12"/>
        <v/>
      </c>
      <c r="AU25" s="1436" t="str">
        <f t="shared" si="13"/>
        <v/>
      </c>
      <c r="AV25" s="1436" t="str">
        <f t="shared" si="14"/>
        <v/>
      </c>
      <c r="AW25" s="1436" t="str">
        <f t="shared" si="15"/>
        <v/>
      </c>
      <c r="AX25" s="1436" t="str">
        <f t="shared" si="16"/>
        <v/>
      </c>
      <c r="AY25" s="1436" t="str">
        <f t="shared" si="17"/>
        <v/>
      </c>
      <c r="AZ25" s="1436" t="str">
        <f t="shared" si="18"/>
        <v/>
      </c>
      <c r="BA25" s="1436" t="str">
        <f t="shared" si="19"/>
        <v/>
      </c>
      <c r="BB25" s="1436" t="str">
        <f t="shared" si="20"/>
        <v/>
      </c>
      <c r="BC25" s="1436"/>
      <c r="BD25" s="1436"/>
      <c r="BE25" s="1436"/>
      <c r="BF25" s="1436"/>
      <c r="BG25" s="1436" t="str">
        <f t="shared" si="21"/>
        <v/>
      </c>
      <c r="BH25" s="1436" t="str">
        <f t="shared" si="22"/>
        <v/>
      </c>
      <c r="BI25" s="1436" t="str">
        <f t="shared" si="23"/>
        <v/>
      </c>
      <c r="BJ25" s="1436"/>
      <c r="BM25" s="662" t="str">
        <f>IFERROR(INDEX($C$6:$C$53,_xlfn.AGGREGATE(15,6,(ROW($AE$6:$AE$53)-ROW($AE$6)+1)/(($AE$6:$AE$53&gt;0)*(MOD($AE$6:$AE$53,20)=10)),ROWS($BM$6:BM25))),"")</f>
        <v/>
      </c>
      <c r="BN25" s="662" t="str">
        <f t="shared" si="24"/>
        <v/>
      </c>
      <c r="BO25" s="662" t="str">
        <f t="shared" si="25"/>
        <v/>
      </c>
      <c r="BP25" s="662" t="str">
        <f t="shared" si="26"/>
        <v/>
      </c>
    </row>
    <row r="26" spans="1:68" ht="45.75" customHeight="1">
      <c r="A26" s="2257"/>
      <c r="C26" s="42">
        <f>+PP!B44</f>
        <v>21</v>
      </c>
      <c r="D26" s="164" t="str">
        <f>+PP!C44</f>
        <v>MANTO BLANCO C/M C/T 1.0-2.0 kg/pza</v>
      </c>
      <c r="E26" s="1533"/>
      <c r="F26" s="388"/>
      <c r="G26" s="1504"/>
      <c r="H26" s="1895"/>
      <c r="I26" s="388"/>
      <c r="J26" s="1896"/>
      <c r="K26" s="1533"/>
      <c r="L26" s="388"/>
      <c r="M26" s="388"/>
      <c r="N26" s="388"/>
      <c r="O26" s="388"/>
      <c r="P26" s="388"/>
      <c r="Q26" s="388"/>
      <c r="R26" s="388"/>
      <c r="S26" s="218"/>
      <c r="T26" s="388"/>
      <c r="U26" s="388"/>
      <c r="V26" s="388"/>
      <c r="W26" s="1504"/>
      <c r="X26" s="1504"/>
      <c r="Y26" s="1504"/>
      <c r="Z26" s="1504"/>
      <c r="AA26" s="1504"/>
      <c r="AB26" s="1504"/>
      <c r="AC26" s="960">
        <f t="shared" si="0"/>
        <v>0</v>
      </c>
      <c r="AD26" s="551">
        <f t="shared" si="1"/>
        <v>0</v>
      </c>
      <c r="AE26" s="552">
        <f t="shared" si="27"/>
        <v>0</v>
      </c>
      <c r="AI26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26))),"")</f>
        <v/>
      </c>
      <c r="AJ26" s="1437" t="str">
        <f t="shared" si="2"/>
        <v/>
      </c>
      <c r="AK26" s="1436" t="str">
        <f t="shared" si="3"/>
        <v/>
      </c>
      <c r="AL26" s="1436" t="str">
        <f t="shared" si="4"/>
        <v/>
      </c>
      <c r="AM26" s="1436" t="str">
        <f t="shared" si="5"/>
        <v/>
      </c>
      <c r="AN26" s="1436" t="str">
        <f t="shared" si="6"/>
        <v/>
      </c>
      <c r="AO26" s="1436" t="str">
        <f t="shared" si="7"/>
        <v/>
      </c>
      <c r="AP26" s="1436" t="str">
        <f t="shared" si="8"/>
        <v/>
      </c>
      <c r="AQ26" s="1436" t="str">
        <f t="shared" si="9"/>
        <v/>
      </c>
      <c r="AR26" s="1436" t="str">
        <f t="shared" si="10"/>
        <v/>
      </c>
      <c r="AS26" s="1436" t="str">
        <f t="shared" si="11"/>
        <v/>
      </c>
      <c r="AT26" s="1436" t="str">
        <f t="shared" si="12"/>
        <v/>
      </c>
      <c r="AU26" s="1436" t="str">
        <f t="shared" si="13"/>
        <v/>
      </c>
      <c r="AV26" s="1436" t="str">
        <f t="shared" si="14"/>
        <v/>
      </c>
      <c r="AW26" s="1436" t="str">
        <f t="shared" si="15"/>
        <v/>
      </c>
      <c r="AX26" s="1436" t="str">
        <f t="shared" si="16"/>
        <v/>
      </c>
      <c r="AY26" s="1436" t="str">
        <f t="shared" si="17"/>
        <v/>
      </c>
      <c r="AZ26" s="1436" t="str">
        <f t="shared" si="18"/>
        <v/>
      </c>
      <c r="BA26" s="1436" t="str">
        <f t="shared" si="19"/>
        <v/>
      </c>
      <c r="BB26" s="1436" t="str">
        <f t="shared" si="20"/>
        <v/>
      </c>
      <c r="BC26" s="1436"/>
      <c r="BD26" s="1436"/>
      <c r="BE26" s="1436"/>
      <c r="BF26" s="1436"/>
      <c r="BG26" s="1436" t="str">
        <f t="shared" si="21"/>
        <v/>
      </c>
      <c r="BH26" s="1436" t="str">
        <f t="shared" si="22"/>
        <v/>
      </c>
      <c r="BI26" s="1436" t="str">
        <f t="shared" si="23"/>
        <v/>
      </c>
      <c r="BJ26" s="1436"/>
      <c r="BM26" s="662" t="str">
        <f>IFERROR(INDEX($C$6:$C$53,_xlfn.AGGREGATE(15,6,(ROW($AE$6:$AE$53)-ROW($AE$6)+1)/(($AE$6:$AE$53&gt;0)*(MOD($AE$6:$AE$53,20)=10)),ROWS($BM$6:BM26))),"")</f>
        <v/>
      </c>
      <c r="BN26" s="662" t="str">
        <f t="shared" si="24"/>
        <v/>
      </c>
      <c r="BO26" s="662" t="str">
        <f t="shared" si="25"/>
        <v/>
      </c>
      <c r="BP26" s="662" t="str">
        <f t="shared" si="26"/>
        <v/>
      </c>
    </row>
    <row r="27" spans="1:68" ht="45.75" customHeight="1">
      <c r="A27" s="2257"/>
      <c r="C27" s="42">
        <f>+PP!B45</f>
        <v>22</v>
      </c>
      <c r="D27" s="164" t="str">
        <f>+PP!C45</f>
        <v>MANTO BLANCO C/M C/T 2.0-4.0 kg/pza</v>
      </c>
      <c r="E27" s="1533"/>
      <c r="F27" s="388"/>
      <c r="G27" s="1504"/>
      <c r="H27" s="1895"/>
      <c r="I27" s="388"/>
      <c r="J27" s="1896"/>
      <c r="K27" s="1533"/>
      <c r="L27" s="388"/>
      <c r="M27" s="388"/>
      <c r="N27" s="388"/>
      <c r="O27" s="388"/>
      <c r="P27" s="388"/>
      <c r="Q27" s="388"/>
      <c r="R27" s="388"/>
      <c r="S27" s="218"/>
      <c r="T27" s="388"/>
      <c r="U27" s="388"/>
      <c r="V27" s="388"/>
      <c r="W27" s="1504"/>
      <c r="X27" s="1504"/>
      <c r="Y27" s="1504"/>
      <c r="Z27" s="1504"/>
      <c r="AA27" s="1504"/>
      <c r="AB27" s="1504"/>
      <c r="AC27" s="960">
        <f t="shared" si="0"/>
        <v>0</v>
      </c>
      <c r="AD27" s="551">
        <f t="shared" si="1"/>
        <v>0</v>
      </c>
      <c r="AE27" s="552">
        <f t="shared" si="27"/>
        <v>0</v>
      </c>
      <c r="AG27" s="947"/>
      <c r="AI27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27))),"")</f>
        <v/>
      </c>
      <c r="AJ27" s="1437" t="str">
        <f t="shared" si="2"/>
        <v/>
      </c>
      <c r="AK27" s="1436" t="str">
        <f t="shared" si="3"/>
        <v/>
      </c>
      <c r="AL27" s="1436" t="str">
        <f t="shared" si="4"/>
        <v/>
      </c>
      <c r="AM27" s="1436" t="str">
        <f t="shared" si="5"/>
        <v/>
      </c>
      <c r="AN27" s="1436" t="str">
        <f t="shared" si="6"/>
        <v/>
      </c>
      <c r="AO27" s="1436" t="str">
        <f t="shared" si="7"/>
        <v/>
      </c>
      <c r="AP27" s="1436" t="str">
        <f t="shared" si="8"/>
        <v/>
      </c>
      <c r="AQ27" s="1436" t="str">
        <f t="shared" si="9"/>
        <v/>
      </c>
      <c r="AR27" s="1436" t="str">
        <f t="shared" si="10"/>
        <v/>
      </c>
      <c r="AS27" s="1436" t="str">
        <f t="shared" si="11"/>
        <v/>
      </c>
      <c r="AT27" s="1436" t="str">
        <f t="shared" si="12"/>
        <v/>
      </c>
      <c r="AU27" s="1436" t="str">
        <f t="shared" si="13"/>
        <v/>
      </c>
      <c r="AV27" s="1436" t="str">
        <f t="shared" si="14"/>
        <v/>
      </c>
      <c r="AW27" s="1436" t="str">
        <f t="shared" si="15"/>
        <v/>
      </c>
      <c r="AX27" s="1436" t="str">
        <f t="shared" si="16"/>
        <v/>
      </c>
      <c r="AY27" s="1436" t="str">
        <f t="shared" si="17"/>
        <v/>
      </c>
      <c r="AZ27" s="1436" t="str">
        <f t="shared" si="18"/>
        <v/>
      </c>
      <c r="BA27" s="1436" t="str">
        <f t="shared" si="19"/>
        <v/>
      </c>
      <c r="BB27" s="1436" t="str">
        <f t="shared" si="20"/>
        <v/>
      </c>
      <c r="BC27" s="1436"/>
      <c r="BD27" s="1436"/>
      <c r="BE27" s="1436"/>
      <c r="BF27" s="1436"/>
      <c r="BG27" s="1436" t="str">
        <f t="shared" si="21"/>
        <v/>
      </c>
      <c r="BH27" s="1436" t="str">
        <f t="shared" si="22"/>
        <v/>
      </c>
      <c r="BI27" s="1436" t="str">
        <f t="shared" si="23"/>
        <v/>
      </c>
      <c r="BJ27" s="1436"/>
      <c r="BM27" s="662" t="str">
        <f>IFERROR(INDEX($C$6:$C$53,_xlfn.AGGREGATE(15,6,(ROW($AE$6:$AE$53)-ROW($AE$6)+1)/(($AE$6:$AE$53&gt;0)*(MOD($AE$6:$AE$53,20)=10)),ROWS($BM$6:BM27))),"")</f>
        <v/>
      </c>
      <c r="BN27" s="662" t="str">
        <f t="shared" si="24"/>
        <v/>
      </c>
      <c r="BO27" s="662" t="str">
        <f t="shared" si="25"/>
        <v/>
      </c>
      <c r="BP27" s="662" t="str">
        <f t="shared" si="26"/>
        <v/>
      </c>
    </row>
    <row r="28" spans="1:68" ht="45.75" customHeight="1">
      <c r="A28" s="2257"/>
      <c r="C28" s="42">
        <f>+PP!B46</f>
        <v>23</v>
      </c>
      <c r="D28" s="164" t="str">
        <f>+PP!C46</f>
        <v>MANTO LP C/M C/T 500-1000 g/pza</v>
      </c>
      <c r="E28" s="2054"/>
      <c r="F28" s="388"/>
      <c r="G28" s="1848"/>
      <c r="H28" s="1895"/>
      <c r="I28" s="388"/>
      <c r="J28" s="1896"/>
      <c r="K28" s="1533"/>
      <c r="L28" s="388"/>
      <c r="M28" s="388"/>
      <c r="N28" s="388"/>
      <c r="O28" s="388"/>
      <c r="P28" s="388"/>
      <c r="Q28" s="388"/>
      <c r="R28" s="388"/>
      <c r="S28" s="218"/>
      <c r="T28" s="388"/>
      <c r="U28" s="388"/>
      <c r="V28" s="388"/>
      <c r="W28" s="1504"/>
      <c r="X28" s="1504"/>
      <c r="Y28" s="1504"/>
      <c r="Z28" s="1504"/>
      <c r="AA28" s="1504"/>
      <c r="AB28" s="1504"/>
      <c r="AC28" s="960">
        <f t="shared" si="0"/>
        <v>0</v>
      </c>
      <c r="AD28" s="551">
        <f t="shared" si="1"/>
        <v>0</v>
      </c>
      <c r="AE28" s="552">
        <f t="shared" si="27"/>
        <v>0</v>
      </c>
      <c r="AG28" s="947"/>
      <c r="AI28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28))),"")</f>
        <v/>
      </c>
      <c r="AJ28" s="1436" t="str">
        <f t="shared" si="2"/>
        <v/>
      </c>
      <c r="AK28" s="1436" t="str">
        <f t="shared" si="3"/>
        <v/>
      </c>
      <c r="AL28" s="1436" t="str">
        <f t="shared" si="4"/>
        <v/>
      </c>
      <c r="AM28" s="1436" t="str">
        <f t="shared" si="5"/>
        <v/>
      </c>
      <c r="AN28" s="1436" t="str">
        <f t="shared" si="6"/>
        <v/>
      </c>
      <c r="AO28" s="1436" t="str">
        <f t="shared" si="7"/>
        <v/>
      </c>
      <c r="AP28" s="1436" t="str">
        <f t="shared" si="8"/>
        <v/>
      </c>
      <c r="AQ28" s="1436" t="str">
        <f t="shared" si="9"/>
        <v/>
      </c>
      <c r="AR28" s="1436" t="str">
        <f t="shared" si="10"/>
        <v/>
      </c>
      <c r="AS28" s="1436" t="str">
        <f t="shared" si="11"/>
        <v/>
      </c>
      <c r="AT28" s="1436" t="str">
        <f t="shared" si="12"/>
        <v/>
      </c>
      <c r="AU28" s="1436" t="str">
        <f t="shared" si="13"/>
        <v/>
      </c>
      <c r="AV28" s="1436" t="str">
        <f t="shared" si="14"/>
        <v/>
      </c>
      <c r="AW28" s="1436" t="str">
        <f t="shared" si="15"/>
        <v/>
      </c>
      <c r="AX28" s="1436" t="str">
        <f t="shared" si="16"/>
        <v/>
      </c>
      <c r="AY28" s="1436" t="str">
        <f t="shared" si="17"/>
        <v/>
      </c>
      <c r="AZ28" s="1436" t="str">
        <f t="shared" si="18"/>
        <v/>
      </c>
      <c r="BA28" s="1436" t="str">
        <f t="shared" si="19"/>
        <v/>
      </c>
      <c r="BB28" s="1436" t="str">
        <f t="shared" si="20"/>
        <v/>
      </c>
      <c r="BC28" s="1436"/>
      <c r="BD28" s="1436"/>
      <c r="BE28" s="1436"/>
      <c r="BF28" s="1436"/>
      <c r="BG28" s="1436" t="str">
        <f t="shared" si="21"/>
        <v/>
      </c>
      <c r="BH28" s="1436" t="str">
        <f t="shared" si="22"/>
        <v/>
      </c>
      <c r="BI28" s="1436" t="str">
        <f t="shared" si="23"/>
        <v/>
      </c>
      <c r="BJ28" s="1436"/>
      <c r="BM28" s="662" t="str">
        <f>IFERROR(INDEX($C$6:$C$53,_xlfn.AGGREGATE(15,6,(ROW($AE$6:$AE$53)-ROW($AE$6)+1)/(($AE$6:$AE$53&gt;0)*(MOD($AE$6:$AE$53,20)=10)),ROWS($BM$6:BM28))),"")</f>
        <v/>
      </c>
      <c r="BN28" s="662" t="str">
        <f t="shared" si="24"/>
        <v/>
      </c>
      <c r="BO28" s="662" t="str">
        <f t="shared" si="25"/>
        <v/>
      </c>
      <c r="BP28" s="662" t="str">
        <f t="shared" si="26"/>
        <v/>
      </c>
    </row>
    <row r="29" spans="1:68" ht="45.75" customHeight="1" thickBot="1">
      <c r="A29" s="2257"/>
      <c r="C29" s="42">
        <f>+PP!B47</f>
        <v>24</v>
      </c>
      <c r="D29" s="167" t="str">
        <f>+PP!C47</f>
        <v>MANTO LP C/M C/T 1.0-2.0 Kg/pza</v>
      </c>
      <c r="E29" s="2055"/>
      <c r="F29" s="1154"/>
      <c r="G29" s="1851"/>
      <c r="H29" s="1903"/>
      <c r="I29" s="1154"/>
      <c r="J29" s="1904"/>
      <c r="K29" s="1539"/>
      <c r="L29" s="1154"/>
      <c r="M29" s="1154"/>
      <c r="N29" s="1154"/>
      <c r="O29" s="1154"/>
      <c r="P29" s="1154"/>
      <c r="Q29" s="1154"/>
      <c r="R29" s="1154"/>
      <c r="S29" s="227"/>
      <c r="T29" s="1154"/>
      <c r="U29" s="1154"/>
      <c r="V29" s="1154"/>
      <c r="W29" s="1505"/>
      <c r="X29" s="1505"/>
      <c r="Y29" s="1505"/>
      <c r="Z29" s="1505"/>
      <c r="AA29" s="1505"/>
      <c r="AB29" s="1505"/>
      <c r="AC29" s="961">
        <f t="shared" si="0"/>
        <v>0</v>
      </c>
      <c r="AD29" s="555">
        <f t="shared" si="1"/>
        <v>0</v>
      </c>
      <c r="AE29" s="556">
        <f t="shared" si="27"/>
        <v>0</v>
      </c>
      <c r="AG29" s="947"/>
      <c r="AI29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29))),"")</f>
        <v/>
      </c>
      <c r="AJ29" s="662" t="str">
        <f t="shared" si="2"/>
        <v/>
      </c>
      <c r="AK29" s="1184" t="str">
        <f t="shared" si="3"/>
        <v/>
      </c>
      <c r="AL29" s="1184" t="str">
        <f t="shared" si="4"/>
        <v/>
      </c>
      <c r="AM29" s="1184" t="str">
        <f t="shared" si="5"/>
        <v/>
      </c>
      <c r="AN29" s="1184" t="str">
        <f t="shared" si="6"/>
        <v/>
      </c>
      <c r="AO29" s="1184" t="str">
        <f t="shared" si="7"/>
        <v/>
      </c>
      <c r="AP29" s="1184" t="str">
        <f t="shared" si="8"/>
        <v/>
      </c>
      <c r="AQ29" s="1184" t="str">
        <f t="shared" si="9"/>
        <v/>
      </c>
      <c r="AR29" s="1184" t="str">
        <f t="shared" si="10"/>
        <v/>
      </c>
      <c r="AS29" s="1184" t="str">
        <f t="shared" si="11"/>
        <v/>
      </c>
      <c r="AT29" s="1184" t="str">
        <f t="shared" si="12"/>
        <v/>
      </c>
      <c r="AU29" s="1184" t="str">
        <f t="shared" si="13"/>
        <v/>
      </c>
      <c r="AV29" s="1184" t="str">
        <f t="shared" si="14"/>
        <v/>
      </c>
      <c r="AW29" s="1184" t="str">
        <f t="shared" si="15"/>
        <v/>
      </c>
      <c r="AX29" s="1184" t="str">
        <f t="shared" si="16"/>
        <v/>
      </c>
      <c r="AY29" s="1184" t="str">
        <f t="shared" si="17"/>
        <v/>
      </c>
      <c r="AZ29" s="1184" t="str">
        <f t="shared" si="18"/>
        <v/>
      </c>
      <c r="BA29" s="1184" t="str">
        <f t="shared" si="19"/>
        <v/>
      </c>
      <c r="BB29" s="1184" t="str">
        <f t="shared" si="20"/>
        <v/>
      </c>
      <c r="BC29" s="1184"/>
      <c r="BD29" s="1184"/>
      <c r="BE29" s="1184"/>
      <c r="BF29" s="1184"/>
      <c r="BG29" s="662" t="str">
        <f t="shared" si="21"/>
        <v/>
      </c>
      <c r="BH29" s="662" t="str">
        <f t="shared" si="22"/>
        <v/>
      </c>
      <c r="BI29" s="662" t="str">
        <f t="shared" si="23"/>
        <v/>
      </c>
      <c r="BJ29" s="662"/>
      <c r="BM29" s="662" t="str">
        <f>IFERROR(INDEX($C$6:$C$53,_xlfn.AGGREGATE(15,6,(ROW($AE$6:$AE$53)-ROW($AE$6)+1)/(($AE$6:$AE$53&gt;0)*(MOD($AE$6:$AE$53,20)=10)),ROWS($BM$6:BM29))),"")</f>
        <v/>
      </c>
      <c r="BN29" s="662" t="str">
        <f t="shared" si="24"/>
        <v/>
      </c>
      <c r="BO29" s="662" t="str">
        <f t="shared" si="25"/>
        <v/>
      </c>
      <c r="BP29" s="662" t="str">
        <f t="shared" si="26"/>
        <v/>
      </c>
    </row>
    <row r="30" spans="1:68" ht="46.5" customHeight="1" thickBot="1">
      <c r="A30" s="2257"/>
      <c r="C30" s="42">
        <f>+PP!B48</f>
        <v>25</v>
      </c>
      <c r="D30" s="164" t="str">
        <f>+PP!C48</f>
        <v>MANTO LP C/M C/T 2.0-4.0 Kg/pza</v>
      </c>
      <c r="E30" s="2054"/>
      <c r="F30" s="388"/>
      <c r="G30" s="1848"/>
      <c r="H30" s="1895"/>
      <c r="I30" s="388"/>
      <c r="J30" s="1896"/>
      <c r="K30" s="1533"/>
      <c r="L30" s="388"/>
      <c r="M30" s="388"/>
      <c r="N30" s="388"/>
      <c r="O30" s="388"/>
      <c r="P30" s="388"/>
      <c r="Q30" s="388"/>
      <c r="R30" s="388"/>
      <c r="S30" s="218"/>
      <c r="T30" s="388"/>
      <c r="U30" s="388"/>
      <c r="V30" s="388"/>
      <c r="W30" s="1504"/>
      <c r="X30" s="1504"/>
      <c r="Y30" s="1504"/>
      <c r="Z30" s="1504"/>
      <c r="AA30" s="1504"/>
      <c r="AB30" s="1504"/>
      <c r="AC30" s="960">
        <f t="shared" si="0"/>
        <v>0</v>
      </c>
      <c r="AD30" s="551">
        <f t="shared" si="1"/>
        <v>0</v>
      </c>
      <c r="AE30" s="1996">
        <f t="shared" si="27"/>
        <v>0</v>
      </c>
      <c r="AF30" s="1997">
        <f>SUM(AE25:AE30)</f>
        <v>0</v>
      </c>
      <c r="AG30" s="947"/>
      <c r="AI30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30))),"")</f>
        <v/>
      </c>
      <c r="AJ30" s="662" t="str">
        <f t="shared" si="2"/>
        <v/>
      </c>
      <c r="AK30" s="1184" t="str">
        <f t="shared" si="3"/>
        <v/>
      </c>
      <c r="AL30" s="1184" t="str">
        <f t="shared" si="4"/>
        <v/>
      </c>
      <c r="AM30" s="1184" t="str">
        <f t="shared" si="5"/>
        <v/>
      </c>
      <c r="AN30" s="1184" t="str">
        <f t="shared" si="6"/>
        <v/>
      </c>
      <c r="AO30" s="1184" t="str">
        <f t="shared" si="7"/>
        <v/>
      </c>
      <c r="AP30" s="1184" t="str">
        <f t="shared" si="8"/>
        <v/>
      </c>
      <c r="AQ30" s="1184" t="str">
        <f t="shared" si="9"/>
        <v/>
      </c>
      <c r="AR30" s="1184" t="str">
        <f t="shared" si="10"/>
        <v/>
      </c>
      <c r="AS30" s="1184" t="str">
        <f t="shared" si="11"/>
        <v/>
      </c>
      <c r="AT30" s="1184" t="str">
        <f t="shared" si="12"/>
        <v/>
      </c>
      <c r="AU30" s="1184" t="str">
        <f t="shared" si="13"/>
        <v/>
      </c>
      <c r="AV30" s="1184" t="str">
        <f t="shared" si="14"/>
        <v/>
      </c>
      <c r="AW30" s="1184" t="str">
        <f t="shared" si="15"/>
        <v/>
      </c>
      <c r="AX30" s="1184" t="str">
        <f t="shared" si="16"/>
        <v/>
      </c>
      <c r="AY30" s="1184" t="str">
        <f t="shared" si="17"/>
        <v/>
      </c>
      <c r="AZ30" s="1184" t="str">
        <f t="shared" si="18"/>
        <v/>
      </c>
      <c r="BA30" s="1184" t="str">
        <f t="shared" si="19"/>
        <v/>
      </c>
      <c r="BB30" s="1184" t="str">
        <f t="shared" si="20"/>
        <v/>
      </c>
      <c r="BC30" s="1184"/>
      <c r="BD30" s="1184"/>
      <c r="BE30" s="1184"/>
      <c r="BF30" s="1184"/>
      <c r="BG30" s="662" t="str">
        <f t="shared" si="21"/>
        <v/>
      </c>
      <c r="BH30" s="662" t="str">
        <f t="shared" si="22"/>
        <v/>
      </c>
      <c r="BI30" s="662" t="str">
        <f t="shared" si="23"/>
        <v/>
      </c>
      <c r="BJ30" s="662"/>
      <c r="BM30" s="662" t="str">
        <f>IFERROR(INDEX($C$6:$C$53,_xlfn.AGGREGATE(15,6,(ROW($AE$6:$AE$53)-ROW($AE$6)+1)/(($AE$6:$AE$53&gt;0)*(MOD($AE$6:$AE$53,20)=10)),ROWS($BM$6:BM30))),"")</f>
        <v/>
      </c>
      <c r="BN30" s="662" t="str">
        <f t="shared" si="24"/>
        <v/>
      </c>
      <c r="BO30" s="662" t="str">
        <f t="shared" si="25"/>
        <v/>
      </c>
      <c r="BP30" s="662" t="str">
        <f t="shared" si="26"/>
        <v/>
      </c>
    </row>
    <row r="31" spans="1:68" ht="45.75" customHeight="1" thickBot="1">
      <c r="A31" s="2257"/>
      <c r="C31" s="42">
        <f>+PP!B49</f>
        <v>26</v>
      </c>
      <c r="D31" s="162" t="str">
        <f>+PP!C49</f>
        <v>NUCA C/C CERRADO 0-100 g/pza</v>
      </c>
      <c r="E31" s="1536"/>
      <c r="F31" s="1007"/>
      <c r="G31" s="1503"/>
      <c r="H31" s="1893"/>
      <c r="I31" s="1007"/>
      <c r="J31" s="1894"/>
      <c r="K31" s="1536"/>
      <c r="L31" s="1007"/>
      <c r="M31" s="1007"/>
      <c r="N31" s="1007"/>
      <c r="O31" s="1007"/>
      <c r="P31" s="1007"/>
      <c r="Q31" s="1007"/>
      <c r="R31" s="1007"/>
      <c r="S31" s="212"/>
      <c r="T31" s="1007"/>
      <c r="U31" s="1007"/>
      <c r="V31" s="1007"/>
      <c r="W31" s="1503"/>
      <c r="X31" s="1503"/>
      <c r="Y31" s="1503"/>
      <c r="Z31" s="1503"/>
      <c r="AA31" s="1503"/>
      <c r="AB31" s="1503"/>
      <c r="AC31" s="959">
        <f t="shared" si="0"/>
        <v>0</v>
      </c>
      <c r="AD31" s="148">
        <f t="shared" si="1"/>
        <v>0</v>
      </c>
      <c r="AE31" s="1998">
        <f t="shared" si="27"/>
        <v>0</v>
      </c>
      <c r="AF31" s="1971">
        <f>SUM(AE31:AE35)</f>
        <v>0</v>
      </c>
      <c r="AG31" s="947"/>
      <c r="AI31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31))),"")</f>
        <v/>
      </c>
      <c r="AJ31" s="662" t="str">
        <f t="shared" si="2"/>
        <v/>
      </c>
      <c r="AK31" s="1184" t="str">
        <f t="shared" si="3"/>
        <v/>
      </c>
      <c r="AL31" s="1184" t="str">
        <f t="shared" si="4"/>
        <v/>
      </c>
      <c r="AM31" s="1184" t="str">
        <f t="shared" si="5"/>
        <v/>
      </c>
      <c r="AN31" s="1184" t="str">
        <f t="shared" si="6"/>
        <v/>
      </c>
      <c r="AO31" s="1184" t="str">
        <f t="shared" si="7"/>
        <v/>
      </c>
      <c r="AP31" s="1184" t="str">
        <f t="shared" si="8"/>
        <v/>
      </c>
      <c r="AQ31" s="1184" t="str">
        <f t="shared" si="9"/>
        <v/>
      </c>
      <c r="AR31" s="1184" t="str">
        <f t="shared" si="10"/>
        <v/>
      </c>
      <c r="AS31" s="1184" t="str">
        <f t="shared" si="11"/>
        <v/>
      </c>
      <c r="AT31" s="1184" t="str">
        <f t="shared" si="12"/>
        <v/>
      </c>
      <c r="AU31" s="1184" t="str">
        <f t="shared" si="13"/>
        <v/>
      </c>
      <c r="AV31" s="1184" t="str">
        <f t="shared" si="14"/>
        <v/>
      </c>
      <c r="AW31" s="1184" t="str">
        <f t="shared" si="15"/>
        <v/>
      </c>
      <c r="AX31" s="1184" t="str">
        <f t="shared" si="16"/>
        <v/>
      </c>
      <c r="AY31" s="1184" t="str">
        <f t="shared" si="17"/>
        <v/>
      </c>
      <c r="AZ31" s="1184" t="str">
        <f t="shared" si="18"/>
        <v/>
      </c>
      <c r="BA31" s="1184" t="str">
        <f t="shared" si="19"/>
        <v/>
      </c>
      <c r="BB31" s="1184" t="str">
        <f t="shared" si="20"/>
        <v/>
      </c>
      <c r="BC31" s="1184"/>
      <c r="BD31" s="1184"/>
      <c r="BE31" s="1184"/>
      <c r="BF31" s="1184"/>
      <c r="BG31" s="662" t="str">
        <f t="shared" si="21"/>
        <v/>
      </c>
      <c r="BH31" s="662" t="str">
        <f t="shared" si="22"/>
        <v/>
      </c>
      <c r="BI31" s="662" t="str">
        <f t="shared" si="23"/>
        <v/>
      </c>
      <c r="BJ31" s="662"/>
      <c r="BM31" s="662" t="str">
        <f>IFERROR(INDEX($C$6:$C$53,_xlfn.AGGREGATE(15,6,(ROW($AE$6:$AE$53)-ROW($AE$6)+1)/(($AE$6:$AE$53&gt;0)*(MOD($AE$6:$AE$53,20)=10)),ROWS($BM$6:BM31))),"")</f>
        <v/>
      </c>
      <c r="BN31" s="662" t="str">
        <f t="shared" si="24"/>
        <v/>
      </c>
      <c r="BO31" s="662" t="str">
        <f t="shared" si="25"/>
        <v/>
      </c>
      <c r="BP31" s="662" t="str">
        <f t="shared" si="26"/>
        <v/>
      </c>
    </row>
    <row r="32" spans="1:68" ht="45.75" customHeight="1">
      <c r="A32" s="2257"/>
      <c r="C32" s="42">
        <f>+PP!B50</f>
        <v>27</v>
      </c>
      <c r="D32" s="164" t="str">
        <f>+PP!C50</f>
        <v>NUCA C/C ABIERTO 100-300 g/pza</v>
      </c>
      <c r="E32" s="1533"/>
      <c r="F32" s="388"/>
      <c r="G32" s="1504"/>
      <c r="H32" s="1895"/>
      <c r="I32" s="388"/>
      <c r="J32" s="1896"/>
      <c r="K32" s="1533"/>
      <c r="L32" s="388"/>
      <c r="M32" s="388"/>
      <c r="N32" s="388"/>
      <c r="O32" s="388"/>
      <c r="P32" s="388"/>
      <c r="Q32" s="388"/>
      <c r="R32" s="388"/>
      <c r="S32" s="218"/>
      <c r="T32" s="388"/>
      <c r="U32" s="388"/>
      <c r="V32" s="388"/>
      <c r="W32" s="1504"/>
      <c r="X32" s="1504"/>
      <c r="Y32" s="1504"/>
      <c r="Z32" s="1504"/>
      <c r="AA32" s="1504"/>
      <c r="AB32" s="1504"/>
      <c r="AC32" s="960">
        <f t="shared" si="0"/>
        <v>0</v>
      </c>
      <c r="AD32" s="149">
        <f t="shared" si="1"/>
        <v>0</v>
      </c>
      <c r="AE32" s="146">
        <f t="shared" si="27"/>
        <v>0</v>
      </c>
      <c r="AG32" s="947"/>
      <c r="AI32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32))),"")</f>
        <v/>
      </c>
      <c r="AJ32" s="662" t="str">
        <f t="shared" si="2"/>
        <v/>
      </c>
      <c r="AK32" s="1184" t="str">
        <f t="shared" si="3"/>
        <v/>
      </c>
      <c r="AL32" s="1184" t="str">
        <f t="shared" si="4"/>
        <v/>
      </c>
      <c r="AM32" s="1184" t="str">
        <f t="shared" si="5"/>
        <v/>
      </c>
      <c r="AN32" s="1184" t="str">
        <f t="shared" si="6"/>
        <v/>
      </c>
      <c r="AO32" s="1184" t="str">
        <f t="shared" si="7"/>
        <v/>
      </c>
      <c r="AP32" s="1184" t="str">
        <f t="shared" si="8"/>
        <v/>
      </c>
      <c r="AQ32" s="1184" t="str">
        <f t="shared" si="9"/>
        <v/>
      </c>
      <c r="AR32" s="1184" t="str">
        <f t="shared" si="10"/>
        <v/>
      </c>
      <c r="AS32" s="1184" t="str">
        <f t="shared" si="11"/>
        <v/>
      </c>
      <c r="AT32" s="1184" t="str">
        <f t="shared" si="12"/>
        <v/>
      </c>
      <c r="AU32" s="1184" t="str">
        <f t="shared" si="13"/>
        <v/>
      </c>
      <c r="AV32" s="1184" t="str">
        <f t="shared" si="14"/>
        <v/>
      </c>
      <c r="AW32" s="1184" t="str">
        <f t="shared" si="15"/>
        <v/>
      </c>
      <c r="AX32" s="1184" t="str">
        <f t="shared" si="16"/>
        <v/>
      </c>
      <c r="AY32" s="1184" t="str">
        <f t="shared" si="17"/>
        <v/>
      </c>
      <c r="AZ32" s="1184" t="str">
        <f t="shared" si="18"/>
        <v/>
      </c>
      <c r="BA32" s="1184" t="str">
        <f t="shared" si="19"/>
        <v/>
      </c>
      <c r="BB32" s="1184" t="str">
        <f t="shared" si="20"/>
        <v/>
      </c>
      <c r="BC32" s="1184"/>
      <c r="BD32" s="1184"/>
      <c r="BE32" s="1184"/>
      <c r="BF32" s="1184"/>
      <c r="BG32" s="662" t="str">
        <f t="shared" si="21"/>
        <v/>
      </c>
      <c r="BH32" s="662" t="str">
        <f t="shared" si="22"/>
        <v/>
      </c>
      <c r="BI32" s="662" t="str">
        <f t="shared" si="23"/>
        <v/>
      </c>
      <c r="BJ32" s="662"/>
      <c r="BM32" s="662" t="str">
        <f>IFERROR(INDEX($C$6:$C$53,_xlfn.AGGREGATE(15,6,(ROW($AE$6:$AE$53)-ROW($AE$6)+1)/(($AE$6:$AE$53&gt;0)*(MOD($AE$6:$AE$53,20)=10)),ROWS($BM$6:BM32))),"")</f>
        <v/>
      </c>
      <c r="BN32" s="662" t="str">
        <f t="shared" si="24"/>
        <v/>
      </c>
      <c r="BO32" s="662" t="str">
        <f t="shared" si="25"/>
        <v/>
      </c>
      <c r="BP32" s="662" t="str">
        <f t="shared" si="26"/>
        <v/>
      </c>
    </row>
    <row r="33" spans="1:68" ht="45.75" customHeight="1">
      <c r="A33" s="2257"/>
      <c r="C33" s="42">
        <f>+PP!B51</f>
        <v>28</v>
      </c>
      <c r="D33" s="164" t="str">
        <f>+PP!C51</f>
        <v>NUCA C/C ABIERTO 300-500 g/pza</v>
      </c>
      <c r="E33" s="1533"/>
      <c r="F33" s="388"/>
      <c r="G33" s="1504"/>
      <c r="H33" s="1895"/>
      <c r="I33" s="388"/>
      <c r="J33" s="1896"/>
      <c r="K33" s="1533"/>
      <c r="L33" s="388"/>
      <c r="M33" s="388"/>
      <c r="N33" s="388"/>
      <c r="O33" s="388"/>
      <c r="P33" s="388"/>
      <c r="Q33" s="388"/>
      <c r="R33" s="388"/>
      <c r="S33" s="218"/>
      <c r="T33" s="388"/>
      <c r="U33" s="388"/>
      <c r="V33" s="388"/>
      <c r="W33" s="1504"/>
      <c r="X33" s="1504"/>
      <c r="Y33" s="1504"/>
      <c r="Z33" s="1504"/>
      <c r="AA33" s="1504"/>
      <c r="AB33" s="1504"/>
      <c r="AC33" s="960">
        <f t="shared" si="0"/>
        <v>0</v>
      </c>
      <c r="AD33" s="149">
        <f t="shared" si="1"/>
        <v>0</v>
      </c>
      <c r="AE33" s="146">
        <f t="shared" si="27"/>
        <v>0</v>
      </c>
      <c r="AG33" s="947"/>
      <c r="AH33" s="665"/>
      <c r="AI33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33))),"")</f>
        <v/>
      </c>
      <c r="AJ33" s="662" t="str">
        <f t="shared" si="2"/>
        <v/>
      </c>
      <c r="AK33" s="1184" t="str">
        <f t="shared" si="3"/>
        <v/>
      </c>
      <c r="AL33" s="1184" t="str">
        <f t="shared" si="4"/>
        <v/>
      </c>
      <c r="AM33" s="1184" t="str">
        <f t="shared" si="5"/>
        <v/>
      </c>
      <c r="AN33" s="1184" t="str">
        <f t="shared" si="6"/>
        <v/>
      </c>
      <c r="AO33" s="1184" t="str">
        <f t="shared" si="7"/>
        <v/>
      </c>
      <c r="AP33" s="1184" t="str">
        <f t="shared" si="8"/>
        <v/>
      </c>
      <c r="AQ33" s="1184" t="str">
        <f t="shared" si="9"/>
        <v/>
      </c>
      <c r="AR33" s="1184" t="str">
        <f t="shared" si="10"/>
        <v/>
      </c>
      <c r="AS33" s="1184" t="str">
        <f t="shared" si="11"/>
        <v/>
      </c>
      <c r="AT33" s="1184" t="str">
        <f t="shared" si="12"/>
        <v/>
      </c>
      <c r="AU33" s="1184" t="str">
        <f t="shared" si="13"/>
        <v/>
      </c>
      <c r="AV33" s="1184" t="str">
        <f t="shared" si="14"/>
        <v/>
      </c>
      <c r="AW33" s="1184" t="str">
        <f t="shared" si="15"/>
        <v/>
      </c>
      <c r="AX33" s="1184" t="str">
        <f t="shared" si="16"/>
        <v/>
      </c>
      <c r="AY33" s="1184" t="str">
        <f t="shared" si="17"/>
        <v/>
      </c>
      <c r="AZ33" s="1184" t="str">
        <f t="shared" si="18"/>
        <v/>
      </c>
      <c r="BA33" s="1184" t="str">
        <f t="shared" si="19"/>
        <v/>
      </c>
      <c r="BB33" s="1184" t="str">
        <f t="shared" si="20"/>
        <v/>
      </c>
      <c r="BC33" s="1184"/>
      <c r="BD33" s="1184"/>
      <c r="BE33" s="1184"/>
      <c r="BF33" s="1184"/>
      <c r="BG33" s="662" t="str">
        <f t="shared" si="21"/>
        <v/>
      </c>
      <c r="BH33" s="662" t="str">
        <f t="shared" si="22"/>
        <v/>
      </c>
      <c r="BI33" s="662" t="str">
        <f t="shared" si="23"/>
        <v/>
      </c>
      <c r="BJ33" s="662"/>
      <c r="BM33" s="662" t="str">
        <f>IFERROR(INDEX($C$6:$C$53,_xlfn.AGGREGATE(15,6,(ROW($AE$6:$AE$53)-ROW($AE$6)+1)/(($AE$6:$AE$53&gt;0)*(MOD($AE$6:$AE$53,20)=10)),ROWS($BM$6:BM33))),"")</f>
        <v/>
      </c>
      <c r="BN33" s="662" t="str">
        <f t="shared" si="24"/>
        <v/>
      </c>
      <c r="BO33" s="662" t="str">
        <f t="shared" si="25"/>
        <v/>
      </c>
      <c r="BP33" s="662" t="str">
        <f t="shared" si="26"/>
        <v/>
      </c>
    </row>
    <row r="34" spans="1:68" ht="51" customHeight="1">
      <c r="A34" s="2257"/>
      <c r="C34" s="42">
        <f>+PP!B52</f>
        <v>29</v>
      </c>
      <c r="D34" s="164" t="str">
        <f>+PP!C52</f>
        <v>NUCA C/C ABIERTO 500-1000 g/pza</v>
      </c>
      <c r="E34" s="1533"/>
      <c r="F34" s="388"/>
      <c r="G34" s="1504"/>
      <c r="H34" s="1895"/>
      <c r="I34" s="388"/>
      <c r="J34" s="1896"/>
      <c r="K34" s="1533"/>
      <c r="L34" s="388"/>
      <c r="M34" s="388"/>
      <c r="N34" s="388"/>
      <c r="O34" s="388"/>
      <c r="P34" s="388"/>
      <c r="Q34" s="388"/>
      <c r="R34" s="388"/>
      <c r="S34" s="218"/>
      <c r="T34" s="388"/>
      <c r="U34" s="388"/>
      <c r="V34" s="388"/>
      <c r="W34" s="1504"/>
      <c r="X34" s="1504"/>
      <c r="Y34" s="1504"/>
      <c r="Z34" s="1504"/>
      <c r="AA34" s="1504"/>
      <c r="AB34" s="1504"/>
      <c r="AC34" s="960">
        <f t="shared" si="0"/>
        <v>0</v>
      </c>
      <c r="AD34" s="149">
        <f t="shared" si="1"/>
        <v>0</v>
      </c>
      <c r="AE34" s="146">
        <f t="shared" si="27"/>
        <v>0</v>
      </c>
      <c r="AG34" s="947"/>
      <c r="AH34" s="665"/>
      <c r="AI34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34))),"")</f>
        <v/>
      </c>
      <c r="AJ34" s="662" t="str">
        <f t="shared" si="2"/>
        <v/>
      </c>
      <c r="AK34" s="1184" t="str">
        <f t="shared" si="3"/>
        <v/>
      </c>
      <c r="AL34" s="1184" t="str">
        <f t="shared" si="4"/>
        <v/>
      </c>
      <c r="AM34" s="1184" t="str">
        <f t="shared" si="5"/>
        <v/>
      </c>
      <c r="AN34" s="1184" t="str">
        <f t="shared" si="6"/>
        <v/>
      </c>
      <c r="AO34" s="1184" t="str">
        <f t="shared" si="7"/>
        <v/>
      </c>
      <c r="AP34" s="1184" t="str">
        <f t="shared" si="8"/>
        <v/>
      </c>
      <c r="AQ34" s="1184" t="str">
        <f t="shared" si="9"/>
        <v/>
      </c>
      <c r="AR34" s="1184" t="str">
        <f t="shared" si="10"/>
        <v/>
      </c>
      <c r="AS34" s="1184" t="str">
        <f t="shared" si="11"/>
        <v/>
      </c>
      <c r="AT34" s="1184" t="str">
        <f t="shared" si="12"/>
        <v/>
      </c>
      <c r="AU34" s="1184" t="str">
        <f t="shared" si="13"/>
        <v/>
      </c>
      <c r="AV34" s="1184" t="str">
        <f t="shared" si="14"/>
        <v/>
      </c>
      <c r="AW34" s="1184" t="str">
        <f t="shared" si="15"/>
        <v/>
      </c>
      <c r="AX34" s="1184" t="str">
        <f t="shared" si="16"/>
        <v/>
      </c>
      <c r="AY34" s="1184" t="str">
        <f t="shared" si="17"/>
        <v/>
      </c>
      <c r="AZ34" s="1184" t="str">
        <f t="shared" si="18"/>
        <v/>
      </c>
      <c r="BA34" s="1184" t="str">
        <f t="shared" si="19"/>
        <v/>
      </c>
      <c r="BB34" s="1184" t="str">
        <f t="shared" si="20"/>
        <v/>
      </c>
      <c r="BC34" s="1184"/>
      <c r="BD34" s="1184"/>
      <c r="BE34" s="1184"/>
      <c r="BF34" s="1184"/>
      <c r="BG34" s="662" t="str">
        <f t="shared" si="21"/>
        <v/>
      </c>
      <c r="BH34" s="662" t="str">
        <f t="shared" si="22"/>
        <v/>
      </c>
      <c r="BI34" s="662" t="str">
        <f t="shared" si="23"/>
        <v/>
      </c>
      <c r="BJ34" s="662"/>
      <c r="BM34" s="662" t="str">
        <f>IFERROR(INDEX($C$6:$C$53,_xlfn.AGGREGATE(15,6,(ROW($AE$6:$AE$53)-ROW($AE$6)+1)/(($AE$6:$AE$53&gt;0)*(MOD($AE$6:$AE$53,20)=10)),ROWS($BM$6:BM34))),"")</f>
        <v/>
      </c>
      <c r="BN34" s="662" t="str">
        <f t="shared" si="24"/>
        <v/>
      </c>
      <c r="BO34" s="662" t="str">
        <f t="shared" si="25"/>
        <v/>
      </c>
      <c r="BP34" s="662" t="str">
        <f t="shared" si="26"/>
        <v/>
      </c>
    </row>
    <row r="35" spans="1:68" ht="48" customHeight="1" thickBot="1">
      <c r="A35" s="2257"/>
      <c r="C35" s="42">
        <f>+PP!B53</f>
        <v>30</v>
      </c>
      <c r="D35" s="163" t="str">
        <f>+PP!C53</f>
        <v>NUCA C/C ABIERTO 1.0 - UP kg/pza</v>
      </c>
      <c r="E35" s="1535"/>
      <c r="F35" s="1008"/>
      <c r="G35" s="1506"/>
      <c r="H35" s="1897"/>
      <c r="I35" s="1008"/>
      <c r="J35" s="1898"/>
      <c r="K35" s="1535"/>
      <c r="L35" s="1008"/>
      <c r="M35" s="1008"/>
      <c r="N35" s="1008"/>
      <c r="O35" s="1008"/>
      <c r="P35" s="1008"/>
      <c r="Q35" s="1008"/>
      <c r="R35" s="1008"/>
      <c r="S35" s="215"/>
      <c r="T35" s="1008"/>
      <c r="U35" s="1008"/>
      <c r="V35" s="1008"/>
      <c r="W35" s="1506"/>
      <c r="X35" s="1506"/>
      <c r="Y35" s="1506"/>
      <c r="Z35" s="1506"/>
      <c r="AA35" s="1506"/>
      <c r="AB35" s="1506"/>
      <c r="AC35" s="967">
        <f t="shared" si="0"/>
        <v>0</v>
      </c>
      <c r="AD35" s="150">
        <f>AC35/2</f>
        <v>0</v>
      </c>
      <c r="AE35" s="147">
        <f t="shared" si="27"/>
        <v>0</v>
      </c>
      <c r="AH35" s="665"/>
      <c r="AI35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35))),"")</f>
        <v/>
      </c>
      <c r="AJ35" s="662" t="str">
        <f t="shared" si="2"/>
        <v/>
      </c>
      <c r="AK35" s="1184" t="str">
        <f t="shared" si="3"/>
        <v/>
      </c>
      <c r="AL35" s="1184" t="str">
        <f t="shared" si="4"/>
        <v/>
      </c>
      <c r="AM35" s="1184" t="str">
        <f t="shared" si="5"/>
        <v/>
      </c>
      <c r="AN35" s="1184" t="str">
        <f t="shared" si="6"/>
        <v/>
      </c>
      <c r="AO35" s="1184" t="str">
        <f t="shared" si="7"/>
        <v/>
      </c>
      <c r="AP35" s="1184" t="str">
        <f t="shared" si="8"/>
        <v/>
      </c>
      <c r="AQ35" s="1184" t="str">
        <f t="shared" si="9"/>
        <v/>
      </c>
      <c r="AR35" s="1184" t="str">
        <f t="shared" si="10"/>
        <v/>
      </c>
      <c r="AS35" s="1184" t="str">
        <f t="shared" si="11"/>
        <v/>
      </c>
      <c r="AT35" s="1184" t="str">
        <f t="shared" si="12"/>
        <v/>
      </c>
      <c r="AU35" s="1184" t="str">
        <f t="shared" si="13"/>
        <v/>
      </c>
      <c r="AV35" s="1184" t="str">
        <f t="shared" si="14"/>
        <v/>
      </c>
      <c r="AW35" s="1184" t="str">
        <f t="shared" si="15"/>
        <v/>
      </c>
      <c r="AX35" s="1184" t="str">
        <f t="shared" si="16"/>
        <v/>
      </c>
      <c r="AY35" s="1184" t="str">
        <f t="shared" si="17"/>
        <v/>
      </c>
      <c r="AZ35" s="1184" t="str">
        <f t="shared" si="18"/>
        <v/>
      </c>
      <c r="BA35" s="1184" t="str">
        <f t="shared" si="19"/>
        <v/>
      </c>
      <c r="BB35" s="1184" t="str">
        <f t="shared" si="20"/>
        <v/>
      </c>
      <c r="BC35" s="1184"/>
      <c r="BD35" s="1184"/>
      <c r="BE35" s="1184"/>
      <c r="BF35" s="1184"/>
      <c r="BG35" s="662" t="str">
        <f t="shared" si="21"/>
        <v/>
      </c>
      <c r="BH35" s="662" t="str">
        <f t="shared" si="22"/>
        <v/>
      </c>
      <c r="BI35" s="662" t="str">
        <f t="shared" si="23"/>
        <v/>
      </c>
      <c r="BJ35" s="662"/>
      <c r="BM35" s="662" t="str">
        <f>IFERROR(INDEX($C$6:$C$53,_xlfn.AGGREGATE(15,6,(ROW($AE$6:$AE$53)-ROW($AE$6)+1)/(($AE$6:$AE$53&gt;0)*(MOD($AE$6:$AE$53,20)=10)),ROWS($BM$6:BM35))),"")</f>
        <v/>
      </c>
      <c r="BN35" s="662" t="str">
        <f t="shared" si="24"/>
        <v/>
      </c>
      <c r="BO35" s="662" t="str">
        <f t="shared" si="25"/>
        <v/>
      </c>
      <c r="BP35" s="662" t="str">
        <f t="shared" si="26"/>
        <v/>
      </c>
    </row>
    <row r="36" spans="1:68" ht="45.75" customHeight="1">
      <c r="A36" s="2257"/>
      <c r="C36" s="42">
        <f>+PP!B54</f>
        <v>31</v>
      </c>
      <c r="D36" s="162" t="str">
        <f>+PP!C54</f>
        <v>RECORTE BLANCO SM ST</v>
      </c>
      <c r="E36" s="1536"/>
      <c r="F36" s="1007"/>
      <c r="G36" s="1503"/>
      <c r="H36" s="1893"/>
      <c r="I36" s="1007"/>
      <c r="J36" s="1894"/>
      <c r="K36" s="1536"/>
      <c r="L36" s="1007"/>
      <c r="M36" s="1007"/>
      <c r="N36" s="1007"/>
      <c r="O36" s="1007"/>
      <c r="P36" s="1007"/>
      <c r="Q36" s="1007"/>
      <c r="R36" s="1007"/>
      <c r="S36" s="212"/>
      <c r="T36" s="1007"/>
      <c r="U36" s="1007"/>
      <c r="V36" s="1007"/>
      <c r="W36" s="1503"/>
      <c r="X36" s="1503"/>
      <c r="Y36" s="1503"/>
      <c r="Z36" s="1503"/>
      <c r="AA36" s="1503"/>
      <c r="AB36" s="1503"/>
      <c r="AC36" s="959">
        <f t="shared" si="0"/>
        <v>0</v>
      </c>
      <c r="AD36" s="148">
        <f t="shared" si="1"/>
        <v>0</v>
      </c>
      <c r="AE36" s="145">
        <f t="shared" si="27"/>
        <v>0</v>
      </c>
      <c r="AH36" s="665"/>
      <c r="AI36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36))),"")</f>
        <v/>
      </c>
      <c r="AJ36" s="662" t="str">
        <f t="shared" si="2"/>
        <v/>
      </c>
      <c r="AK36" s="1184" t="str">
        <f t="shared" si="3"/>
        <v/>
      </c>
      <c r="AL36" s="1184" t="str">
        <f t="shared" si="4"/>
        <v/>
      </c>
      <c r="AM36" s="1184" t="str">
        <f t="shared" si="5"/>
        <v/>
      </c>
      <c r="AN36" s="1184" t="str">
        <f t="shared" si="6"/>
        <v/>
      </c>
      <c r="AO36" s="1184" t="str">
        <f t="shared" si="7"/>
        <v/>
      </c>
      <c r="AP36" s="1184" t="str">
        <f t="shared" si="8"/>
        <v/>
      </c>
      <c r="AQ36" s="1184" t="str">
        <f t="shared" si="9"/>
        <v/>
      </c>
      <c r="AR36" s="1184" t="str">
        <f t="shared" si="10"/>
        <v/>
      </c>
      <c r="AS36" s="1184" t="str">
        <f t="shared" si="11"/>
        <v/>
      </c>
      <c r="AT36" s="1184" t="str">
        <f t="shared" si="12"/>
        <v/>
      </c>
      <c r="AU36" s="1184" t="str">
        <f t="shared" si="13"/>
        <v/>
      </c>
      <c r="AV36" s="1184" t="str">
        <f t="shared" si="14"/>
        <v/>
      </c>
      <c r="AW36" s="1184" t="str">
        <f t="shared" si="15"/>
        <v/>
      </c>
      <c r="AX36" s="1184" t="str">
        <f t="shared" si="16"/>
        <v/>
      </c>
      <c r="AY36" s="1184" t="str">
        <f t="shared" si="17"/>
        <v/>
      </c>
      <c r="AZ36" s="1184" t="str">
        <f t="shared" si="18"/>
        <v/>
      </c>
      <c r="BA36" s="1184" t="str">
        <f t="shared" si="19"/>
        <v/>
      </c>
      <c r="BB36" s="1184" t="str">
        <f t="shared" si="20"/>
        <v/>
      </c>
      <c r="BC36" s="1184"/>
      <c r="BD36" s="1184"/>
      <c r="BE36" s="1184"/>
      <c r="BF36" s="1184"/>
      <c r="BG36" s="662" t="str">
        <f t="shared" si="21"/>
        <v/>
      </c>
      <c r="BH36" s="662" t="str">
        <f t="shared" si="22"/>
        <v/>
      </c>
      <c r="BI36" s="662" t="str">
        <f t="shared" si="23"/>
        <v/>
      </c>
      <c r="BJ36" s="662"/>
      <c r="BM36" s="662" t="str">
        <f>IFERROR(INDEX($C$6:$C$53,_xlfn.AGGREGATE(15,6,(ROW($AE$6:$AE$53)-ROW($AE$6)+1)/(($AE$6:$AE$53&gt;0)*(MOD($AE$6:$AE$53,20)=10)),ROWS($BM$6:BM36))),"")</f>
        <v/>
      </c>
      <c r="BN36" s="662" t="str">
        <f t="shared" si="24"/>
        <v/>
      </c>
      <c r="BO36" s="662" t="str">
        <f t="shared" si="25"/>
        <v/>
      </c>
      <c r="BP36" s="662" t="str">
        <f t="shared" si="26"/>
        <v/>
      </c>
    </row>
    <row r="37" spans="1:68" ht="45.75">
      <c r="A37" s="2257"/>
      <c r="C37" s="42">
        <f>+PP!B55</f>
        <v>32</v>
      </c>
      <c r="D37" s="164" t="str">
        <f>+PP!C55</f>
        <v>RECORTE AMARILLO SM ST</v>
      </c>
      <c r="E37" s="1533"/>
      <c r="F37" s="388"/>
      <c r="G37" s="1504"/>
      <c r="H37" s="1895"/>
      <c r="I37" s="388"/>
      <c r="J37" s="1896"/>
      <c r="K37" s="1533"/>
      <c r="L37" s="388"/>
      <c r="M37" s="388"/>
      <c r="N37" s="388"/>
      <c r="O37" s="388"/>
      <c r="P37" s="388"/>
      <c r="Q37" s="388"/>
      <c r="R37" s="388"/>
      <c r="S37" s="218"/>
      <c r="T37" s="388"/>
      <c r="U37" s="388"/>
      <c r="V37" s="388"/>
      <c r="W37" s="1504"/>
      <c r="X37" s="1504"/>
      <c r="Y37" s="1504"/>
      <c r="Z37" s="1504"/>
      <c r="AA37" s="1504"/>
      <c r="AB37" s="1504"/>
      <c r="AC37" s="960">
        <f t="shared" si="0"/>
        <v>0</v>
      </c>
      <c r="AD37" s="149">
        <f t="shared" si="1"/>
        <v>0</v>
      </c>
      <c r="AE37" s="146">
        <f t="shared" si="27"/>
        <v>0</v>
      </c>
      <c r="AI37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37))),"")</f>
        <v/>
      </c>
      <c r="AJ37" s="662" t="str">
        <f t="shared" si="2"/>
        <v/>
      </c>
      <c r="AK37" s="1184" t="str">
        <f t="shared" si="3"/>
        <v/>
      </c>
      <c r="AL37" s="1184" t="str">
        <f t="shared" si="4"/>
        <v/>
      </c>
      <c r="AM37" s="1184" t="str">
        <f t="shared" si="5"/>
        <v/>
      </c>
      <c r="AN37" s="1184" t="str">
        <f t="shared" si="6"/>
        <v/>
      </c>
      <c r="AO37" s="1184" t="str">
        <f t="shared" si="7"/>
        <v/>
      </c>
      <c r="AP37" s="1184" t="str">
        <f t="shared" si="8"/>
        <v/>
      </c>
      <c r="AQ37" s="1184" t="str">
        <f t="shared" si="9"/>
        <v/>
      </c>
      <c r="AR37" s="1184" t="str">
        <f t="shared" si="10"/>
        <v/>
      </c>
      <c r="AS37" s="1184" t="str">
        <f t="shared" si="11"/>
        <v/>
      </c>
      <c r="AT37" s="1184" t="str">
        <f t="shared" si="12"/>
        <v/>
      </c>
      <c r="AU37" s="1184" t="str">
        <f t="shared" si="13"/>
        <v/>
      </c>
      <c r="AV37" s="1184" t="str">
        <f t="shared" si="14"/>
        <v/>
      </c>
      <c r="AW37" s="1184" t="str">
        <f t="shared" si="15"/>
        <v/>
      </c>
      <c r="AX37" s="1184" t="str">
        <f t="shared" si="16"/>
        <v/>
      </c>
      <c r="AY37" s="1184" t="str">
        <f t="shared" si="17"/>
        <v/>
      </c>
      <c r="AZ37" s="1184" t="str">
        <f t="shared" si="18"/>
        <v/>
      </c>
      <c r="BA37" s="1184" t="str">
        <f t="shared" si="19"/>
        <v/>
      </c>
      <c r="BB37" s="1184" t="str">
        <f t="shared" si="20"/>
        <v/>
      </c>
      <c r="BC37" s="1184"/>
      <c r="BD37" s="1184"/>
      <c r="BE37" s="1184"/>
      <c r="BF37" s="1184"/>
      <c r="BG37" s="662" t="str">
        <f t="shared" si="21"/>
        <v/>
      </c>
      <c r="BH37" s="662" t="str">
        <f t="shared" si="22"/>
        <v/>
      </c>
      <c r="BI37" s="662" t="str">
        <f t="shared" si="23"/>
        <v/>
      </c>
      <c r="BJ37" s="662"/>
      <c r="BM37" s="662" t="str">
        <f>IFERROR(INDEX($C$6:$C$53,_xlfn.AGGREGATE(15,6,(ROW($AE$6:$AE$53)-ROW($AE$6)+1)/(($AE$6:$AE$53&gt;0)*(MOD($AE$6:$AE$53,20)=10)),ROWS($BM$6:BM37))),"")</f>
        <v/>
      </c>
      <c r="BN37" s="662" t="str">
        <f t="shared" si="24"/>
        <v/>
      </c>
      <c r="BO37" s="662" t="str">
        <f t="shared" si="25"/>
        <v/>
      </c>
      <c r="BP37" s="662" t="str">
        <f t="shared" si="26"/>
        <v/>
      </c>
    </row>
    <row r="38" spans="1:68" ht="45.75">
      <c r="A38" s="2257"/>
      <c r="C38" s="42">
        <f>+PP!B56</f>
        <v>33</v>
      </c>
      <c r="D38" s="167" t="str">
        <f>+PP!C56</f>
        <v>RECORTE PRECOCIDO</v>
      </c>
      <c r="E38" s="1539"/>
      <c r="F38" s="1154"/>
      <c r="G38" s="1505"/>
      <c r="H38" s="1903"/>
      <c r="I38" s="1154"/>
      <c r="J38" s="1904"/>
      <c r="K38" s="1539"/>
      <c r="L38" s="1154"/>
      <c r="M38" s="1154"/>
      <c r="N38" s="1154"/>
      <c r="O38" s="1154"/>
      <c r="P38" s="1154"/>
      <c r="Q38" s="1154"/>
      <c r="R38" s="1154"/>
      <c r="S38" s="227"/>
      <c r="T38" s="1154"/>
      <c r="U38" s="1154"/>
      <c r="V38" s="1154"/>
      <c r="W38" s="1505"/>
      <c r="X38" s="1505"/>
      <c r="Y38" s="1505"/>
      <c r="Z38" s="1505"/>
      <c r="AA38" s="1505"/>
      <c r="AB38" s="1505"/>
      <c r="AC38" s="961">
        <f t="shared" si="0"/>
        <v>0</v>
      </c>
      <c r="AD38" s="155">
        <f t="shared" si="1"/>
        <v>0</v>
      </c>
      <c r="AE38" s="156">
        <f t="shared" si="27"/>
        <v>0</v>
      </c>
      <c r="AI38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38))),"")</f>
        <v/>
      </c>
      <c r="AJ38" s="662" t="str">
        <f t="shared" si="2"/>
        <v/>
      </c>
      <c r="AK38" s="1184" t="str">
        <f t="shared" si="3"/>
        <v/>
      </c>
      <c r="AL38" s="1184" t="str">
        <f t="shared" si="4"/>
        <v/>
      </c>
      <c r="AM38" s="1184" t="str">
        <f t="shared" si="5"/>
        <v/>
      </c>
      <c r="AN38" s="1184" t="str">
        <f t="shared" si="6"/>
        <v/>
      </c>
      <c r="AO38" s="1184" t="str">
        <f t="shared" si="7"/>
        <v/>
      </c>
      <c r="AP38" s="1184" t="str">
        <f t="shared" si="8"/>
        <v/>
      </c>
      <c r="AQ38" s="1184" t="str">
        <f t="shared" si="9"/>
        <v/>
      </c>
      <c r="AR38" s="1184" t="str">
        <f t="shared" si="10"/>
        <v/>
      </c>
      <c r="AS38" s="1184" t="str">
        <f t="shared" si="11"/>
        <v/>
      </c>
      <c r="AT38" s="1184" t="str">
        <f t="shared" si="12"/>
        <v/>
      </c>
      <c r="AU38" s="1184" t="str">
        <f t="shared" si="13"/>
        <v/>
      </c>
      <c r="AV38" s="1184" t="str">
        <f t="shared" si="14"/>
        <v/>
      </c>
      <c r="AW38" s="1184" t="str">
        <f t="shared" si="15"/>
        <v/>
      </c>
      <c r="AX38" s="1184" t="str">
        <f t="shared" si="16"/>
        <v/>
      </c>
      <c r="AY38" s="1184" t="str">
        <f t="shared" si="17"/>
        <v/>
      </c>
      <c r="AZ38" s="1184" t="str">
        <f t="shared" si="18"/>
        <v/>
      </c>
      <c r="BA38" s="1184" t="str">
        <f t="shared" si="19"/>
        <v/>
      </c>
      <c r="BB38" s="1184" t="str">
        <f t="shared" si="20"/>
        <v/>
      </c>
      <c r="BC38" s="1184"/>
      <c r="BD38" s="1184"/>
      <c r="BE38" s="1184"/>
      <c r="BF38" s="1184"/>
      <c r="BG38" s="662" t="str">
        <f t="shared" si="21"/>
        <v/>
      </c>
      <c r="BH38" s="662" t="str">
        <f t="shared" si="22"/>
        <v/>
      </c>
      <c r="BI38" s="662" t="str">
        <f t="shared" si="23"/>
        <v/>
      </c>
      <c r="BJ38" s="662"/>
      <c r="BM38" s="662" t="str">
        <f>IFERROR(INDEX($C$6:$C$53,_xlfn.AGGREGATE(15,6,(ROW($AE$6:$AE$53)-ROW($AE$6)+1)/(($AE$6:$AE$53&gt;0)*(MOD($AE$6:$AE$53,20)=10)),ROWS($BM$6:BM38))),"")</f>
        <v/>
      </c>
      <c r="BN38" s="662" t="str">
        <f t="shared" si="24"/>
        <v/>
      </c>
      <c r="BO38" s="662" t="str">
        <f t="shared" si="25"/>
        <v/>
      </c>
      <c r="BP38" s="662" t="str">
        <f t="shared" si="26"/>
        <v/>
      </c>
    </row>
    <row r="39" spans="1:68" ht="45.75">
      <c r="A39" s="2257"/>
      <c r="C39" s="159">
        <f>+PP!B57</f>
        <v>34</v>
      </c>
      <c r="D39" s="164" t="str">
        <f>+PP!C57</f>
        <v>REPRODUCTORES SV, PEQUEÑO</v>
      </c>
      <c r="E39" s="1533"/>
      <c r="F39" s="388"/>
      <c r="G39" s="1504"/>
      <c r="H39" s="1895"/>
      <c r="I39" s="388"/>
      <c r="J39" s="1896"/>
      <c r="K39" s="1533"/>
      <c r="L39" s="388"/>
      <c r="M39" s="388"/>
      <c r="N39" s="388"/>
      <c r="O39" s="388"/>
      <c r="P39" s="388"/>
      <c r="Q39" s="388"/>
      <c r="R39" s="388"/>
      <c r="S39" s="218"/>
      <c r="T39" s="388"/>
      <c r="U39" s="388"/>
      <c r="V39" s="388"/>
      <c r="W39" s="1504"/>
      <c r="X39" s="1504"/>
      <c r="Y39" s="1504"/>
      <c r="Z39" s="1504"/>
      <c r="AA39" s="1504"/>
      <c r="AB39" s="1504"/>
      <c r="AC39" s="960">
        <f t="shared" si="0"/>
        <v>0</v>
      </c>
      <c r="AD39" s="149">
        <f t="shared" si="1"/>
        <v>0</v>
      </c>
      <c r="AE39" s="556">
        <f t="shared" si="27"/>
        <v>0</v>
      </c>
      <c r="AI39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39))),"")</f>
        <v/>
      </c>
      <c r="AJ39" s="662" t="str">
        <f t="shared" si="2"/>
        <v/>
      </c>
      <c r="AK39" s="1184" t="str">
        <f t="shared" si="3"/>
        <v/>
      </c>
      <c r="AL39" s="1184" t="str">
        <f t="shared" si="4"/>
        <v/>
      </c>
      <c r="AM39" s="1184" t="str">
        <f t="shared" si="5"/>
        <v/>
      </c>
      <c r="AN39" s="1184" t="str">
        <f t="shared" si="6"/>
        <v/>
      </c>
      <c r="AO39" s="1184" t="str">
        <f t="shared" si="7"/>
        <v/>
      </c>
      <c r="AP39" s="1184" t="str">
        <f t="shared" si="8"/>
        <v/>
      </c>
      <c r="AQ39" s="1184" t="str">
        <f t="shared" si="9"/>
        <v/>
      </c>
      <c r="AR39" s="1184" t="str">
        <f t="shared" si="10"/>
        <v/>
      </c>
      <c r="AS39" s="1184" t="str">
        <f t="shared" si="11"/>
        <v/>
      </c>
      <c r="AT39" s="1184" t="str">
        <f t="shared" si="12"/>
        <v/>
      </c>
      <c r="AU39" s="1184" t="str">
        <f t="shared" si="13"/>
        <v/>
      </c>
      <c r="AV39" s="1184" t="str">
        <f t="shared" si="14"/>
        <v/>
      </c>
      <c r="AW39" s="1184" t="str">
        <f t="shared" si="15"/>
        <v/>
      </c>
      <c r="AX39" s="1184" t="str">
        <f t="shared" si="16"/>
        <v/>
      </c>
      <c r="AY39" s="1184" t="str">
        <f t="shared" si="17"/>
        <v/>
      </c>
      <c r="AZ39" s="1184" t="str">
        <f t="shared" si="18"/>
        <v/>
      </c>
      <c r="BA39" s="1184" t="str">
        <f t="shared" si="19"/>
        <v/>
      </c>
      <c r="BB39" s="1184" t="str">
        <f t="shared" si="20"/>
        <v/>
      </c>
      <c r="BC39" s="1184"/>
      <c r="BD39" s="1184"/>
      <c r="BE39" s="1184"/>
      <c r="BF39" s="1184"/>
      <c r="BG39" s="662" t="str">
        <f t="shared" si="21"/>
        <v/>
      </c>
      <c r="BH39" s="662" t="str">
        <f t="shared" si="22"/>
        <v/>
      </c>
      <c r="BI39" s="662" t="str">
        <f t="shared" si="23"/>
        <v/>
      </c>
      <c r="BJ39" s="662"/>
      <c r="BM39" s="662" t="str">
        <f>IFERROR(INDEX($C$6:$C$53,_xlfn.AGGREGATE(15,6,(ROW($AE$6:$AE$53)-ROW($AE$6)+1)/(($AE$6:$AE$53&gt;0)*(MOD($AE$6:$AE$53,20)=10)),ROWS($BM$6:BM39))),"")</f>
        <v/>
      </c>
      <c r="BN39" s="662" t="str">
        <f t="shared" si="24"/>
        <v/>
      </c>
      <c r="BO39" s="662" t="str">
        <f t="shared" si="25"/>
        <v/>
      </c>
      <c r="BP39" s="662" t="str">
        <f t="shared" si="26"/>
        <v/>
      </c>
    </row>
    <row r="40" spans="1:68" ht="46.5" thickBot="1">
      <c r="A40" s="2257"/>
      <c r="C40" s="159">
        <f>+PP!B58</f>
        <v>35</v>
      </c>
      <c r="D40" s="163" t="str">
        <f>+PP!C58</f>
        <v>REPRODUCTOR SV GRANDE</v>
      </c>
      <c r="E40" s="1535"/>
      <c r="F40" s="1008"/>
      <c r="G40" s="1506"/>
      <c r="H40" s="1897"/>
      <c r="I40" s="1008"/>
      <c r="J40" s="1898"/>
      <c r="K40" s="1535"/>
      <c r="L40" s="1008"/>
      <c r="M40" s="1008"/>
      <c r="N40" s="1008"/>
      <c r="O40" s="1008"/>
      <c r="P40" s="1008"/>
      <c r="Q40" s="1008"/>
      <c r="R40" s="1008"/>
      <c r="S40" s="215"/>
      <c r="T40" s="1008"/>
      <c r="U40" s="1008"/>
      <c r="V40" s="1008"/>
      <c r="W40" s="1506"/>
      <c r="X40" s="1506"/>
      <c r="Y40" s="1506"/>
      <c r="Z40" s="1506"/>
      <c r="AA40" s="1506"/>
      <c r="AB40" s="1506"/>
      <c r="AC40" s="967">
        <f t="shared" si="0"/>
        <v>0</v>
      </c>
      <c r="AD40" s="150">
        <f>AC40/2</f>
        <v>0</v>
      </c>
      <c r="AE40" s="507">
        <f>+AC40*10</f>
        <v>0</v>
      </c>
      <c r="AI40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40))),"")</f>
        <v/>
      </c>
      <c r="AJ40" s="662" t="str">
        <f t="shared" si="2"/>
        <v/>
      </c>
      <c r="AK40" s="1184" t="str">
        <f t="shared" si="3"/>
        <v/>
      </c>
      <c r="AL40" s="1184" t="str">
        <f t="shared" si="4"/>
        <v/>
      </c>
      <c r="AM40" s="1184" t="str">
        <f t="shared" si="5"/>
        <v/>
      </c>
      <c r="AN40" s="1184" t="str">
        <f t="shared" si="6"/>
        <v/>
      </c>
      <c r="AO40" s="1184" t="str">
        <f t="shared" si="7"/>
        <v/>
      </c>
      <c r="AP40" s="1184" t="str">
        <f t="shared" si="8"/>
        <v/>
      </c>
      <c r="AQ40" s="1184" t="str">
        <f t="shared" si="9"/>
        <v/>
      </c>
      <c r="AR40" s="1184" t="str">
        <f t="shared" si="10"/>
        <v/>
      </c>
      <c r="AS40" s="1184" t="str">
        <f t="shared" si="11"/>
        <v/>
      </c>
      <c r="AT40" s="1184" t="str">
        <f t="shared" si="12"/>
        <v/>
      </c>
      <c r="AU40" s="1184" t="str">
        <f t="shared" si="13"/>
        <v/>
      </c>
      <c r="AV40" s="1184" t="str">
        <f t="shared" si="14"/>
        <v/>
      </c>
      <c r="AW40" s="1184" t="str">
        <f t="shared" si="15"/>
        <v/>
      </c>
      <c r="AX40" s="1184" t="str">
        <f t="shared" si="16"/>
        <v/>
      </c>
      <c r="AY40" s="1184" t="str">
        <f t="shared" si="17"/>
        <v/>
      </c>
      <c r="AZ40" s="1184" t="str">
        <f t="shared" si="18"/>
        <v/>
      </c>
      <c r="BA40" s="1184" t="str">
        <f t="shared" si="19"/>
        <v/>
      </c>
      <c r="BB40" s="1184" t="str">
        <f t="shared" si="20"/>
        <v/>
      </c>
      <c r="BC40" s="1184"/>
      <c r="BD40" s="1184"/>
      <c r="BE40" s="1184"/>
      <c r="BF40" s="1184"/>
      <c r="BG40" s="662" t="str">
        <f t="shared" si="21"/>
        <v/>
      </c>
      <c r="BH40" s="662" t="str">
        <f t="shared" si="22"/>
        <v/>
      </c>
      <c r="BI40" s="662" t="str">
        <f t="shared" si="23"/>
        <v/>
      </c>
      <c r="BJ40" s="662"/>
      <c r="BM40" s="662" t="str">
        <f>IFERROR(INDEX($C$6:$C$53,_xlfn.AGGREGATE(15,6,(ROW($AE$6:$AE$53)-ROW($AE$6)+1)/(($AE$6:$AE$53&gt;0)*(MOD($AE$6:$AE$53,20)=10)),ROWS($BM$6:BM40))),"")</f>
        <v/>
      </c>
      <c r="BN40" s="662" t="str">
        <f t="shared" si="24"/>
        <v/>
      </c>
      <c r="BO40" s="662" t="str">
        <f t="shared" si="25"/>
        <v/>
      </c>
      <c r="BP40" s="662" t="str">
        <f t="shared" si="26"/>
        <v/>
      </c>
    </row>
    <row r="41" spans="1:68" ht="46.5" thickBot="1">
      <c r="A41" s="2257"/>
      <c r="C41" s="42">
        <f>+PP!B59</f>
        <v>36</v>
      </c>
      <c r="D41" s="2056" t="str">
        <f>+PP!C59</f>
        <v>TUBO ALETA 1.0-2.0 Kg/pza</v>
      </c>
      <c r="E41" s="1538"/>
      <c r="F41" s="1496"/>
      <c r="G41" s="1508"/>
      <c r="H41" s="1905"/>
      <c r="I41" s="1496"/>
      <c r="J41" s="1906"/>
      <c r="K41" s="1538"/>
      <c r="L41" s="1496"/>
      <c r="M41" s="1496"/>
      <c r="N41" s="1496"/>
      <c r="O41" s="1496"/>
      <c r="P41" s="1496"/>
      <c r="Q41" s="1496"/>
      <c r="R41" s="1496"/>
      <c r="S41" s="956"/>
      <c r="T41" s="1496"/>
      <c r="U41" s="1496"/>
      <c r="V41" s="1496"/>
      <c r="W41" s="1508"/>
      <c r="X41" s="1508"/>
      <c r="Y41" s="1508"/>
      <c r="Z41" s="1508"/>
      <c r="AA41" s="1508"/>
      <c r="AB41" s="1508"/>
      <c r="AC41" s="962">
        <f t="shared" si="0"/>
        <v>0</v>
      </c>
      <c r="AD41" s="957">
        <f t="shared" si="1"/>
        <v>0</v>
      </c>
      <c r="AE41" s="958">
        <f t="shared" si="27"/>
        <v>0</v>
      </c>
      <c r="AI41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41))),"")</f>
        <v/>
      </c>
      <c r="AJ41" s="662" t="str">
        <f t="shared" si="2"/>
        <v/>
      </c>
      <c r="AK41" s="1184" t="str">
        <f t="shared" si="3"/>
        <v/>
      </c>
      <c r="AL41" s="1184" t="str">
        <f t="shared" si="4"/>
        <v/>
      </c>
      <c r="AM41" s="1184" t="str">
        <f t="shared" si="5"/>
        <v/>
      </c>
      <c r="AN41" s="1184" t="str">
        <f t="shared" si="6"/>
        <v/>
      </c>
      <c r="AO41" s="1184" t="str">
        <f t="shared" si="7"/>
        <v/>
      </c>
      <c r="AP41" s="1184" t="str">
        <f t="shared" si="8"/>
        <v/>
      </c>
      <c r="AQ41" s="1184" t="str">
        <f t="shared" si="9"/>
        <v/>
      </c>
      <c r="AR41" s="1184" t="str">
        <f t="shared" si="10"/>
        <v/>
      </c>
      <c r="AS41" s="1184" t="str">
        <f t="shared" si="11"/>
        <v/>
      </c>
      <c r="AT41" s="1184" t="str">
        <f t="shared" si="12"/>
        <v/>
      </c>
      <c r="AU41" s="1184" t="str">
        <f t="shared" si="13"/>
        <v/>
      </c>
      <c r="AV41" s="1184" t="str">
        <f t="shared" si="14"/>
        <v/>
      </c>
      <c r="AW41" s="1184" t="str">
        <f t="shared" si="15"/>
        <v/>
      </c>
      <c r="AX41" s="1184" t="str">
        <f t="shared" si="16"/>
        <v/>
      </c>
      <c r="AY41" s="1184" t="str">
        <f t="shared" si="17"/>
        <v/>
      </c>
      <c r="AZ41" s="1184" t="str">
        <f t="shared" si="18"/>
        <v/>
      </c>
      <c r="BA41" s="1184" t="str">
        <f t="shared" si="19"/>
        <v/>
      </c>
      <c r="BB41" s="1184" t="str">
        <f t="shared" si="20"/>
        <v/>
      </c>
      <c r="BC41" s="1184"/>
      <c r="BD41" s="1184"/>
      <c r="BE41" s="1184"/>
      <c r="BF41" s="1184"/>
      <c r="BG41" s="662" t="str">
        <f t="shared" si="21"/>
        <v/>
      </c>
      <c r="BH41" s="662" t="str">
        <f t="shared" si="22"/>
        <v/>
      </c>
      <c r="BI41" s="662" t="str">
        <f t="shared" si="23"/>
        <v/>
      </c>
      <c r="BJ41" s="662"/>
      <c r="BM41" s="662" t="str">
        <f>IFERROR(INDEX($C$6:$C$53,_xlfn.AGGREGATE(15,6,(ROW($AE$6:$AE$53)-ROW($AE$6)+1)/(($AE$6:$AE$53&gt;0)*(MOD($AE$6:$AE$53,20)=10)),ROWS($BM$6:BM41))),"")</f>
        <v/>
      </c>
      <c r="BN41" s="662" t="str">
        <f t="shared" si="24"/>
        <v/>
      </c>
      <c r="BO41" s="662" t="str">
        <f t="shared" si="25"/>
        <v/>
      </c>
      <c r="BP41" s="662" t="str">
        <f t="shared" si="26"/>
        <v/>
      </c>
    </row>
    <row r="42" spans="1:68" ht="46.5" customHeight="1">
      <c r="A42" s="2257"/>
      <c r="C42" s="42">
        <f>+PP!B60</f>
        <v>37</v>
      </c>
      <c r="D42" s="166" t="str">
        <f>+PP!C60</f>
        <v>TENTACULO C/B C/V SR 100-300 g/pza (SUCIO)</v>
      </c>
      <c r="E42" s="1532"/>
      <c r="F42" s="1155"/>
      <c r="G42" s="1507"/>
      <c r="H42" s="1899"/>
      <c r="I42" s="1155"/>
      <c r="J42" s="1900"/>
      <c r="K42" s="1532"/>
      <c r="L42" s="1155"/>
      <c r="M42" s="1155"/>
      <c r="N42" s="1155"/>
      <c r="O42" s="1155"/>
      <c r="P42" s="1155"/>
      <c r="Q42" s="1155"/>
      <c r="R42" s="1155"/>
      <c r="S42" s="224"/>
      <c r="T42" s="1155"/>
      <c r="U42" s="1155"/>
      <c r="V42" s="1155"/>
      <c r="W42" s="1507"/>
      <c r="X42" s="1507"/>
      <c r="Y42" s="1507"/>
      <c r="Z42" s="1507"/>
      <c r="AA42" s="1507"/>
      <c r="AB42" s="1507"/>
      <c r="AC42" s="968">
        <f t="shared" si="0"/>
        <v>0</v>
      </c>
      <c r="AD42" s="151">
        <f t="shared" si="1"/>
        <v>0</v>
      </c>
      <c r="AE42" s="152">
        <f t="shared" si="27"/>
        <v>0</v>
      </c>
      <c r="AF42" s="209">
        <f>SUM(AE42:AE52)</f>
        <v>0</v>
      </c>
      <c r="AI42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42))),"")</f>
        <v/>
      </c>
      <c r="AJ42" s="662" t="str">
        <f t="shared" si="2"/>
        <v/>
      </c>
      <c r="AK42" s="1184" t="str">
        <f t="shared" si="3"/>
        <v/>
      </c>
      <c r="AL42" s="1184" t="str">
        <f t="shared" si="4"/>
        <v/>
      </c>
      <c r="AM42" s="1184" t="str">
        <f t="shared" si="5"/>
        <v/>
      </c>
      <c r="AN42" s="1184" t="str">
        <f t="shared" si="6"/>
        <v/>
      </c>
      <c r="AO42" s="1184" t="str">
        <f t="shared" si="7"/>
        <v/>
      </c>
      <c r="AP42" s="1184" t="str">
        <f t="shared" si="8"/>
        <v/>
      </c>
      <c r="AQ42" s="1184" t="str">
        <f t="shared" si="9"/>
        <v/>
      </c>
      <c r="AR42" s="1184" t="str">
        <f t="shared" si="10"/>
        <v/>
      </c>
      <c r="AS42" s="1184" t="str">
        <f t="shared" si="11"/>
        <v/>
      </c>
      <c r="AT42" s="1184" t="str">
        <f t="shared" si="12"/>
        <v/>
      </c>
      <c r="AU42" s="1184" t="str">
        <f t="shared" si="13"/>
        <v/>
      </c>
      <c r="AV42" s="1184" t="str">
        <f t="shared" si="14"/>
        <v/>
      </c>
      <c r="AW42" s="1184" t="str">
        <f t="shared" si="15"/>
        <v/>
      </c>
      <c r="AX42" s="1184" t="str">
        <f t="shared" si="16"/>
        <v/>
      </c>
      <c r="AY42" s="1184" t="str">
        <f t="shared" si="17"/>
        <v/>
      </c>
      <c r="AZ42" s="1184" t="str">
        <f t="shared" si="18"/>
        <v/>
      </c>
      <c r="BA42" s="1184" t="str">
        <f t="shared" si="19"/>
        <v/>
      </c>
      <c r="BB42" s="1184" t="str">
        <f t="shared" si="20"/>
        <v/>
      </c>
      <c r="BC42" s="1184"/>
      <c r="BD42" s="1184"/>
      <c r="BE42" s="1184"/>
      <c r="BF42" s="1184"/>
      <c r="BG42" s="662" t="str">
        <f t="shared" si="21"/>
        <v/>
      </c>
      <c r="BH42" s="662" t="str">
        <f t="shared" si="22"/>
        <v/>
      </c>
      <c r="BI42" s="662" t="str">
        <f t="shared" si="23"/>
        <v/>
      </c>
      <c r="BJ42" s="662"/>
      <c r="BM42" s="662" t="str">
        <f>IFERROR(INDEX($C$6:$C$53,_xlfn.AGGREGATE(15,6,(ROW($AE$6:$AE$53)-ROW($AE$6)+1)/(($AE$6:$AE$53&gt;0)*(MOD($AE$6:$AE$53,20)=10)),ROWS($BM$6:BM42))),"")</f>
        <v/>
      </c>
      <c r="BN42" s="662" t="str">
        <f t="shared" si="24"/>
        <v/>
      </c>
      <c r="BO42" s="662" t="str">
        <f t="shared" si="25"/>
        <v/>
      </c>
      <c r="BP42" s="662" t="str">
        <f t="shared" si="26"/>
        <v/>
      </c>
    </row>
    <row r="43" spans="1:68" ht="45.75" customHeight="1">
      <c r="A43" s="2257"/>
      <c r="C43" s="42">
        <f>+PP!B61</f>
        <v>38</v>
      </c>
      <c r="D43" s="164" t="str">
        <f>+PP!C61</f>
        <v>TENTACULO C/B C/V SR 300-500 g/pza (SUCIO)</v>
      </c>
      <c r="E43" s="1533"/>
      <c r="F43" s="388"/>
      <c r="G43" s="1504"/>
      <c r="H43" s="1895"/>
      <c r="I43" s="388"/>
      <c r="J43" s="1896"/>
      <c r="K43" s="1533"/>
      <c r="L43" s="388"/>
      <c r="M43" s="388"/>
      <c r="N43" s="388"/>
      <c r="O43" s="388"/>
      <c r="P43" s="388"/>
      <c r="Q43" s="388"/>
      <c r="R43" s="388"/>
      <c r="S43" s="218"/>
      <c r="T43" s="388"/>
      <c r="U43" s="388"/>
      <c r="V43" s="388"/>
      <c r="W43" s="1504"/>
      <c r="X43" s="1504"/>
      <c r="Y43" s="1504"/>
      <c r="Z43" s="1504"/>
      <c r="AA43" s="1504"/>
      <c r="AB43" s="1504"/>
      <c r="AC43" s="960">
        <f t="shared" si="0"/>
        <v>0</v>
      </c>
      <c r="AD43" s="149">
        <f t="shared" si="1"/>
        <v>0</v>
      </c>
      <c r="AE43" s="146">
        <f t="shared" si="27"/>
        <v>0</v>
      </c>
      <c r="AI43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43))),"")</f>
        <v/>
      </c>
      <c r="AJ43" s="662" t="str">
        <f t="shared" si="2"/>
        <v/>
      </c>
      <c r="AK43" s="1184" t="str">
        <f t="shared" si="3"/>
        <v/>
      </c>
      <c r="AL43" s="1184" t="str">
        <f t="shared" si="4"/>
        <v/>
      </c>
      <c r="AM43" s="1184" t="str">
        <f t="shared" si="5"/>
        <v/>
      </c>
      <c r="AN43" s="1184" t="str">
        <f t="shared" si="6"/>
        <v/>
      </c>
      <c r="AO43" s="1184" t="str">
        <f t="shared" si="7"/>
        <v/>
      </c>
      <c r="AP43" s="1184" t="str">
        <f t="shared" si="8"/>
        <v/>
      </c>
      <c r="AQ43" s="1184" t="str">
        <f t="shared" si="9"/>
        <v/>
      </c>
      <c r="AR43" s="1184" t="str">
        <f t="shared" si="10"/>
        <v/>
      </c>
      <c r="AS43" s="1184" t="str">
        <f t="shared" si="11"/>
        <v/>
      </c>
      <c r="AT43" s="1184" t="str">
        <f t="shared" si="12"/>
        <v/>
      </c>
      <c r="AU43" s="1184" t="str">
        <f t="shared" si="13"/>
        <v/>
      </c>
      <c r="AV43" s="1184" t="str">
        <f t="shared" si="14"/>
        <v/>
      </c>
      <c r="AW43" s="1184" t="str">
        <f t="shared" si="15"/>
        <v/>
      </c>
      <c r="AX43" s="1184" t="str">
        <f t="shared" si="16"/>
        <v/>
      </c>
      <c r="AY43" s="1184" t="str">
        <f t="shared" si="17"/>
        <v/>
      </c>
      <c r="AZ43" s="1184" t="str">
        <f t="shared" si="18"/>
        <v/>
      </c>
      <c r="BA43" s="1184" t="str">
        <f t="shared" si="19"/>
        <v/>
      </c>
      <c r="BB43" s="1184" t="str">
        <f t="shared" si="20"/>
        <v/>
      </c>
      <c r="BC43" s="1184"/>
      <c r="BD43" s="1184"/>
      <c r="BE43" s="1184"/>
      <c r="BF43" s="1184"/>
      <c r="BG43" s="662" t="str">
        <f t="shared" si="21"/>
        <v/>
      </c>
      <c r="BH43" s="662" t="str">
        <f t="shared" si="22"/>
        <v/>
      </c>
      <c r="BI43" s="662" t="str">
        <f t="shared" si="23"/>
        <v/>
      </c>
      <c r="BJ43" s="662"/>
      <c r="BM43" s="662" t="str">
        <f>IFERROR(INDEX($C$6:$C$53,_xlfn.AGGREGATE(15,6,(ROW($AE$6:$AE$53)-ROW($AE$6)+1)/(($AE$6:$AE$53&gt;0)*(MOD($AE$6:$AE$53,20)=10)),ROWS($BM$6:BM43))),"")</f>
        <v/>
      </c>
      <c r="BN43" s="662" t="str">
        <f t="shared" si="24"/>
        <v/>
      </c>
      <c r="BO43" s="662" t="str">
        <f t="shared" si="25"/>
        <v/>
      </c>
      <c r="BP43" s="662" t="str">
        <f t="shared" si="26"/>
        <v/>
      </c>
    </row>
    <row r="44" spans="1:68" ht="45.75">
      <c r="A44" s="2257"/>
      <c r="C44" s="42">
        <f>+PP!B62</f>
        <v>39</v>
      </c>
      <c r="D44" s="164" t="str">
        <f>+PP!C62</f>
        <v>TENTACULO C/B S/V SR 100-300 g/pza</v>
      </c>
      <c r="E44" s="1533"/>
      <c r="F44" s="388"/>
      <c r="G44" s="1504"/>
      <c r="H44" s="1895"/>
      <c r="I44" s="388"/>
      <c r="J44" s="1896"/>
      <c r="K44" s="1533"/>
      <c r="L44" s="388"/>
      <c r="M44" s="388"/>
      <c r="N44" s="388"/>
      <c r="O44" s="388"/>
      <c r="P44" s="388"/>
      <c r="Q44" s="388"/>
      <c r="R44" s="388"/>
      <c r="S44" s="218"/>
      <c r="T44" s="388"/>
      <c r="U44" s="388"/>
      <c r="V44" s="388"/>
      <c r="W44" s="1504"/>
      <c r="X44" s="1504"/>
      <c r="Y44" s="1504"/>
      <c r="Z44" s="1504"/>
      <c r="AA44" s="1504"/>
      <c r="AB44" s="1504"/>
      <c r="AC44" s="960">
        <f t="shared" si="0"/>
        <v>0</v>
      </c>
      <c r="AD44" s="149">
        <f t="shared" si="1"/>
        <v>0</v>
      </c>
      <c r="AE44" s="146">
        <f t="shared" si="27"/>
        <v>0</v>
      </c>
      <c r="AI44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44))),"")</f>
        <v/>
      </c>
      <c r="AJ44" s="662" t="str">
        <f t="shared" si="2"/>
        <v/>
      </c>
      <c r="AK44" s="1184" t="str">
        <f t="shared" si="3"/>
        <v/>
      </c>
      <c r="AL44" s="1184" t="str">
        <f t="shared" si="4"/>
        <v/>
      </c>
      <c r="AM44" s="1184" t="str">
        <f t="shared" si="5"/>
        <v/>
      </c>
      <c r="AN44" s="1184" t="str">
        <f t="shared" si="6"/>
        <v/>
      </c>
      <c r="AO44" s="1184" t="str">
        <f t="shared" si="7"/>
        <v/>
      </c>
      <c r="AP44" s="1184" t="str">
        <f t="shared" si="8"/>
        <v/>
      </c>
      <c r="AQ44" s="1184" t="str">
        <f t="shared" si="9"/>
        <v/>
      </c>
      <c r="AR44" s="1184" t="str">
        <f t="shared" si="10"/>
        <v/>
      </c>
      <c r="AS44" s="1184" t="str">
        <f t="shared" si="11"/>
        <v/>
      </c>
      <c r="AT44" s="1184" t="str">
        <f t="shared" si="12"/>
        <v/>
      </c>
      <c r="AU44" s="1184" t="str">
        <f t="shared" si="13"/>
        <v/>
      </c>
      <c r="AV44" s="1184" t="str">
        <f t="shared" si="14"/>
        <v/>
      </c>
      <c r="AW44" s="1184" t="str">
        <f t="shared" si="15"/>
        <v/>
      </c>
      <c r="AX44" s="1184" t="str">
        <f t="shared" si="16"/>
        <v/>
      </c>
      <c r="AY44" s="1184" t="str">
        <f t="shared" si="17"/>
        <v/>
      </c>
      <c r="AZ44" s="1184" t="str">
        <f t="shared" si="18"/>
        <v/>
      </c>
      <c r="BA44" s="1184" t="str">
        <f t="shared" si="19"/>
        <v/>
      </c>
      <c r="BB44" s="1184" t="str">
        <f t="shared" si="20"/>
        <v/>
      </c>
      <c r="BC44" s="1184"/>
      <c r="BD44" s="1184"/>
      <c r="BE44" s="1184"/>
      <c r="BF44" s="1184"/>
      <c r="BG44" s="662" t="str">
        <f t="shared" si="21"/>
        <v/>
      </c>
      <c r="BH44" s="662" t="str">
        <f t="shared" si="22"/>
        <v/>
      </c>
      <c r="BI44" s="662" t="str">
        <f t="shared" si="23"/>
        <v/>
      </c>
      <c r="BJ44" s="662"/>
      <c r="BM44" s="662" t="str">
        <f>IFERROR(INDEX($C$6:$C$53,_xlfn.AGGREGATE(15,6,(ROW($AE$6:$AE$53)-ROW($AE$6)+1)/(($AE$6:$AE$53&gt;0)*(MOD($AE$6:$AE$53,20)=10)),ROWS($BM$6:BM44))),"")</f>
        <v/>
      </c>
      <c r="BN44" s="662" t="str">
        <f t="shared" si="24"/>
        <v/>
      </c>
      <c r="BO44" s="662" t="str">
        <f t="shared" si="25"/>
        <v/>
      </c>
      <c r="BP44" s="662" t="str">
        <f t="shared" si="26"/>
        <v/>
      </c>
    </row>
    <row r="45" spans="1:68" ht="45.75" customHeight="1">
      <c r="A45" s="2257"/>
      <c r="C45" s="42">
        <f>+PP!B63</f>
        <v>40</v>
      </c>
      <c r="D45" s="164" t="str">
        <f>+PP!C63</f>
        <v>TENTACULO C/B C/V SR 100-500 g/pza (SUCIO)</v>
      </c>
      <c r="E45" s="1533"/>
      <c r="F45" s="388"/>
      <c r="G45" s="1504"/>
      <c r="H45" s="1895"/>
      <c r="I45" s="388"/>
      <c r="J45" s="1896"/>
      <c r="K45" s="1533"/>
      <c r="L45" s="388"/>
      <c r="M45" s="388"/>
      <c r="N45" s="388"/>
      <c r="O45" s="388"/>
      <c r="P45" s="388"/>
      <c r="Q45" s="388"/>
      <c r="R45" s="388"/>
      <c r="S45" s="218"/>
      <c r="T45" s="388"/>
      <c r="U45" s="388"/>
      <c r="V45" s="388"/>
      <c r="W45" s="1504"/>
      <c r="X45" s="1504"/>
      <c r="Y45" s="1504"/>
      <c r="Z45" s="1504"/>
      <c r="AA45" s="1504"/>
      <c r="AB45" s="1504"/>
      <c r="AC45" s="960">
        <f t="shared" si="0"/>
        <v>0</v>
      </c>
      <c r="AD45" s="149">
        <f t="shared" si="1"/>
        <v>0</v>
      </c>
      <c r="AE45" s="146">
        <f>+AC45*10</f>
        <v>0</v>
      </c>
      <c r="AI45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45))),"")</f>
        <v/>
      </c>
      <c r="AJ45" s="662" t="str">
        <f t="shared" si="2"/>
        <v/>
      </c>
      <c r="AK45" s="1184" t="str">
        <f t="shared" si="3"/>
        <v/>
      </c>
      <c r="AL45" s="1184" t="str">
        <f t="shared" si="4"/>
        <v/>
      </c>
      <c r="AM45" s="1184" t="str">
        <f t="shared" si="5"/>
        <v/>
      </c>
      <c r="AN45" s="1184" t="str">
        <f t="shared" si="6"/>
        <v/>
      </c>
      <c r="AO45" s="1184" t="str">
        <f t="shared" si="7"/>
        <v/>
      </c>
      <c r="AP45" s="1184" t="str">
        <f t="shared" si="8"/>
        <v/>
      </c>
      <c r="AQ45" s="1184" t="str">
        <f t="shared" si="9"/>
        <v/>
      </c>
      <c r="AR45" s="1184" t="str">
        <f t="shared" si="10"/>
        <v/>
      </c>
      <c r="AS45" s="1184" t="str">
        <f t="shared" si="11"/>
        <v/>
      </c>
      <c r="AT45" s="1184" t="str">
        <f t="shared" si="12"/>
        <v/>
      </c>
      <c r="AU45" s="1184" t="str">
        <f t="shared" si="13"/>
        <v/>
      </c>
      <c r="AV45" s="1184" t="str">
        <f t="shared" si="14"/>
        <v/>
      </c>
      <c r="AW45" s="1184" t="str">
        <f t="shared" si="15"/>
        <v/>
      </c>
      <c r="AX45" s="1184" t="str">
        <f t="shared" si="16"/>
        <v/>
      </c>
      <c r="AY45" s="1184" t="str">
        <f t="shared" si="17"/>
        <v/>
      </c>
      <c r="AZ45" s="1184" t="str">
        <f t="shared" si="18"/>
        <v/>
      </c>
      <c r="BA45" s="1184" t="str">
        <f t="shared" si="19"/>
        <v/>
      </c>
      <c r="BB45" s="1184" t="str">
        <f t="shared" si="20"/>
        <v/>
      </c>
      <c r="BC45" s="1184"/>
      <c r="BD45" s="1184"/>
      <c r="BE45" s="1184"/>
      <c r="BF45" s="1184"/>
      <c r="BG45" s="662" t="str">
        <f t="shared" si="21"/>
        <v/>
      </c>
      <c r="BH45" s="662" t="str">
        <f t="shared" si="22"/>
        <v/>
      </c>
      <c r="BI45" s="662" t="str">
        <f t="shared" si="23"/>
        <v/>
      </c>
      <c r="BJ45" s="662"/>
      <c r="BM45" s="662" t="str">
        <f>IFERROR(INDEX($C$6:$C$53,_xlfn.AGGREGATE(15,6,(ROW($AE$6:$AE$53)-ROW($AE$6)+1)/(($AE$6:$AE$53&gt;0)*(MOD($AE$6:$AE$53,20)=10)),ROWS($BM$6:BM45))),"")</f>
        <v/>
      </c>
      <c r="BN45" s="662" t="str">
        <f t="shared" si="24"/>
        <v/>
      </c>
      <c r="BO45" s="662" t="str">
        <f t="shared" si="25"/>
        <v/>
      </c>
      <c r="BP45" s="662" t="str">
        <f t="shared" si="26"/>
        <v/>
      </c>
    </row>
    <row r="46" spans="1:68" ht="45.75">
      <c r="A46" s="2257"/>
      <c r="C46" s="42">
        <f>+PP!B64</f>
        <v>41</v>
      </c>
      <c r="D46" s="164" t="str">
        <f>+PP!C64</f>
        <v>TENTACULO C/B S/V SR 100-500 g/pza</v>
      </c>
      <c r="E46" s="1533"/>
      <c r="F46" s="388"/>
      <c r="G46" s="1504"/>
      <c r="H46" s="1895"/>
      <c r="I46" s="388"/>
      <c r="J46" s="1896"/>
      <c r="K46" s="1533"/>
      <c r="L46" s="388"/>
      <c r="M46" s="388"/>
      <c r="N46" s="388"/>
      <c r="O46" s="388"/>
      <c r="P46" s="388"/>
      <c r="Q46" s="388"/>
      <c r="R46" s="388"/>
      <c r="S46" s="218"/>
      <c r="T46" s="388"/>
      <c r="U46" s="388"/>
      <c r="V46" s="388"/>
      <c r="W46" s="1504"/>
      <c r="X46" s="1504"/>
      <c r="Y46" s="1504"/>
      <c r="Z46" s="1504"/>
      <c r="AA46" s="1504"/>
      <c r="AB46" s="1504"/>
      <c r="AC46" s="960">
        <f t="shared" si="0"/>
        <v>0</v>
      </c>
      <c r="AD46" s="149">
        <f t="shared" si="1"/>
        <v>0</v>
      </c>
      <c r="AE46" s="146">
        <f t="shared" si="27"/>
        <v>0</v>
      </c>
      <c r="AI46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46))),"")</f>
        <v/>
      </c>
      <c r="AJ46" s="662" t="str">
        <f t="shared" si="2"/>
        <v/>
      </c>
      <c r="AK46" s="1184" t="str">
        <f t="shared" si="3"/>
        <v/>
      </c>
      <c r="AL46" s="1184" t="str">
        <f t="shared" si="4"/>
        <v/>
      </c>
      <c r="AM46" s="1184" t="str">
        <f t="shared" si="5"/>
        <v/>
      </c>
      <c r="AN46" s="1184" t="str">
        <f t="shared" si="6"/>
        <v/>
      </c>
      <c r="AO46" s="1184" t="str">
        <f t="shared" si="7"/>
        <v/>
      </c>
      <c r="AP46" s="1184" t="str">
        <f t="shared" si="8"/>
        <v/>
      </c>
      <c r="AQ46" s="1184" t="str">
        <f t="shared" si="9"/>
        <v/>
      </c>
      <c r="AR46" s="1184" t="str">
        <f t="shared" si="10"/>
        <v/>
      </c>
      <c r="AS46" s="1184" t="str">
        <f t="shared" si="11"/>
        <v/>
      </c>
      <c r="AT46" s="1184" t="str">
        <f t="shared" si="12"/>
        <v/>
      </c>
      <c r="AU46" s="1184" t="str">
        <f t="shared" si="13"/>
        <v/>
      </c>
      <c r="AV46" s="1184" t="str">
        <f t="shared" si="14"/>
        <v/>
      </c>
      <c r="AW46" s="1184" t="str">
        <f t="shared" si="15"/>
        <v/>
      </c>
      <c r="AX46" s="1184" t="str">
        <f t="shared" si="16"/>
        <v/>
      </c>
      <c r="AY46" s="1184" t="str">
        <f t="shared" si="17"/>
        <v/>
      </c>
      <c r="AZ46" s="1184" t="str">
        <f t="shared" si="18"/>
        <v/>
      </c>
      <c r="BA46" s="1184" t="str">
        <f t="shared" si="19"/>
        <v/>
      </c>
      <c r="BB46" s="1184" t="str">
        <f t="shared" si="20"/>
        <v/>
      </c>
      <c r="BC46" s="1184"/>
      <c r="BD46" s="1184"/>
      <c r="BE46" s="1184"/>
      <c r="BF46" s="1184"/>
      <c r="BG46" s="662" t="str">
        <f t="shared" si="21"/>
        <v/>
      </c>
      <c r="BH46" s="662" t="str">
        <f t="shared" si="22"/>
        <v/>
      </c>
      <c r="BI46" s="662" t="str">
        <f t="shared" si="23"/>
        <v/>
      </c>
      <c r="BJ46" s="662"/>
      <c r="BM46" s="662" t="str">
        <f>IFERROR(INDEX($C$6:$C$53,_xlfn.AGGREGATE(15,6,(ROW($AE$6:$AE$53)-ROW($AE$6)+1)/(($AE$6:$AE$53&gt;0)*(MOD($AE$6:$AE$53,20)=10)),ROWS($BM$6:BM46))),"")</f>
        <v/>
      </c>
      <c r="BN46" s="662" t="str">
        <f t="shared" si="24"/>
        <v/>
      </c>
      <c r="BO46" s="662" t="str">
        <f t="shared" si="25"/>
        <v/>
      </c>
      <c r="BP46" s="662" t="str">
        <f t="shared" si="26"/>
        <v/>
      </c>
    </row>
    <row r="47" spans="1:68" ht="45.75">
      <c r="A47" s="2257"/>
      <c r="C47" s="42">
        <f>+PP!B65</f>
        <v>42</v>
      </c>
      <c r="D47" s="164" t="str">
        <f>+PP!C65</f>
        <v>TENTACULO C/B S/V SR 300-500 g/pza</v>
      </c>
      <c r="E47" s="1533"/>
      <c r="F47" s="388"/>
      <c r="G47" s="1504"/>
      <c r="H47" s="1895"/>
      <c r="I47" s="388"/>
      <c r="J47" s="1896"/>
      <c r="K47" s="1533"/>
      <c r="L47" s="388"/>
      <c r="M47" s="388"/>
      <c r="N47" s="388"/>
      <c r="O47" s="388"/>
      <c r="P47" s="388"/>
      <c r="Q47" s="388"/>
      <c r="R47" s="388"/>
      <c r="S47" s="218"/>
      <c r="T47" s="388"/>
      <c r="U47" s="388"/>
      <c r="V47" s="388"/>
      <c r="W47" s="1504"/>
      <c r="X47" s="1504"/>
      <c r="Y47" s="1504"/>
      <c r="Z47" s="1504"/>
      <c r="AA47" s="1504"/>
      <c r="AB47" s="1504"/>
      <c r="AC47" s="960">
        <f t="shared" si="0"/>
        <v>0</v>
      </c>
      <c r="AD47" s="149">
        <f t="shared" si="1"/>
        <v>0</v>
      </c>
      <c r="AE47" s="146">
        <f t="shared" si="27"/>
        <v>0</v>
      </c>
      <c r="AI47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47))),"")</f>
        <v/>
      </c>
      <c r="AJ47" s="662" t="str">
        <f t="shared" si="2"/>
        <v/>
      </c>
      <c r="AK47" s="1184" t="str">
        <f t="shared" si="3"/>
        <v/>
      </c>
      <c r="AL47" s="1184" t="str">
        <f t="shared" si="4"/>
        <v/>
      </c>
      <c r="AM47" s="1184" t="str">
        <f t="shared" si="5"/>
        <v/>
      </c>
      <c r="AN47" s="1184" t="str">
        <f t="shared" si="6"/>
        <v/>
      </c>
      <c r="AO47" s="1184" t="str">
        <f t="shared" si="7"/>
        <v/>
      </c>
      <c r="AP47" s="1184" t="str">
        <f t="shared" si="8"/>
        <v/>
      </c>
      <c r="AQ47" s="1184" t="str">
        <f t="shared" si="9"/>
        <v/>
      </c>
      <c r="AR47" s="1184" t="str">
        <f t="shared" si="10"/>
        <v/>
      </c>
      <c r="AS47" s="1184" t="str">
        <f t="shared" si="11"/>
        <v/>
      </c>
      <c r="AT47" s="1184" t="str">
        <f t="shared" si="12"/>
        <v/>
      </c>
      <c r="AU47" s="1184" t="str">
        <f t="shared" si="13"/>
        <v/>
      </c>
      <c r="AV47" s="1184" t="str">
        <f t="shared" si="14"/>
        <v/>
      </c>
      <c r="AW47" s="1184" t="str">
        <f t="shared" si="15"/>
        <v/>
      </c>
      <c r="AX47" s="1184" t="str">
        <f t="shared" si="16"/>
        <v/>
      </c>
      <c r="AY47" s="1184" t="str">
        <f t="shared" si="17"/>
        <v/>
      </c>
      <c r="AZ47" s="1184" t="str">
        <f t="shared" si="18"/>
        <v/>
      </c>
      <c r="BA47" s="1184" t="str">
        <f t="shared" si="19"/>
        <v/>
      </c>
      <c r="BB47" s="1184" t="str">
        <f t="shared" si="20"/>
        <v/>
      </c>
      <c r="BC47" s="1184"/>
      <c r="BD47" s="1184"/>
      <c r="BE47" s="1184"/>
      <c r="BF47" s="1184"/>
      <c r="BG47" s="662" t="str">
        <f t="shared" si="21"/>
        <v/>
      </c>
      <c r="BH47" s="662" t="str">
        <f t="shared" si="22"/>
        <v/>
      </c>
      <c r="BI47" s="662" t="str">
        <f t="shared" si="23"/>
        <v/>
      </c>
      <c r="BJ47" s="662"/>
      <c r="BM47" s="662" t="str">
        <f>IFERROR(INDEX($C$6:$C$53,_xlfn.AGGREGATE(15,6,(ROW($AE$6:$AE$53)-ROW($AE$6)+1)/(($AE$6:$AE$53&gt;0)*(MOD($AE$6:$AE$53,20)=10)),ROWS($BM$6:BM47))),"")</f>
        <v/>
      </c>
      <c r="BN47" s="662" t="str">
        <f t="shared" si="24"/>
        <v/>
      </c>
      <c r="BO47" s="662" t="str">
        <f t="shared" si="25"/>
        <v/>
      </c>
      <c r="BP47" s="662" t="str">
        <f t="shared" si="26"/>
        <v/>
      </c>
    </row>
    <row r="48" spans="1:68" ht="45.75" customHeight="1">
      <c r="A48" s="2257"/>
      <c r="C48" s="42">
        <f>+PP!B66</f>
        <v>43</v>
      </c>
      <c r="D48" s="164" t="str">
        <f>+PP!C66</f>
        <v>TENTACULO C/B C/V SR 500-1000 g/pza (SUCIO)</v>
      </c>
      <c r="E48" s="1533"/>
      <c r="F48" s="388"/>
      <c r="G48" s="1504"/>
      <c r="H48" s="1895"/>
      <c r="I48" s="388"/>
      <c r="J48" s="1896"/>
      <c r="K48" s="1533"/>
      <c r="L48" s="388"/>
      <c r="M48" s="388"/>
      <c r="N48" s="388"/>
      <c r="O48" s="388"/>
      <c r="P48" s="388"/>
      <c r="Q48" s="388"/>
      <c r="R48" s="388"/>
      <c r="S48" s="218"/>
      <c r="T48" s="388"/>
      <c r="U48" s="388"/>
      <c r="V48" s="388"/>
      <c r="W48" s="1504"/>
      <c r="X48" s="1504"/>
      <c r="Y48" s="1504"/>
      <c r="Z48" s="1504"/>
      <c r="AA48" s="1504"/>
      <c r="AB48" s="1504"/>
      <c r="AC48" s="960">
        <f t="shared" si="0"/>
        <v>0</v>
      </c>
      <c r="AD48" s="149">
        <f t="shared" si="1"/>
        <v>0</v>
      </c>
      <c r="AE48" s="146">
        <f>+AC48*10</f>
        <v>0</v>
      </c>
      <c r="AI48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48))),"")</f>
        <v/>
      </c>
      <c r="AJ48" s="662" t="str">
        <f t="shared" si="2"/>
        <v/>
      </c>
      <c r="AK48" s="1184" t="str">
        <f t="shared" si="3"/>
        <v/>
      </c>
      <c r="AL48" s="1184" t="str">
        <f t="shared" si="4"/>
        <v/>
      </c>
      <c r="AM48" s="1184" t="str">
        <f t="shared" si="5"/>
        <v/>
      </c>
      <c r="AN48" s="1184" t="str">
        <f t="shared" si="6"/>
        <v/>
      </c>
      <c r="AO48" s="1184" t="str">
        <f t="shared" si="7"/>
        <v/>
      </c>
      <c r="AP48" s="1184" t="str">
        <f t="shared" si="8"/>
        <v/>
      </c>
      <c r="AQ48" s="1184" t="str">
        <f t="shared" si="9"/>
        <v/>
      </c>
      <c r="AR48" s="1184" t="str">
        <f t="shared" si="10"/>
        <v/>
      </c>
      <c r="AS48" s="1184" t="str">
        <f t="shared" si="11"/>
        <v/>
      </c>
      <c r="AT48" s="1184" t="str">
        <f t="shared" si="12"/>
        <v/>
      </c>
      <c r="AU48" s="1184" t="str">
        <f t="shared" si="13"/>
        <v/>
      </c>
      <c r="AV48" s="1184" t="str">
        <f t="shared" si="14"/>
        <v/>
      </c>
      <c r="AW48" s="1184" t="str">
        <f t="shared" si="15"/>
        <v/>
      </c>
      <c r="AX48" s="1184" t="str">
        <f t="shared" si="16"/>
        <v/>
      </c>
      <c r="AY48" s="1184" t="str">
        <f t="shared" si="17"/>
        <v/>
      </c>
      <c r="AZ48" s="1184" t="str">
        <f t="shared" si="18"/>
        <v/>
      </c>
      <c r="BA48" s="1184" t="str">
        <f t="shared" si="19"/>
        <v/>
      </c>
      <c r="BB48" s="1184" t="str">
        <f t="shared" si="20"/>
        <v/>
      </c>
      <c r="BC48" s="1184"/>
      <c r="BD48" s="1184"/>
      <c r="BE48" s="1184"/>
      <c r="BF48" s="1184"/>
      <c r="BG48" s="662" t="str">
        <f t="shared" si="21"/>
        <v/>
      </c>
      <c r="BH48" s="662" t="str">
        <f t="shared" si="22"/>
        <v/>
      </c>
      <c r="BI48" s="662" t="str">
        <f t="shared" si="23"/>
        <v/>
      </c>
      <c r="BJ48" s="662"/>
      <c r="BM48" s="662" t="str">
        <f>IFERROR(INDEX($C$6:$C$53,_xlfn.AGGREGATE(15,6,(ROW($AE$6:$AE$53)-ROW($AE$6)+1)/(($AE$6:$AE$53&gt;0)*(MOD($AE$6:$AE$53,20)=10)),ROWS($BM$6:BM48))),"")</f>
        <v/>
      </c>
      <c r="BN48" s="662" t="str">
        <f t="shared" si="24"/>
        <v/>
      </c>
      <c r="BO48" s="662" t="str">
        <f t="shared" si="25"/>
        <v/>
      </c>
      <c r="BP48" s="662" t="str">
        <f t="shared" si="26"/>
        <v/>
      </c>
    </row>
    <row r="49" spans="1:99" ht="45.75">
      <c r="A49" s="2257"/>
      <c r="C49" s="42">
        <f>+PP!B67</f>
        <v>44</v>
      </c>
      <c r="D49" s="164" t="str">
        <f>+PP!C67</f>
        <v>TENTACULO C/B S/V SR 500-1000 g/pza</v>
      </c>
      <c r="E49" s="1539"/>
      <c r="F49" s="1154"/>
      <c r="G49" s="1505"/>
      <c r="H49" s="1903"/>
      <c r="I49" s="1154"/>
      <c r="J49" s="1904"/>
      <c r="K49" s="1539"/>
      <c r="L49" s="1154"/>
      <c r="M49" s="388"/>
      <c r="N49" s="388"/>
      <c r="O49" s="388"/>
      <c r="P49" s="388"/>
      <c r="Q49" s="388"/>
      <c r="R49" s="388"/>
      <c r="S49" s="218"/>
      <c r="T49" s="388"/>
      <c r="U49" s="388"/>
      <c r="V49" s="388"/>
      <c r="W49" s="1504"/>
      <c r="X49" s="1504"/>
      <c r="Y49" s="1504"/>
      <c r="Z49" s="1504"/>
      <c r="AA49" s="1504"/>
      <c r="AB49" s="1504"/>
      <c r="AC49" s="960">
        <f t="shared" si="0"/>
        <v>0</v>
      </c>
      <c r="AD49" s="149">
        <f t="shared" si="1"/>
        <v>0</v>
      </c>
      <c r="AE49" s="146">
        <f t="shared" si="27"/>
        <v>0</v>
      </c>
      <c r="AI49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49))),"")</f>
        <v/>
      </c>
      <c r="AJ49" s="662" t="str">
        <f t="shared" si="2"/>
        <v/>
      </c>
      <c r="AK49" s="1184" t="str">
        <f t="shared" si="3"/>
        <v/>
      </c>
      <c r="AL49" s="1184" t="str">
        <f t="shared" si="4"/>
        <v/>
      </c>
      <c r="AM49" s="1184" t="str">
        <f t="shared" si="5"/>
        <v/>
      </c>
      <c r="AN49" s="1184" t="str">
        <f t="shared" si="6"/>
        <v/>
      </c>
      <c r="AO49" s="1184" t="str">
        <f t="shared" si="7"/>
        <v/>
      </c>
      <c r="AP49" s="1184" t="str">
        <f t="shared" si="8"/>
        <v/>
      </c>
      <c r="AQ49" s="1184" t="str">
        <f t="shared" si="9"/>
        <v/>
      </c>
      <c r="AR49" s="1184" t="str">
        <f t="shared" si="10"/>
        <v/>
      </c>
      <c r="AS49" s="1184" t="str">
        <f t="shared" si="11"/>
        <v/>
      </c>
      <c r="AT49" s="1184" t="str">
        <f t="shared" si="12"/>
        <v/>
      </c>
      <c r="AU49" s="1184" t="str">
        <f t="shared" si="13"/>
        <v/>
      </c>
      <c r="AV49" s="1184" t="str">
        <f t="shared" si="14"/>
        <v/>
      </c>
      <c r="AW49" s="1184" t="str">
        <f t="shared" si="15"/>
        <v/>
      </c>
      <c r="AX49" s="1184" t="str">
        <f t="shared" si="16"/>
        <v/>
      </c>
      <c r="AY49" s="1184" t="str">
        <f t="shared" si="17"/>
        <v/>
      </c>
      <c r="AZ49" s="1184" t="str">
        <f t="shared" si="18"/>
        <v/>
      </c>
      <c r="BA49" s="1184" t="str">
        <f t="shared" si="19"/>
        <v/>
      </c>
      <c r="BB49" s="1184" t="str">
        <f t="shared" si="20"/>
        <v/>
      </c>
      <c r="BC49" s="1184"/>
      <c r="BD49" s="1184"/>
      <c r="BE49" s="1184"/>
      <c r="BF49" s="1184"/>
      <c r="BG49" s="662" t="str">
        <f t="shared" si="21"/>
        <v/>
      </c>
      <c r="BH49" s="662" t="str">
        <f t="shared" si="22"/>
        <v/>
      </c>
      <c r="BI49" s="662" t="str">
        <f t="shared" si="23"/>
        <v/>
      </c>
      <c r="BJ49" s="662"/>
      <c r="BM49" s="662" t="str">
        <f>IFERROR(INDEX($C$6:$C$53,_xlfn.AGGREGATE(15,6,(ROW($AE$6:$AE$53)-ROW($AE$6)+1)/(($AE$6:$AE$53&gt;0)*(MOD($AE$6:$AE$53,20)=10)),ROWS($BM$6:BM49))),"")</f>
        <v/>
      </c>
      <c r="BN49" s="662" t="str">
        <f t="shared" si="24"/>
        <v/>
      </c>
      <c r="BO49" s="662" t="str">
        <f t="shared" si="25"/>
        <v/>
      </c>
      <c r="BP49" s="662" t="str">
        <f t="shared" si="26"/>
        <v/>
      </c>
    </row>
    <row r="50" spans="1:99" ht="45.75" customHeight="1">
      <c r="A50" s="2257"/>
      <c r="C50" s="42">
        <f>+PP!B68</f>
        <v>45</v>
      </c>
      <c r="D50" s="164" t="str">
        <f>+PP!C68</f>
        <v>TENTACULO C/B C/V SR 1.0-2.0 Kg/pza (SUCIO)</v>
      </c>
      <c r="E50" s="1533"/>
      <c r="F50" s="388"/>
      <c r="G50" s="1504"/>
      <c r="H50" s="1895"/>
      <c r="I50" s="388"/>
      <c r="J50" s="1896"/>
      <c r="K50" s="1533"/>
      <c r="L50" s="388"/>
      <c r="M50" s="388"/>
      <c r="N50" s="388"/>
      <c r="O50" s="388"/>
      <c r="P50" s="388"/>
      <c r="Q50" s="388"/>
      <c r="R50" s="388"/>
      <c r="S50" s="218"/>
      <c r="T50" s="388"/>
      <c r="U50" s="388"/>
      <c r="V50" s="388"/>
      <c r="W50" s="1504"/>
      <c r="X50" s="1504"/>
      <c r="Y50" s="1504"/>
      <c r="Z50" s="1504"/>
      <c r="AA50" s="1504"/>
      <c r="AB50" s="1504"/>
      <c r="AC50" s="960">
        <f t="shared" si="0"/>
        <v>0</v>
      </c>
      <c r="AD50" s="149">
        <f t="shared" si="1"/>
        <v>0</v>
      </c>
      <c r="AE50" s="146">
        <f t="shared" si="27"/>
        <v>0</v>
      </c>
      <c r="AI50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50))),"")</f>
        <v/>
      </c>
      <c r="AJ50" s="662" t="str">
        <f t="shared" si="2"/>
        <v/>
      </c>
      <c r="AK50" s="1184" t="str">
        <f t="shared" si="3"/>
        <v/>
      </c>
      <c r="AL50" s="1184" t="str">
        <f t="shared" si="4"/>
        <v/>
      </c>
      <c r="AM50" s="1184" t="str">
        <f t="shared" si="5"/>
        <v/>
      </c>
      <c r="AN50" s="1184" t="str">
        <f t="shared" si="6"/>
        <v/>
      </c>
      <c r="AO50" s="1184" t="str">
        <f t="shared" si="7"/>
        <v/>
      </c>
      <c r="AP50" s="1184" t="str">
        <f t="shared" si="8"/>
        <v/>
      </c>
      <c r="AQ50" s="1184" t="str">
        <f t="shared" si="9"/>
        <v/>
      </c>
      <c r="AR50" s="1184" t="str">
        <f t="shared" si="10"/>
        <v/>
      </c>
      <c r="AS50" s="1184" t="str">
        <f t="shared" si="11"/>
        <v/>
      </c>
      <c r="AT50" s="1184" t="str">
        <f t="shared" si="12"/>
        <v/>
      </c>
      <c r="AU50" s="1184" t="str">
        <f t="shared" si="13"/>
        <v/>
      </c>
      <c r="AV50" s="1184" t="str">
        <f t="shared" si="14"/>
        <v/>
      </c>
      <c r="AW50" s="1184" t="str">
        <f t="shared" si="15"/>
        <v/>
      </c>
      <c r="AX50" s="1184" t="str">
        <f t="shared" si="16"/>
        <v/>
      </c>
      <c r="AY50" s="1184" t="str">
        <f t="shared" si="17"/>
        <v/>
      </c>
      <c r="AZ50" s="1184" t="str">
        <f t="shared" si="18"/>
        <v/>
      </c>
      <c r="BA50" s="1184" t="str">
        <f t="shared" si="19"/>
        <v/>
      </c>
      <c r="BB50" s="1184" t="str">
        <f t="shared" si="20"/>
        <v/>
      </c>
      <c r="BC50" s="1184"/>
      <c r="BD50" s="1184"/>
      <c r="BE50" s="1184"/>
      <c r="BF50" s="1184"/>
      <c r="BG50" s="662" t="str">
        <f t="shared" si="21"/>
        <v/>
      </c>
      <c r="BH50" s="662" t="str">
        <f t="shared" si="22"/>
        <v/>
      </c>
      <c r="BI50" s="662" t="str">
        <f t="shared" si="23"/>
        <v/>
      </c>
      <c r="BJ50" s="662"/>
      <c r="BM50" s="662" t="str">
        <f>IFERROR(INDEX($C$6:$C$53,_xlfn.AGGREGATE(15,6,(ROW($AE$6:$AE$53)-ROW($AE$6)+1)/(($AE$6:$AE$53&gt;0)*(MOD($AE$6:$AE$53,20)=10)),ROWS($BM$6:BM50))),"")</f>
        <v/>
      </c>
      <c r="BN50" s="662" t="str">
        <f t="shared" si="24"/>
        <v/>
      </c>
      <c r="BO50" s="662" t="str">
        <f t="shared" si="25"/>
        <v/>
      </c>
      <c r="BP50" s="662" t="str">
        <f t="shared" si="26"/>
        <v/>
      </c>
    </row>
    <row r="51" spans="1:99" ht="45.75">
      <c r="A51" s="2257"/>
      <c r="C51" s="42">
        <f>+PP!B69</f>
        <v>46</v>
      </c>
      <c r="D51" s="164" t="str">
        <f>+PP!C69</f>
        <v>TENTACULO C/B S/V SR 1.0-2.0 Kg/pza</v>
      </c>
      <c r="E51" s="1539"/>
      <c r="F51" s="1154"/>
      <c r="G51" s="1505"/>
      <c r="H51" s="1903"/>
      <c r="I51" s="1154"/>
      <c r="J51" s="1904"/>
      <c r="K51" s="1539"/>
      <c r="L51" s="1154"/>
      <c r="M51" s="1154"/>
      <c r="N51" s="1154"/>
      <c r="O51" s="1154"/>
      <c r="P51" s="1154"/>
      <c r="Q51" s="1154"/>
      <c r="R51" s="1154"/>
      <c r="S51" s="227"/>
      <c r="T51" s="1154"/>
      <c r="U51" s="1154"/>
      <c r="V51" s="1154"/>
      <c r="W51" s="1505"/>
      <c r="X51" s="1505"/>
      <c r="Y51" s="1505"/>
      <c r="Z51" s="1505"/>
      <c r="AA51" s="1505"/>
      <c r="AB51" s="1505"/>
      <c r="AC51" s="960">
        <f t="shared" si="0"/>
        <v>0</v>
      </c>
      <c r="AD51" s="149">
        <f t="shared" si="1"/>
        <v>0</v>
      </c>
      <c r="AE51" s="146">
        <f t="shared" si="27"/>
        <v>0</v>
      </c>
      <c r="AI51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51))),"")</f>
        <v/>
      </c>
      <c r="AJ51" s="662" t="str">
        <f t="shared" si="2"/>
        <v/>
      </c>
      <c r="AK51" s="1184" t="str">
        <f t="shared" si="3"/>
        <v/>
      </c>
      <c r="AL51" s="1184" t="str">
        <f t="shared" si="4"/>
        <v/>
      </c>
      <c r="AM51" s="1184" t="str">
        <f t="shared" si="5"/>
        <v/>
      </c>
      <c r="AN51" s="1184" t="str">
        <f t="shared" si="6"/>
        <v/>
      </c>
      <c r="AO51" s="1184" t="str">
        <f t="shared" si="7"/>
        <v/>
      </c>
      <c r="AP51" s="1184" t="str">
        <f t="shared" si="8"/>
        <v/>
      </c>
      <c r="AQ51" s="1184" t="str">
        <f t="shared" si="9"/>
        <v/>
      </c>
      <c r="AR51" s="1184" t="str">
        <f t="shared" si="10"/>
        <v/>
      </c>
      <c r="AS51" s="1184" t="str">
        <f t="shared" si="11"/>
        <v/>
      </c>
      <c r="AT51" s="1184" t="str">
        <f t="shared" si="12"/>
        <v/>
      </c>
      <c r="AU51" s="1184" t="str">
        <f t="shared" si="13"/>
        <v/>
      </c>
      <c r="AV51" s="1184" t="str">
        <f t="shared" si="14"/>
        <v/>
      </c>
      <c r="AW51" s="1184" t="str">
        <f t="shared" si="15"/>
        <v/>
      </c>
      <c r="AX51" s="1184" t="str">
        <f t="shared" si="16"/>
        <v/>
      </c>
      <c r="AY51" s="1184" t="str">
        <f t="shared" si="17"/>
        <v/>
      </c>
      <c r="AZ51" s="1184" t="str">
        <f t="shared" si="18"/>
        <v/>
      </c>
      <c r="BA51" s="1184" t="str">
        <f t="shared" si="19"/>
        <v/>
      </c>
      <c r="BB51" s="1184" t="str">
        <f t="shared" si="20"/>
        <v/>
      </c>
      <c r="BC51" s="1184"/>
      <c r="BD51" s="1184"/>
      <c r="BE51" s="1184"/>
      <c r="BF51" s="1184"/>
      <c r="BG51" s="662" t="str">
        <f t="shared" si="21"/>
        <v/>
      </c>
      <c r="BH51" s="662" t="str">
        <f t="shared" si="22"/>
        <v/>
      </c>
      <c r="BI51" s="662" t="str">
        <f t="shared" si="23"/>
        <v/>
      </c>
      <c r="BJ51" s="662"/>
      <c r="BM51" s="662"/>
      <c r="BN51" s="662"/>
      <c r="BO51" s="662"/>
      <c r="BP51" s="662"/>
    </row>
    <row r="52" spans="1:99" ht="46.5" thickBot="1">
      <c r="A52" s="2257"/>
      <c r="C52" s="42">
        <f>+PP!B70</f>
        <v>47</v>
      </c>
      <c r="D52" s="163" t="str">
        <f>+PP!C70</f>
        <v>TENTACULO C/B S/V SR 2 UP Kg/pza</v>
      </c>
      <c r="E52" s="1539"/>
      <c r="F52" s="1154"/>
      <c r="G52" s="1505"/>
      <c r="H52" s="1903"/>
      <c r="I52" s="1154"/>
      <c r="J52" s="1904"/>
      <c r="K52" s="1539"/>
      <c r="L52" s="1154"/>
      <c r="M52" s="1154"/>
      <c r="N52" s="1154"/>
      <c r="O52" s="1154"/>
      <c r="P52" s="1154"/>
      <c r="Q52" s="1154"/>
      <c r="R52" s="1154"/>
      <c r="S52" s="227"/>
      <c r="T52" s="1154"/>
      <c r="U52" s="1154"/>
      <c r="V52" s="1154"/>
      <c r="W52" s="1505"/>
      <c r="X52" s="1505"/>
      <c r="Y52" s="1505"/>
      <c r="Z52" s="1505"/>
      <c r="AA52" s="1505"/>
      <c r="AB52" s="1505"/>
      <c r="AC52" s="961">
        <f t="shared" si="0"/>
        <v>0</v>
      </c>
      <c r="AD52" s="155">
        <f t="shared" si="1"/>
        <v>0</v>
      </c>
      <c r="AE52" s="156">
        <f t="shared" si="27"/>
        <v>0</v>
      </c>
      <c r="AI52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52))),"")</f>
        <v/>
      </c>
      <c r="AJ52" s="662" t="str">
        <f t="shared" si="2"/>
        <v/>
      </c>
      <c r="AK52" s="1184" t="str">
        <f t="shared" si="3"/>
        <v/>
      </c>
      <c r="AL52" s="1184" t="str">
        <f t="shared" si="4"/>
        <v/>
      </c>
      <c r="AM52" s="1184" t="str">
        <f t="shared" si="5"/>
        <v/>
      </c>
      <c r="AN52" s="1184" t="str">
        <f t="shared" si="6"/>
        <v/>
      </c>
      <c r="AO52" s="1184" t="str">
        <f t="shared" si="7"/>
        <v/>
      </c>
      <c r="AP52" s="1184" t="str">
        <f t="shared" si="8"/>
        <v/>
      </c>
      <c r="AQ52" s="1184" t="str">
        <f t="shared" si="9"/>
        <v/>
      </c>
      <c r="AR52" s="1184" t="str">
        <f t="shared" si="10"/>
        <v/>
      </c>
      <c r="AS52" s="1184" t="str">
        <f t="shared" si="11"/>
        <v/>
      </c>
      <c r="AT52" s="1184" t="str">
        <f t="shared" si="12"/>
        <v/>
      </c>
      <c r="AU52" s="1184" t="str">
        <f t="shared" si="13"/>
        <v/>
      </c>
      <c r="AV52" s="1184" t="str">
        <f t="shared" si="14"/>
        <v/>
      </c>
      <c r="AW52" s="1184" t="str">
        <f t="shared" si="15"/>
        <v/>
      </c>
      <c r="AX52" s="1184" t="str">
        <f t="shared" si="16"/>
        <v/>
      </c>
      <c r="AY52" s="1184" t="str">
        <f t="shared" si="17"/>
        <v/>
      </c>
      <c r="AZ52" s="1184" t="str">
        <f t="shared" si="18"/>
        <v/>
      </c>
      <c r="BA52" s="1184" t="str">
        <f t="shared" si="19"/>
        <v/>
      </c>
      <c r="BB52" s="1184" t="str">
        <f t="shared" si="20"/>
        <v/>
      </c>
      <c r="BC52" s="1184"/>
      <c r="BD52" s="1184"/>
      <c r="BE52" s="1184"/>
      <c r="BF52" s="1184"/>
      <c r="BG52" s="662" t="str">
        <f t="shared" si="21"/>
        <v/>
      </c>
      <c r="BH52" s="662" t="str">
        <f t="shared" si="22"/>
        <v/>
      </c>
      <c r="BI52" s="662" t="str">
        <f t="shared" si="23"/>
        <v/>
      </c>
      <c r="BJ52" s="662"/>
      <c r="BM52" s="662" t="str">
        <f>IFERROR(INDEX($C$6:$C$53,_xlfn.AGGREGATE(15,6,(ROW($AE$6:$AE$53)-ROW($AE$6)+1)/(($AE$6:$AE$53&gt;0)*(MOD($AE$6:$AE$53,20)=10)),ROWS($BM$6:BM52))),"")</f>
        <v/>
      </c>
      <c r="BN52" s="662" t="str">
        <f>IF($BM52="","",IFERROR(INDEX($D$6:$D$53,MATCH($BM52,$C$6:$C$53,0)),""))</f>
        <v/>
      </c>
      <c r="BO52" s="662" t="str">
        <f>IF($BM52="","",IFERROR(INDEX($AE$6:$AE$53,MATCH($BM52,$C$6:$C$53,0)),""))</f>
        <v/>
      </c>
      <c r="BP52" s="662" t="str">
        <f t="shared" si="26"/>
        <v/>
      </c>
    </row>
    <row r="53" spans="1:99" ht="46.5" thickBot="1">
      <c r="A53" s="2257"/>
      <c r="C53" s="40">
        <f>+PP!B71</f>
        <v>48</v>
      </c>
      <c r="D53" s="165" t="str">
        <f>+PP!C71</f>
        <v>TUBO ALETA 500-1000 g/pza</v>
      </c>
      <c r="E53" s="1540"/>
      <c r="F53" s="1156"/>
      <c r="G53" s="1509"/>
      <c r="H53" s="1907"/>
      <c r="I53" s="1156"/>
      <c r="J53" s="1908"/>
      <c r="K53" s="1540"/>
      <c r="L53" s="1156"/>
      <c r="M53" s="1156"/>
      <c r="N53" s="1156"/>
      <c r="O53" s="1156"/>
      <c r="P53" s="1156"/>
      <c r="Q53" s="1156"/>
      <c r="R53" s="1156"/>
      <c r="S53" s="221"/>
      <c r="T53" s="1156"/>
      <c r="U53" s="1156"/>
      <c r="V53" s="1156"/>
      <c r="W53" s="1509"/>
      <c r="X53" s="1509"/>
      <c r="Y53" s="1509"/>
      <c r="Z53" s="1509"/>
      <c r="AA53" s="1509"/>
      <c r="AB53" s="1509"/>
      <c r="AC53" s="969">
        <f t="shared" si="0"/>
        <v>0</v>
      </c>
      <c r="AD53" s="153">
        <f t="shared" si="1"/>
        <v>0</v>
      </c>
      <c r="AE53" s="154">
        <f t="shared" si="27"/>
        <v>0</v>
      </c>
      <c r="AI53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53))),"")</f>
        <v/>
      </c>
      <c r="AJ53" s="662" t="str">
        <f t="shared" si="2"/>
        <v/>
      </c>
      <c r="AK53" s="1184" t="str">
        <f t="shared" si="3"/>
        <v/>
      </c>
      <c r="AL53" s="1184" t="str">
        <f t="shared" si="4"/>
        <v/>
      </c>
      <c r="AM53" s="1184" t="str">
        <f t="shared" si="5"/>
        <v/>
      </c>
      <c r="AN53" s="1184" t="str">
        <f t="shared" si="6"/>
        <v/>
      </c>
      <c r="AO53" s="1184" t="str">
        <f t="shared" si="7"/>
        <v/>
      </c>
      <c r="AP53" s="1184" t="str">
        <f t="shared" si="8"/>
        <v/>
      </c>
      <c r="AQ53" s="1184" t="str">
        <f t="shared" si="9"/>
        <v/>
      </c>
      <c r="AR53" s="1184" t="str">
        <f t="shared" si="10"/>
        <v/>
      </c>
      <c r="AS53" s="1184" t="str">
        <f t="shared" si="11"/>
        <v/>
      </c>
      <c r="AT53" s="1184" t="str">
        <f t="shared" si="12"/>
        <v/>
      </c>
      <c r="AU53" s="1184" t="str">
        <f t="shared" si="13"/>
        <v/>
      </c>
      <c r="AV53" s="1184" t="str">
        <f t="shared" si="14"/>
        <v/>
      </c>
      <c r="AW53" s="1184" t="str">
        <f t="shared" si="15"/>
        <v/>
      </c>
      <c r="AX53" s="1184" t="str">
        <f t="shared" si="16"/>
        <v/>
      </c>
      <c r="AY53" s="1184" t="str">
        <f t="shared" si="17"/>
        <v/>
      </c>
      <c r="AZ53" s="1184" t="str">
        <f t="shared" si="18"/>
        <v/>
      </c>
      <c r="BA53" s="1184" t="str">
        <f t="shared" si="19"/>
        <v/>
      </c>
      <c r="BB53" s="1184" t="str">
        <f t="shared" si="20"/>
        <v/>
      </c>
      <c r="BC53" s="1184"/>
      <c r="BD53" s="1184"/>
      <c r="BE53" s="1184"/>
      <c r="BF53" s="1184"/>
      <c r="BG53" s="662" t="str">
        <f t="shared" si="21"/>
        <v/>
      </c>
      <c r="BH53" s="662" t="str">
        <f t="shared" si="22"/>
        <v/>
      </c>
      <c r="BI53" s="662" t="str">
        <f t="shared" si="23"/>
        <v/>
      </c>
      <c r="BJ53" s="662"/>
      <c r="BM53" s="662" t="str">
        <f>IFERROR(INDEX($C$6:$C$53,_xlfn.AGGREGATE(15,6,(ROW($AE$6:$AE$53)-ROW($AE$6)+1)/(($AE$6:$AE$53&gt;0)*(MOD($AE$6:$AE$53,20)=10)),ROWS($BM$6:BM53))),"")</f>
        <v/>
      </c>
      <c r="BN53" s="662" t="str">
        <f>IF($BM53="","",IFERROR(INDEX($D$6:$D$53,MATCH($BM53,$C$6:$C$53,0)),""))</f>
        <v/>
      </c>
      <c r="BO53" s="662" t="str">
        <f>IF($BM53="","",IFERROR(INDEX($AE$6:$AE$53,MATCH($BM53,$C$6:$C$53,0)),""))</f>
        <v/>
      </c>
      <c r="BP53" s="662" t="str">
        <f t="shared" si="26"/>
        <v/>
      </c>
    </row>
    <row r="54" spans="1:99" ht="70.150000000000006" customHeight="1" thickBot="1">
      <c r="A54" s="2257"/>
      <c r="D54" s="1791" t="s">
        <v>38</v>
      </c>
      <c r="E54" s="1883">
        <f t="shared" ref="E54:AD54" si="28">SUM(E6:E53)</f>
        <v>0</v>
      </c>
      <c r="F54" s="1884">
        <f t="shared" si="28"/>
        <v>0</v>
      </c>
      <c r="G54" s="1886">
        <f t="shared" si="28"/>
        <v>0</v>
      </c>
      <c r="H54" s="1909">
        <f t="shared" si="28"/>
        <v>0</v>
      </c>
      <c r="I54" s="1910">
        <f t="shared" si="28"/>
        <v>0</v>
      </c>
      <c r="J54" s="1911">
        <f t="shared" si="28"/>
        <v>0</v>
      </c>
      <c r="K54" s="1703">
        <f t="shared" si="28"/>
        <v>0</v>
      </c>
      <c r="L54" s="1157">
        <f t="shared" si="28"/>
        <v>0</v>
      </c>
      <c r="M54" s="1157">
        <f t="shared" si="28"/>
        <v>0</v>
      </c>
      <c r="N54" s="1157">
        <f t="shared" si="28"/>
        <v>0</v>
      </c>
      <c r="O54" s="1157">
        <f t="shared" si="28"/>
        <v>0</v>
      </c>
      <c r="P54" s="1157">
        <f t="shared" si="28"/>
        <v>0</v>
      </c>
      <c r="Q54" s="1157">
        <f t="shared" si="28"/>
        <v>0</v>
      </c>
      <c r="R54" s="1157">
        <f t="shared" si="28"/>
        <v>0</v>
      </c>
      <c r="S54" s="70">
        <f t="shared" si="28"/>
        <v>0</v>
      </c>
      <c r="T54" s="1157">
        <f t="shared" si="28"/>
        <v>0</v>
      </c>
      <c r="U54" s="1157">
        <f t="shared" si="28"/>
        <v>0</v>
      </c>
      <c r="V54" s="1157">
        <f t="shared" si="28"/>
        <v>0</v>
      </c>
      <c r="W54" s="1157">
        <f t="shared" si="28"/>
        <v>0</v>
      </c>
      <c r="X54" s="1157">
        <f t="shared" si="28"/>
        <v>0</v>
      </c>
      <c r="Y54" s="1157">
        <f t="shared" si="28"/>
        <v>0</v>
      </c>
      <c r="Z54" s="1157"/>
      <c r="AA54" s="1157">
        <f t="shared" si="28"/>
        <v>0</v>
      </c>
      <c r="AB54" s="1157">
        <f t="shared" si="28"/>
        <v>0</v>
      </c>
      <c r="AC54" s="1203">
        <f t="shared" si="28"/>
        <v>0</v>
      </c>
      <c r="AD54" s="1204">
        <f t="shared" si="28"/>
        <v>0</v>
      </c>
      <c r="AE54" s="541">
        <f>SUM(AE6:AE53)</f>
        <v>0</v>
      </c>
      <c r="AF54" s="1031">
        <f>+AF13+AF24+AF31+AF42+AF30</f>
        <v>0</v>
      </c>
    </row>
    <row r="55" spans="1:99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</row>
    <row r="56" spans="1:99" ht="46.5" customHeight="1" thickBot="1">
      <c r="D56" s="46" t="s">
        <v>445</v>
      </c>
      <c r="E56" s="2258" t="s">
        <v>446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59"/>
      <c r="S56" s="2259"/>
      <c r="T56" s="2259"/>
      <c r="U56" s="2259"/>
      <c r="V56" s="2259"/>
      <c r="W56" s="2259"/>
      <c r="X56" s="2259"/>
      <c r="Y56" s="2259"/>
      <c r="Z56" s="2259"/>
      <c r="AA56" s="2259"/>
      <c r="AB56" s="2535"/>
      <c r="AE56" s="175" t="s">
        <v>77</v>
      </c>
      <c r="AF56" s="44" t="str">
        <f>IF(PP!K20=0,"",AE54/PP!K20*100)</f>
        <v/>
      </c>
      <c r="CT56" s="33" t="s">
        <v>77</v>
      </c>
      <c r="CU56" s="31" t="str">
        <f>IF(PP!K20=0,"",AE54/PP!K20*100)</f>
        <v/>
      </c>
    </row>
    <row r="57" spans="1:99" ht="30">
      <c r="J57" s="30"/>
      <c r="K57" s="30"/>
      <c r="L57" s="30"/>
      <c r="M57" s="30"/>
      <c r="N57" s="666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</row>
    <row r="58" spans="1:99" ht="89.25" thickBot="1">
      <c r="E58" s="98"/>
      <c r="F58" s="98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1194"/>
      <c r="R58" s="1194"/>
      <c r="S58" s="1194"/>
      <c r="T58" s="1194"/>
      <c r="U58" s="1194"/>
      <c r="V58" s="1194"/>
      <c r="W58" s="1194"/>
      <c r="X58" s="1194"/>
      <c r="Y58" s="1194"/>
      <c r="Z58" s="1194"/>
      <c r="AA58" s="1194"/>
      <c r="AB58" s="1194"/>
      <c r="AC58" s="1194"/>
      <c r="AD58" s="1194"/>
      <c r="AE58" s="947"/>
    </row>
    <row r="59" spans="1:99" ht="33.950000000000003" customHeight="1" thickBot="1">
      <c r="E59" s="2239" t="s">
        <v>657</v>
      </c>
      <c r="F59" s="2240"/>
      <c r="G59" s="2240"/>
      <c r="H59" s="2240"/>
      <c r="I59" s="2240"/>
      <c r="J59" s="2240"/>
      <c r="K59" s="2240"/>
      <c r="L59" s="2240"/>
      <c r="M59" s="2240"/>
      <c r="N59" s="2660"/>
      <c r="O59" s="2240"/>
      <c r="P59" s="2241"/>
      <c r="Q59" s="1459"/>
      <c r="R59"/>
      <c r="S59" s="2638" t="s">
        <v>604</v>
      </c>
      <c r="T59" s="2639"/>
      <c r="U59" s="2639"/>
      <c r="V59" s="2640"/>
      <c r="W59" s="2198"/>
      <c r="X59" s="2198"/>
      <c r="Y59" s="2198"/>
      <c r="Z59" s="2198"/>
      <c r="AA59" s="2198"/>
      <c r="AB59" s="1194"/>
      <c r="AC59" s="1194"/>
      <c r="AD59" s="1194"/>
      <c r="AE59" s="947"/>
    </row>
    <row r="60" spans="1:99" ht="30.95" customHeight="1" thickTop="1" thickBot="1">
      <c r="E60" s="2242" t="s">
        <v>15</v>
      </c>
      <c r="F60" s="2243"/>
      <c r="G60" s="2243"/>
      <c r="H60" s="2243"/>
      <c r="I60" s="2661"/>
      <c r="J60" s="1528" t="s">
        <v>186</v>
      </c>
      <c r="K60" s="1528" t="s">
        <v>670</v>
      </c>
      <c r="L60" s="1528" t="s">
        <v>667</v>
      </c>
      <c r="M60" s="1528" t="s">
        <v>671</v>
      </c>
      <c r="N60" s="1528" t="s">
        <v>672</v>
      </c>
      <c r="O60" s="2046" t="s">
        <v>673</v>
      </c>
      <c r="P60" s="1529" t="s">
        <v>681</v>
      </c>
      <c r="Q60" s="1463"/>
      <c r="R60"/>
      <c r="S60" s="2201" t="s">
        <v>658</v>
      </c>
      <c r="T60" s="2025"/>
      <c r="U60" s="1932"/>
      <c r="V60" s="2202">
        <f>+AE54</f>
        <v>0</v>
      </c>
      <c r="W60" s="1465"/>
      <c r="X60" s="1465"/>
      <c r="Y60" s="1465"/>
      <c r="Z60" s="1465"/>
      <c r="AA60" s="1465"/>
      <c r="AB60" s="1194"/>
      <c r="AC60" s="1194"/>
      <c r="AD60" s="1194"/>
      <c r="AE60" s="947"/>
    </row>
    <row r="61" spans="1:99" ht="30.95" customHeight="1">
      <c r="E61" s="2644">
        <v>1</v>
      </c>
      <c r="F61" s="2645"/>
      <c r="G61" s="2645"/>
      <c r="H61" s="2645"/>
      <c r="I61" s="2646"/>
      <c r="J61" s="1526" t="str">
        <f>+'T1'!E62</f>
        <v xml:space="preserve">ANDRES </v>
      </c>
      <c r="K61" s="1527"/>
      <c r="L61" s="1527"/>
      <c r="M61" s="1527"/>
      <c r="N61" s="1527"/>
      <c r="O61" s="2047"/>
      <c r="P61" s="1525">
        <f t="shared" ref="P61:P71" si="29">SUM(K61:O61)</f>
        <v>0</v>
      </c>
      <c r="Q61" s="1464"/>
      <c r="R61"/>
      <c r="S61" s="2203" t="s">
        <v>8</v>
      </c>
      <c r="T61" s="2024"/>
      <c r="U61" s="1933"/>
      <c r="V61" s="2204">
        <f>P72</f>
        <v>0</v>
      </c>
      <c r="W61" s="1465"/>
      <c r="X61" s="1465"/>
      <c r="Y61" s="1465"/>
      <c r="Z61" s="1465"/>
      <c r="AA61" s="1465"/>
      <c r="AB61" s="1194"/>
      <c r="AC61" s="1194"/>
      <c r="AD61" s="1194"/>
      <c r="AE61" s="947"/>
    </row>
    <row r="62" spans="1:99" ht="30.95" customHeight="1">
      <c r="E62" s="2641">
        <v>2</v>
      </c>
      <c r="F62" s="2642"/>
      <c r="G62" s="2642"/>
      <c r="H62" s="2642"/>
      <c r="I62" s="2643"/>
      <c r="J62" s="1439" t="str">
        <f>+'T1'!E63</f>
        <v xml:space="preserve">FLOR </v>
      </c>
      <c r="K62" s="1443"/>
      <c r="L62" s="1443"/>
      <c r="M62" s="1443"/>
      <c r="N62" s="1443"/>
      <c r="O62" s="2048"/>
      <c r="P62" s="1525">
        <f t="shared" si="29"/>
        <v>0</v>
      </c>
      <c r="Q62" s="1464"/>
      <c r="R62"/>
      <c r="S62" s="2203" t="s">
        <v>659</v>
      </c>
      <c r="T62" s="2024"/>
      <c r="U62" s="1933"/>
      <c r="V62" s="2204">
        <f>V60-V61</f>
        <v>0</v>
      </c>
      <c r="W62" s="1465"/>
      <c r="X62" s="1465"/>
      <c r="Y62" s="1465"/>
      <c r="Z62" s="1465"/>
      <c r="AA62" s="1465"/>
      <c r="AB62" s="1194"/>
      <c r="AC62" s="1194"/>
      <c r="AD62" s="1194"/>
      <c r="AE62" s="947"/>
      <c r="AF62" s="667"/>
      <c r="AG62" s="667"/>
      <c r="AH62" s="667"/>
      <c r="AI62" s="667"/>
    </row>
    <row r="63" spans="1:99" ht="30.95" customHeight="1" thickBot="1">
      <c r="E63" s="2641">
        <v>3</v>
      </c>
      <c r="F63" s="2642"/>
      <c r="G63" s="2642"/>
      <c r="H63" s="2642"/>
      <c r="I63" s="2643"/>
      <c r="J63" s="1439" t="str">
        <f>+'T1'!E64</f>
        <v>HANNOY</v>
      </c>
      <c r="K63" s="1443"/>
      <c r="L63" s="1443"/>
      <c r="M63" s="1443"/>
      <c r="N63" s="1443"/>
      <c r="O63" s="2048"/>
      <c r="P63" s="1525">
        <f t="shared" si="29"/>
        <v>0</v>
      </c>
      <c r="Q63" s="1464"/>
      <c r="R63"/>
      <c r="S63" s="2205" t="s">
        <v>449</v>
      </c>
      <c r="T63" s="2206"/>
      <c r="U63" s="2207"/>
      <c r="V63" s="2208" t="str">
        <f>IF(V62&lt;0,"SOBRA",IF(V62&gt;0,"FALTA","OK"))</f>
        <v>OK</v>
      </c>
      <c r="W63" s="2199"/>
      <c r="X63" s="2199"/>
      <c r="Y63" s="2199"/>
      <c r="Z63" s="2199"/>
      <c r="AA63" s="2199"/>
      <c r="AB63" s="947"/>
      <c r="AC63" s="947"/>
      <c r="AD63" s="947"/>
      <c r="AE63" s="947"/>
      <c r="AF63" s="667"/>
      <c r="AG63" s="667"/>
      <c r="AH63" s="667"/>
      <c r="AI63" s="667"/>
    </row>
    <row r="64" spans="1:99" ht="30.95" customHeight="1">
      <c r="E64" s="2641">
        <v>4</v>
      </c>
      <c r="F64" s="2642"/>
      <c r="G64" s="2642"/>
      <c r="H64" s="2642"/>
      <c r="I64" s="2643"/>
      <c r="J64" s="1439" t="str">
        <f>+'T1'!E65</f>
        <v>CHERLITA</v>
      </c>
      <c r="K64" s="1443"/>
      <c r="L64" s="1443"/>
      <c r="M64" s="1443"/>
      <c r="N64" s="1443"/>
      <c r="O64" s="2048"/>
      <c r="P64" s="1525">
        <f t="shared" si="29"/>
        <v>0</v>
      </c>
      <c r="Q64" s="1464"/>
      <c r="R64"/>
      <c r="S64" s="28"/>
      <c r="T64" s="28"/>
      <c r="U64" s="28"/>
      <c r="V64" s="28"/>
      <c r="W64" s="28"/>
      <c r="X64" s="28"/>
      <c r="Y64" s="28"/>
      <c r="Z64" s="28"/>
      <c r="AA64" s="28"/>
      <c r="AB64" s="947"/>
      <c r="AC64" s="947"/>
      <c r="AD64" s="947"/>
      <c r="AE64" s="947"/>
      <c r="AF64" s="667"/>
      <c r="AG64" s="667"/>
      <c r="AH64" s="667"/>
      <c r="AI64" s="667"/>
    </row>
    <row r="65" spans="5:35" ht="33.950000000000003" customHeight="1">
      <c r="E65" s="2641">
        <v>5</v>
      </c>
      <c r="F65" s="2642"/>
      <c r="G65" s="2642"/>
      <c r="H65" s="2642"/>
      <c r="I65" s="2643"/>
      <c r="J65" s="1439" t="str">
        <f>+'T1'!E66</f>
        <v>CHARLY</v>
      </c>
      <c r="K65" s="1443"/>
      <c r="L65" s="1443"/>
      <c r="M65" s="1443"/>
      <c r="N65" s="1443"/>
      <c r="O65" s="2048"/>
      <c r="P65" s="1525">
        <f t="shared" si="29"/>
        <v>0</v>
      </c>
      <c r="Q65" s="1464"/>
      <c r="R65"/>
      <c r="S65" s="2656" t="s">
        <v>660</v>
      </c>
      <c r="T65" s="2657"/>
      <c r="U65" s="2657"/>
      <c r="V65" s="2658"/>
      <c r="W65" s="2200"/>
      <c r="X65" s="2200"/>
      <c r="Y65" s="2200"/>
      <c r="Z65" s="2200"/>
      <c r="AA65" s="2200"/>
      <c r="AB65" s="947"/>
      <c r="AC65" s="947"/>
      <c r="AD65" s="947"/>
      <c r="AE65" s="947"/>
      <c r="AF65" s="667"/>
      <c r="AG65" s="667"/>
      <c r="AH65" s="667"/>
      <c r="AI65" s="667"/>
    </row>
    <row r="66" spans="5:35" ht="33.950000000000003" customHeight="1">
      <c r="E66" s="2641">
        <v>6</v>
      </c>
      <c r="F66" s="2642"/>
      <c r="G66" s="2642"/>
      <c r="H66" s="2642"/>
      <c r="I66" s="2643"/>
      <c r="J66" s="1439" t="str">
        <f>+'T1'!E67</f>
        <v>POLANCO</v>
      </c>
      <c r="K66" s="1443"/>
      <c r="L66" s="1443"/>
      <c r="M66" s="1443"/>
      <c r="N66" s="1443"/>
      <c r="O66" s="2048"/>
      <c r="P66" s="1525">
        <f t="shared" si="29"/>
        <v>0</v>
      </c>
      <c r="Q66" s="1464"/>
      <c r="R66"/>
      <c r="S66" s="2635" t="s">
        <v>669</v>
      </c>
      <c r="T66" s="2636"/>
      <c r="U66" s="2636"/>
      <c r="V66" s="2637"/>
      <c r="W66" s="1461"/>
      <c r="X66" s="1461"/>
      <c r="Y66" s="1461"/>
      <c r="Z66" s="1461"/>
      <c r="AA66" s="1461"/>
      <c r="AC66" s="947"/>
      <c r="AD66" s="947"/>
      <c r="AF66" s="667"/>
      <c r="AG66" s="667"/>
      <c r="AH66" s="667"/>
      <c r="AI66" s="667"/>
    </row>
    <row r="67" spans="5:35" ht="30.95" customHeight="1">
      <c r="E67" s="2641">
        <v>7</v>
      </c>
      <c r="F67" s="2642"/>
      <c r="G67" s="2642"/>
      <c r="H67" s="2642"/>
      <c r="I67" s="2643"/>
      <c r="J67" s="1439" t="str">
        <f>+'T1'!E68</f>
        <v>ELIANA</v>
      </c>
      <c r="K67" s="1443"/>
      <c r="L67" s="1443"/>
      <c r="M67" s="1443"/>
      <c r="N67" s="1443"/>
      <c r="O67" s="2048"/>
      <c r="P67" s="1525">
        <f t="shared" si="29"/>
        <v>0</v>
      </c>
      <c r="Q67" s="1464"/>
      <c r="R67"/>
      <c r="S67"/>
      <c r="T67"/>
      <c r="U67"/>
      <c r="V67"/>
      <c r="W67"/>
      <c r="X67"/>
      <c r="Y67"/>
      <c r="Z67"/>
      <c r="AA67"/>
      <c r="AC67" s="947"/>
      <c r="AD67" s="947"/>
      <c r="AE67" s="947"/>
      <c r="AF67" s="667"/>
      <c r="AG67" s="667"/>
      <c r="AH67" s="667"/>
      <c r="AI67" s="667"/>
    </row>
    <row r="68" spans="5:35" ht="30.95" customHeight="1">
      <c r="E68" s="2641">
        <v>8</v>
      </c>
      <c r="F68" s="2642"/>
      <c r="G68" s="2642"/>
      <c r="H68" s="2642"/>
      <c r="I68" s="2643"/>
      <c r="J68" s="1439" t="str">
        <f>+'T1'!E69</f>
        <v>ALENET</v>
      </c>
      <c r="K68" s="1443"/>
      <c r="L68" s="1443"/>
      <c r="M68" s="1443"/>
      <c r="N68" s="1443"/>
      <c r="O68" s="2048"/>
      <c r="P68" s="1525">
        <f t="shared" si="29"/>
        <v>0</v>
      </c>
      <c r="Q68" s="1464"/>
      <c r="R68"/>
      <c r="S68"/>
      <c r="T68"/>
      <c r="U68"/>
      <c r="V68"/>
      <c r="W68"/>
      <c r="X68"/>
      <c r="Y68"/>
      <c r="Z68"/>
      <c r="AA68"/>
      <c r="AC68" s="947"/>
      <c r="AD68" s="947"/>
      <c r="AE68" s="947"/>
      <c r="AF68" s="667"/>
      <c r="AG68" s="667"/>
      <c r="AH68" s="667"/>
      <c r="AI68" s="667"/>
    </row>
    <row r="69" spans="5:35" ht="30.95" customHeight="1">
      <c r="E69" s="2641">
        <v>9</v>
      </c>
      <c r="F69" s="2642"/>
      <c r="G69" s="2642"/>
      <c r="H69" s="2642"/>
      <c r="I69" s="2643"/>
      <c r="J69" s="1439" t="str">
        <f>+'T1'!E70</f>
        <v>ERIKA</v>
      </c>
      <c r="K69" s="1443"/>
      <c r="L69" s="1443"/>
      <c r="M69" s="1443"/>
      <c r="N69" s="1443"/>
      <c r="O69" s="2048"/>
      <c r="P69" s="1525">
        <f t="shared" si="29"/>
        <v>0</v>
      </c>
      <c r="Q69" s="1464"/>
      <c r="R69"/>
      <c r="S69"/>
      <c r="T69"/>
      <c r="U69"/>
      <c r="V69"/>
      <c r="W69"/>
      <c r="X69"/>
      <c r="Y69"/>
      <c r="Z69"/>
      <c r="AA69"/>
      <c r="AB69" s="947"/>
      <c r="AC69" s="947"/>
      <c r="AD69" s="947"/>
      <c r="AE69" s="947"/>
      <c r="AF69" s="667"/>
      <c r="AG69" s="667"/>
      <c r="AH69" s="667"/>
      <c r="AI69" s="667"/>
    </row>
    <row r="70" spans="5:35" ht="30.95" customHeight="1">
      <c r="E70" s="2641">
        <v>10</v>
      </c>
      <c r="F70" s="2642"/>
      <c r="G70" s="2642"/>
      <c r="H70" s="2642"/>
      <c r="I70" s="2643"/>
      <c r="J70" s="1439" t="str">
        <f>+'T1'!E71</f>
        <v>MARILU</v>
      </c>
      <c r="K70" s="1443"/>
      <c r="L70" s="1443"/>
      <c r="M70" s="1443"/>
      <c r="N70" s="1443"/>
      <c r="O70" s="2048"/>
      <c r="P70" s="1525">
        <f t="shared" si="29"/>
        <v>0</v>
      </c>
      <c r="Q70" s="1464"/>
      <c r="R70"/>
      <c r="S70"/>
      <c r="T70"/>
      <c r="U70"/>
      <c r="V70"/>
      <c r="W70"/>
      <c r="X70"/>
      <c r="Y70"/>
      <c r="Z70"/>
      <c r="AA70"/>
      <c r="AB70" s="947"/>
      <c r="AC70" s="947"/>
      <c r="AD70" s="947"/>
      <c r="AE70" s="667"/>
      <c r="AF70" s="667"/>
      <c r="AG70" s="667"/>
      <c r="AH70" s="667"/>
      <c r="AI70" s="667"/>
    </row>
    <row r="71" spans="5:35" ht="30.95" customHeight="1">
      <c r="E71" s="2641">
        <v>11</v>
      </c>
      <c r="F71" s="2642"/>
      <c r="G71" s="2642"/>
      <c r="H71" s="2642"/>
      <c r="I71" s="2643"/>
      <c r="J71" s="1439" t="str">
        <f>+'T1'!E72</f>
        <v>WALLDO</v>
      </c>
      <c r="K71" s="1443"/>
      <c r="L71" s="1443"/>
      <c r="M71" s="1443"/>
      <c r="N71" s="1443"/>
      <c r="O71" s="2048"/>
      <c r="P71" s="1525">
        <f t="shared" si="29"/>
        <v>0</v>
      </c>
      <c r="Q71" s="1464"/>
      <c r="R71"/>
      <c r="S71"/>
      <c r="T71"/>
      <c r="U71"/>
      <c r="V71"/>
      <c r="W71"/>
      <c r="X71"/>
      <c r="Y71"/>
      <c r="Z71"/>
      <c r="AA71"/>
      <c r="AB71" s="947"/>
      <c r="AC71" s="947"/>
      <c r="AD71" s="947"/>
      <c r="AE71" s="667"/>
      <c r="AF71" s="667"/>
      <c r="AG71" s="667"/>
      <c r="AH71" s="667"/>
      <c r="AI71" s="667"/>
    </row>
    <row r="72" spans="5:35" ht="30.95" customHeight="1" thickBot="1">
      <c r="E72" s="2647" t="s">
        <v>3</v>
      </c>
      <c r="F72" s="2648"/>
      <c r="G72" s="2648"/>
      <c r="H72" s="2648"/>
      <c r="I72" s="2648"/>
      <c r="J72" s="2649"/>
      <c r="K72" s="1451">
        <f t="shared" ref="K72:O72" si="30">SUM(K61:K71)</f>
        <v>0</v>
      </c>
      <c r="L72" s="1451">
        <f t="shared" si="30"/>
        <v>0</v>
      </c>
      <c r="M72" s="1451">
        <f t="shared" si="30"/>
        <v>0</v>
      </c>
      <c r="N72" s="1451">
        <f t="shared" si="30"/>
        <v>0</v>
      </c>
      <c r="O72" s="1579">
        <f t="shared" si="30"/>
        <v>0</v>
      </c>
      <c r="P72" s="1452">
        <f>SUM(P61:P71)</f>
        <v>0</v>
      </c>
      <c r="Q72" s="1465"/>
      <c r="R72"/>
      <c r="S72"/>
      <c r="T72"/>
      <c r="U72"/>
      <c r="V72"/>
      <c r="W72"/>
      <c r="X72"/>
      <c r="Y72"/>
      <c r="Z72"/>
      <c r="AA72"/>
      <c r="AB72" s="947"/>
      <c r="AC72" s="947"/>
      <c r="AD72" s="947"/>
      <c r="AE72" s="667"/>
      <c r="AF72" s="667"/>
      <c r="AG72" s="667"/>
      <c r="AH72" s="667"/>
      <c r="AI72" s="667"/>
    </row>
    <row r="73" spans="5:35" ht="55.5">
      <c r="F73"/>
      <c r="G73"/>
      <c r="H73"/>
      <c r="I73"/>
      <c r="J73"/>
      <c r="K73"/>
      <c r="L73"/>
      <c r="M73"/>
      <c r="N73"/>
      <c r="O73"/>
      <c r="P73"/>
      <c r="Q73" s="947"/>
      <c r="R73" s="947"/>
      <c r="S73" s="947"/>
      <c r="T73" s="947"/>
      <c r="U73" s="947"/>
      <c r="V73" s="947"/>
      <c r="W73" s="947"/>
      <c r="X73" s="947"/>
      <c r="Y73" s="947"/>
      <c r="Z73" s="947"/>
      <c r="AA73" s="947"/>
      <c r="AB73" s="947"/>
      <c r="AC73" s="947"/>
      <c r="AD73" s="947"/>
      <c r="AE73" s="667"/>
      <c r="AF73" s="667"/>
      <c r="AG73" s="667"/>
      <c r="AH73" s="667"/>
      <c r="AI73" s="667"/>
    </row>
    <row r="74" spans="5:35" ht="55.5">
      <c r="J74" s="947"/>
      <c r="K74" s="947"/>
      <c r="L74" s="947"/>
      <c r="M74" s="947"/>
      <c r="N74" s="947"/>
      <c r="O74" s="947"/>
      <c r="P74" s="947"/>
      <c r="Q74" s="947"/>
      <c r="R74" s="947"/>
      <c r="S74" s="947"/>
      <c r="T74" s="947"/>
      <c r="U74" s="947"/>
      <c r="V74" s="947"/>
      <c r="W74" s="947"/>
      <c r="X74" s="947"/>
      <c r="Y74" s="947"/>
      <c r="Z74" s="947"/>
      <c r="AA74" s="947"/>
      <c r="AB74" s="947"/>
      <c r="AC74" s="947"/>
      <c r="AD74" s="947"/>
      <c r="AE74" s="667"/>
      <c r="AF74" s="667"/>
      <c r="AG74" s="667"/>
      <c r="AH74" s="667"/>
      <c r="AI74" s="667"/>
    </row>
    <row r="75" spans="5:35" ht="55.5">
      <c r="N75" s="26"/>
      <c r="AD75" s="667"/>
      <c r="AE75" s="667"/>
      <c r="AF75" s="667"/>
      <c r="AG75" s="667"/>
      <c r="AH75" s="667"/>
      <c r="AI75" s="667"/>
    </row>
    <row r="76" spans="5:35" ht="55.5">
      <c r="N76" s="26"/>
      <c r="AD76" s="667"/>
      <c r="AE76" s="667"/>
      <c r="AF76" s="667"/>
      <c r="AG76" s="667"/>
      <c r="AH76" s="667"/>
      <c r="AI76" s="667"/>
    </row>
    <row r="77" spans="5:35" ht="55.5">
      <c r="N77" s="26"/>
      <c r="AD77" s="667"/>
      <c r="AE77" s="667"/>
      <c r="AF77" s="667"/>
      <c r="AG77" s="667"/>
      <c r="AH77" s="667"/>
      <c r="AI77" s="667"/>
    </row>
    <row r="78" spans="5:35" ht="55.5">
      <c r="N78" s="26"/>
      <c r="AD78" s="667"/>
      <c r="AE78" s="667"/>
      <c r="AF78" s="667"/>
      <c r="AG78" s="667"/>
      <c r="AH78" s="667"/>
      <c r="AI78" s="667"/>
    </row>
    <row r="79" spans="5:35" ht="55.5">
      <c r="N79" s="26"/>
      <c r="AD79" s="667"/>
      <c r="AE79" s="667"/>
      <c r="AF79" s="667"/>
      <c r="AG79" s="667"/>
      <c r="AH79" s="667"/>
      <c r="AI79" s="667"/>
    </row>
    <row r="80" spans="5:35" ht="55.5">
      <c r="N80" s="26"/>
      <c r="AD80" s="667"/>
      <c r="AE80" s="667"/>
      <c r="AF80" s="667"/>
      <c r="AG80" s="667"/>
      <c r="AH80" s="667"/>
      <c r="AI80" s="667"/>
    </row>
    <row r="81" spans="14:35" ht="55.5">
      <c r="N81" s="26"/>
      <c r="AD81" s="667"/>
      <c r="AE81" s="667"/>
      <c r="AF81" s="667"/>
      <c r="AG81" s="667"/>
      <c r="AH81" s="667"/>
      <c r="AI81" s="667"/>
    </row>
    <row r="82" spans="14:35" ht="55.5">
      <c r="N82" s="26"/>
      <c r="AD82" s="667"/>
      <c r="AE82" s="667"/>
      <c r="AF82" s="667"/>
      <c r="AG82" s="667"/>
      <c r="AH82" s="667"/>
      <c r="AI82" s="667"/>
    </row>
    <row r="83" spans="14:35" ht="55.5">
      <c r="N83" s="26"/>
      <c r="AD83" s="667"/>
      <c r="AE83" s="667"/>
      <c r="AF83" s="667"/>
      <c r="AG83" s="667"/>
      <c r="AH83" s="667"/>
      <c r="AI83" s="667"/>
    </row>
    <row r="84" spans="14:35" ht="55.5">
      <c r="N84" s="26"/>
      <c r="AD84" s="667"/>
      <c r="AE84" s="667"/>
      <c r="AF84" s="667"/>
      <c r="AG84" s="667"/>
      <c r="AH84" s="667"/>
      <c r="AI84" s="667"/>
    </row>
    <row r="85" spans="14:35">
      <c r="N85" s="26"/>
    </row>
    <row r="86" spans="14:35">
      <c r="N86" s="26"/>
    </row>
    <row r="87" spans="14:35">
      <c r="N87" s="26"/>
    </row>
    <row r="88" spans="14:35">
      <c r="N88" s="26"/>
    </row>
    <row r="89" spans="14:35">
      <c r="N89" s="26"/>
    </row>
    <row r="90" spans="14:35">
      <c r="N90" s="26"/>
    </row>
    <row r="91" spans="14:35">
      <c r="N91" s="26"/>
    </row>
    <row r="92" spans="14:35">
      <c r="N92" s="26"/>
    </row>
    <row r="93" spans="14:35">
      <c r="N93" s="26"/>
    </row>
    <row r="94" spans="14:35">
      <c r="N94" s="26"/>
    </row>
    <row r="95" spans="14:35">
      <c r="N95" s="26"/>
    </row>
    <row r="96" spans="14:35">
      <c r="N96" s="26"/>
    </row>
    <row r="97" spans="14:14">
      <c r="N97" s="26"/>
    </row>
    <row r="98" spans="14:14">
      <c r="N98" s="26"/>
    </row>
    <row r="99" spans="14:14">
      <c r="N99" s="26"/>
    </row>
    <row r="100" spans="14:14">
      <c r="N100" s="26"/>
    </row>
    <row r="101" spans="14:14">
      <c r="N101" s="26"/>
    </row>
    <row r="102" spans="14:14">
      <c r="N102" s="26"/>
    </row>
    <row r="103" spans="14:14">
      <c r="N103" s="26"/>
    </row>
    <row r="104" spans="14:14">
      <c r="N104" s="26"/>
    </row>
    <row r="105" spans="14:14">
      <c r="N105" s="26"/>
    </row>
    <row r="106" spans="14:14">
      <c r="N106" s="26"/>
    </row>
    <row r="107" spans="14:14">
      <c r="N107" s="26"/>
    </row>
    <row r="108" spans="14:14">
      <c r="N108" s="26"/>
    </row>
    <row r="109" spans="14:14">
      <c r="N109" s="26"/>
    </row>
    <row r="110" spans="14:14">
      <c r="N110" s="26"/>
    </row>
    <row r="111" spans="14:14">
      <c r="N111" s="26"/>
    </row>
    <row r="112" spans="14:14">
      <c r="N112" s="26"/>
    </row>
    <row r="113" spans="14:14">
      <c r="N113" s="26"/>
    </row>
    <row r="114" spans="14:14">
      <c r="N114" s="26"/>
    </row>
    <row r="115" spans="14:14">
      <c r="N115" s="26"/>
    </row>
    <row r="116" spans="14:14">
      <c r="N116" s="26"/>
    </row>
    <row r="117" spans="14:14">
      <c r="N117" s="26"/>
    </row>
    <row r="118" spans="14:14">
      <c r="N118" s="26"/>
    </row>
    <row r="119" spans="14:14">
      <c r="N119" s="26"/>
    </row>
    <row r="120" spans="14:14">
      <c r="N120" s="26"/>
    </row>
    <row r="121" spans="14:14">
      <c r="N121" s="26"/>
    </row>
    <row r="122" spans="14:14">
      <c r="N122" s="26"/>
    </row>
    <row r="123" spans="14:14">
      <c r="N123" s="26"/>
    </row>
    <row r="124" spans="14:14">
      <c r="N124" s="26"/>
    </row>
    <row r="125" spans="14:14">
      <c r="N125" s="26"/>
    </row>
    <row r="126" spans="14:14">
      <c r="N126" s="26"/>
    </row>
    <row r="127" spans="14:14">
      <c r="N127" s="26"/>
    </row>
    <row r="128" spans="14:14">
      <c r="N128" s="26"/>
    </row>
    <row r="129" spans="14:14">
      <c r="N129" s="26"/>
    </row>
    <row r="130" spans="14:14">
      <c r="N130" s="26"/>
    </row>
    <row r="131" spans="14:14">
      <c r="N131" s="26"/>
    </row>
    <row r="132" spans="14:14">
      <c r="N132" s="26"/>
    </row>
    <row r="133" spans="14:14">
      <c r="N133" s="26"/>
    </row>
    <row r="134" spans="14:14">
      <c r="N134" s="26"/>
    </row>
    <row r="135" spans="14:14">
      <c r="N135" s="26"/>
    </row>
    <row r="136" spans="14:14">
      <c r="N136" s="26"/>
    </row>
    <row r="137" spans="14:14">
      <c r="N137" s="26"/>
    </row>
    <row r="138" spans="14:14">
      <c r="N138" s="26"/>
    </row>
    <row r="139" spans="14:14">
      <c r="N139" s="26"/>
    </row>
    <row r="140" spans="14:14">
      <c r="N140" s="26"/>
    </row>
    <row r="141" spans="14:14">
      <c r="N141" s="26"/>
    </row>
    <row r="142" spans="14:14">
      <c r="N142" s="26"/>
    </row>
    <row r="143" spans="14:14">
      <c r="N143" s="26"/>
    </row>
    <row r="144" spans="14:14">
      <c r="N144" s="26"/>
    </row>
    <row r="145" spans="14:14">
      <c r="N145" s="26"/>
    </row>
    <row r="146" spans="14:14">
      <c r="N146" s="26"/>
    </row>
    <row r="147" spans="14:14">
      <c r="N147" s="26"/>
    </row>
    <row r="148" spans="14:14">
      <c r="N148" s="26"/>
    </row>
    <row r="149" spans="14:14">
      <c r="N149" s="26"/>
    </row>
    <row r="150" spans="14:14">
      <c r="N150" s="26"/>
    </row>
    <row r="151" spans="14:14">
      <c r="N151" s="26"/>
    </row>
    <row r="152" spans="14:14">
      <c r="N152" s="26"/>
    </row>
    <row r="153" spans="14:14">
      <c r="N153" s="26"/>
    </row>
    <row r="154" spans="14:14">
      <c r="N154" s="26"/>
    </row>
    <row r="155" spans="14:14">
      <c r="N155" s="26"/>
    </row>
    <row r="156" spans="14:14">
      <c r="N156" s="26"/>
    </row>
    <row r="157" spans="14:14">
      <c r="N157" s="26"/>
    </row>
    <row r="158" spans="14:14">
      <c r="N158" s="26"/>
    </row>
    <row r="159" spans="14:14">
      <c r="N159" s="26"/>
    </row>
    <row r="160" spans="14:14">
      <c r="N160" s="26"/>
    </row>
    <row r="161" spans="14:14">
      <c r="N161" s="26"/>
    </row>
    <row r="162" spans="14:14">
      <c r="N162" s="26"/>
    </row>
    <row r="163" spans="14:14">
      <c r="N163" s="26"/>
    </row>
    <row r="164" spans="14:14">
      <c r="N164" s="26"/>
    </row>
    <row r="165" spans="14:14">
      <c r="N165" s="26"/>
    </row>
    <row r="166" spans="14:14">
      <c r="N166" s="26"/>
    </row>
    <row r="167" spans="14:14">
      <c r="N167" s="26"/>
    </row>
    <row r="168" spans="14:14">
      <c r="N168" s="26"/>
    </row>
    <row r="169" spans="14:14">
      <c r="N169" s="26"/>
    </row>
    <row r="170" spans="14:14">
      <c r="N170" s="26"/>
    </row>
    <row r="171" spans="14:14">
      <c r="N171" s="26"/>
    </row>
    <row r="172" spans="14:14">
      <c r="N172" s="26"/>
    </row>
    <row r="173" spans="14:14">
      <c r="N173" s="26"/>
    </row>
    <row r="174" spans="14:14">
      <c r="N174" s="26"/>
    </row>
    <row r="175" spans="14:14">
      <c r="N175" s="26"/>
    </row>
    <row r="176" spans="14:14">
      <c r="N176" s="26"/>
    </row>
    <row r="177" spans="14:14">
      <c r="N177" s="26"/>
    </row>
    <row r="178" spans="14:14">
      <c r="N178" s="26"/>
    </row>
    <row r="179" spans="14:14">
      <c r="N179" s="26"/>
    </row>
    <row r="180" spans="14:14">
      <c r="N180" s="26"/>
    </row>
    <row r="181" spans="14:14">
      <c r="N181" s="26"/>
    </row>
    <row r="182" spans="14:14">
      <c r="N182" s="26"/>
    </row>
    <row r="183" spans="14:14">
      <c r="N183" s="26"/>
    </row>
    <row r="184" spans="14:14">
      <c r="N184" s="26"/>
    </row>
    <row r="185" spans="14:14">
      <c r="N185" s="26"/>
    </row>
    <row r="186" spans="14:14">
      <c r="N186" s="26"/>
    </row>
    <row r="187" spans="14:14">
      <c r="N187" s="26"/>
    </row>
    <row r="188" spans="14:14">
      <c r="N188" s="26"/>
    </row>
    <row r="189" spans="14:14">
      <c r="N189" s="26"/>
    </row>
    <row r="190" spans="14:14">
      <c r="N190" s="26"/>
    </row>
    <row r="191" spans="14:14">
      <c r="N191" s="26"/>
    </row>
    <row r="192" spans="14:14">
      <c r="N192" s="26"/>
    </row>
    <row r="193" spans="14:14">
      <c r="N193" s="26"/>
    </row>
    <row r="194" spans="14:14">
      <c r="N194" s="26"/>
    </row>
    <row r="195" spans="14:14">
      <c r="N195" s="26"/>
    </row>
    <row r="196" spans="14:14">
      <c r="N196" s="26"/>
    </row>
    <row r="197" spans="14:14">
      <c r="N197" s="26"/>
    </row>
    <row r="198" spans="14:14">
      <c r="N198" s="26"/>
    </row>
    <row r="199" spans="14:14">
      <c r="N199" s="26"/>
    </row>
    <row r="200" spans="14:14">
      <c r="N200" s="26"/>
    </row>
    <row r="201" spans="14:14">
      <c r="N201" s="26"/>
    </row>
    <row r="202" spans="14:14">
      <c r="N202" s="26"/>
    </row>
    <row r="203" spans="14:14">
      <c r="N203" s="26"/>
    </row>
    <row r="204" spans="14:14">
      <c r="N204" s="26"/>
    </row>
    <row r="205" spans="14:14">
      <c r="N205" s="26"/>
    </row>
    <row r="206" spans="14:14">
      <c r="N206" s="26"/>
    </row>
    <row r="207" spans="14:14">
      <c r="N207" s="26"/>
    </row>
    <row r="208" spans="14:14">
      <c r="N208" s="26"/>
    </row>
    <row r="209" spans="14:14">
      <c r="N209" s="26"/>
    </row>
    <row r="210" spans="14:14">
      <c r="N210" s="26"/>
    </row>
    <row r="211" spans="14:14">
      <c r="N211" s="26"/>
    </row>
    <row r="212" spans="14:14">
      <c r="N212" s="26"/>
    </row>
    <row r="213" spans="14:14">
      <c r="N213" s="26"/>
    </row>
    <row r="214" spans="14:14">
      <c r="N214" s="26"/>
    </row>
    <row r="215" spans="14:14">
      <c r="N215" s="26"/>
    </row>
    <row r="216" spans="14:14">
      <c r="N216" s="26"/>
    </row>
    <row r="217" spans="14:14">
      <c r="N217" s="26"/>
    </row>
    <row r="218" spans="14:14">
      <c r="N218" s="26"/>
    </row>
    <row r="219" spans="14:14">
      <c r="N219" s="26"/>
    </row>
    <row r="220" spans="14:14">
      <c r="N220" s="26"/>
    </row>
    <row r="221" spans="14:14">
      <c r="N221" s="26"/>
    </row>
    <row r="222" spans="14:14">
      <c r="N222" s="26"/>
    </row>
    <row r="223" spans="14:14">
      <c r="N223" s="26"/>
    </row>
    <row r="224" spans="14:14">
      <c r="N224" s="26"/>
    </row>
    <row r="225" spans="14:14">
      <c r="N225" s="26"/>
    </row>
    <row r="226" spans="14:14">
      <c r="N226" s="26"/>
    </row>
    <row r="227" spans="14:14">
      <c r="N227" s="26"/>
    </row>
    <row r="228" spans="14:14">
      <c r="N228" s="26"/>
    </row>
    <row r="229" spans="14:14">
      <c r="N229" s="26"/>
    </row>
    <row r="230" spans="14:14">
      <c r="N230" s="26"/>
    </row>
    <row r="231" spans="14:14">
      <c r="N231" s="26"/>
    </row>
    <row r="232" spans="14:14">
      <c r="N232" s="26"/>
    </row>
    <row r="233" spans="14:14">
      <c r="N233" s="26"/>
    </row>
    <row r="234" spans="14:14">
      <c r="N234" s="26"/>
    </row>
    <row r="235" spans="14:14">
      <c r="N235" s="26"/>
    </row>
    <row r="236" spans="14:14">
      <c r="N236" s="26"/>
    </row>
    <row r="237" spans="14:14">
      <c r="N237" s="26"/>
    </row>
    <row r="238" spans="14:14">
      <c r="N238" s="26"/>
    </row>
    <row r="239" spans="14:14">
      <c r="N239" s="26"/>
    </row>
    <row r="240" spans="14:14">
      <c r="N240" s="26"/>
    </row>
    <row r="241" spans="14:14">
      <c r="N241" s="26"/>
    </row>
    <row r="242" spans="14:14">
      <c r="N242" s="26"/>
    </row>
    <row r="243" spans="14:14">
      <c r="N243" s="26"/>
    </row>
    <row r="244" spans="14:14">
      <c r="N244" s="26"/>
    </row>
    <row r="245" spans="14:14">
      <c r="N245" s="26"/>
    </row>
    <row r="246" spans="14:14">
      <c r="N246" s="26"/>
    </row>
    <row r="247" spans="14:14">
      <c r="N247" s="26"/>
    </row>
    <row r="248" spans="14:14">
      <c r="N248" s="26"/>
    </row>
    <row r="249" spans="14:14">
      <c r="N249" s="26"/>
    </row>
    <row r="250" spans="14:14">
      <c r="N250" s="26"/>
    </row>
    <row r="251" spans="14:14">
      <c r="N251" s="26"/>
    </row>
    <row r="252" spans="14:14">
      <c r="N252" s="26"/>
    </row>
    <row r="253" spans="14:14">
      <c r="N253" s="26"/>
    </row>
    <row r="254" spans="14:14">
      <c r="N254" s="26"/>
    </row>
    <row r="255" spans="14:14">
      <c r="N255" s="26"/>
    </row>
    <row r="256" spans="14:14">
      <c r="N256" s="26"/>
    </row>
    <row r="257" spans="14:14">
      <c r="N257" s="26"/>
    </row>
    <row r="258" spans="14:14">
      <c r="N258" s="26"/>
    </row>
    <row r="259" spans="14:14">
      <c r="N259" s="26"/>
    </row>
    <row r="260" spans="14:14">
      <c r="N260" s="26"/>
    </row>
    <row r="261" spans="14:14">
      <c r="N261" s="26"/>
    </row>
    <row r="262" spans="14:14">
      <c r="N262" s="26"/>
    </row>
    <row r="263" spans="14:14">
      <c r="N263" s="26"/>
    </row>
    <row r="264" spans="14:14">
      <c r="N264" s="26"/>
    </row>
    <row r="265" spans="14:14">
      <c r="N265" s="26"/>
    </row>
    <row r="266" spans="14:14">
      <c r="N266" s="26"/>
    </row>
    <row r="267" spans="14:14">
      <c r="N267" s="26"/>
    </row>
    <row r="268" spans="14:14">
      <c r="N268" s="26"/>
    </row>
    <row r="269" spans="14:14">
      <c r="N269" s="26"/>
    </row>
    <row r="270" spans="14:14">
      <c r="N270" s="26"/>
    </row>
    <row r="271" spans="14:14">
      <c r="N271" s="26"/>
    </row>
    <row r="272" spans="14:14">
      <c r="N272" s="26"/>
    </row>
    <row r="273" spans="14:14">
      <c r="N273" s="26"/>
    </row>
    <row r="274" spans="14:14">
      <c r="N274" s="26"/>
    </row>
    <row r="275" spans="14:14">
      <c r="N275" s="26"/>
    </row>
    <row r="276" spans="14:14">
      <c r="N276" s="26"/>
    </row>
    <row r="277" spans="14:14">
      <c r="N277" s="26"/>
    </row>
    <row r="278" spans="14:14">
      <c r="N278" s="26"/>
    </row>
    <row r="279" spans="14:14">
      <c r="N279" s="26"/>
    </row>
    <row r="280" spans="14:14">
      <c r="N280" s="26"/>
    </row>
    <row r="281" spans="14:14">
      <c r="N281" s="26"/>
    </row>
    <row r="282" spans="14:14">
      <c r="N282" s="26"/>
    </row>
    <row r="283" spans="14:14">
      <c r="N283" s="26"/>
    </row>
    <row r="284" spans="14:14">
      <c r="N284" s="26"/>
    </row>
    <row r="285" spans="14:14">
      <c r="N285" s="26"/>
    </row>
    <row r="286" spans="14:14">
      <c r="N286" s="26"/>
    </row>
    <row r="287" spans="14:14">
      <c r="N287" s="26"/>
    </row>
    <row r="288" spans="14:14">
      <c r="N288" s="26"/>
    </row>
    <row r="289" spans="14:14">
      <c r="N289" s="26"/>
    </row>
    <row r="290" spans="14:14">
      <c r="N290" s="26"/>
    </row>
    <row r="291" spans="14:14">
      <c r="N291" s="26"/>
    </row>
    <row r="292" spans="14:14">
      <c r="N292" s="26"/>
    </row>
    <row r="293" spans="14:14">
      <c r="N293" s="26"/>
    </row>
    <row r="294" spans="14:14">
      <c r="N294" s="26"/>
    </row>
    <row r="295" spans="14:14">
      <c r="N295" s="26"/>
    </row>
    <row r="296" spans="14:14">
      <c r="N296" s="26"/>
    </row>
    <row r="297" spans="14:14">
      <c r="N297" s="26"/>
    </row>
    <row r="298" spans="14:14">
      <c r="N298" s="26"/>
    </row>
    <row r="299" spans="14:14">
      <c r="N299" s="26"/>
    </row>
    <row r="300" spans="14:14">
      <c r="N300" s="26"/>
    </row>
    <row r="301" spans="14:14">
      <c r="N301" s="26"/>
    </row>
    <row r="302" spans="14:14">
      <c r="N302" s="26"/>
    </row>
    <row r="303" spans="14:14">
      <c r="N303" s="26"/>
    </row>
    <row r="304" spans="14:14">
      <c r="N304" s="26"/>
    </row>
  </sheetData>
  <sheetProtection sort="0" autoFilter="0"/>
  <mergeCells count="23">
    <mergeCell ref="A5:A54"/>
    <mergeCell ref="E56:AB56"/>
    <mergeCell ref="AI4:BJ4"/>
    <mergeCell ref="E59:P59"/>
    <mergeCell ref="E60:I60"/>
    <mergeCell ref="BM4:BP4"/>
    <mergeCell ref="C2:D2"/>
    <mergeCell ref="E2:AB2"/>
    <mergeCell ref="E65:I65"/>
    <mergeCell ref="S65:V65"/>
    <mergeCell ref="E71:I71"/>
    <mergeCell ref="E72:J72"/>
    <mergeCell ref="E66:I66"/>
    <mergeCell ref="E67:I67"/>
    <mergeCell ref="E62:I62"/>
    <mergeCell ref="E63:I63"/>
    <mergeCell ref="E64:I64"/>
    <mergeCell ref="S66:V66"/>
    <mergeCell ref="S59:V59"/>
    <mergeCell ref="E68:I68"/>
    <mergeCell ref="E69:I69"/>
    <mergeCell ref="E70:I70"/>
    <mergeCell ref="E61:I61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78" orientation="landscape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3F314-369A-4ACC-95CC-E81544E6A6FF}">
  <sheetPr codeName="Hoja17">
    <pageSetUpPr fitToPage="1"/>
  </sheetPr>
  <dimension ref="A1:DK99"/>
  <sheetViews>
    <sheetView topLeftCell="B5" zoomScale="40" zoomScaleNormal="40" workbookViewId="0">
      <pane ySplit="1" topLeftCell="A6" activePane="bottomLeft" state="frozen"/>
      <selection activeCell="C32" sqref="C32"/>
      <selection pane="bottomLeft" activeCell="U24" sqref="U24"/>
    </sheetView>
  </sheetViews>
  <sheetFormatPr baseColWidth="10" defaultRowHeight="16.5"/>
  <cols>
    <col min="1" max="1" width="5.28515625" style="112" hidden="1" customWidth="1"/>
    <col min="2" max="2" width="5.28515625" style="112" customWidth="1"/>
    <col min="3" max="3" width="12" style="113" bestFit="1" customWidth="1"/>
    <col min="4" max="4" width="106.85546875" style="112" customWidth="1"/>
    <col min="5" max="11" width="10.5703125" style="112" customWidth="1"/>
    <col min="12" max="12" width="11.28515625" style="112" customWidth="1"/>
    <col min="13" max="13" width="11.5703125" style="112" customWidth="1"/>
    <col min="14" max="14" width="10.42578125" style="112" customWidth="1"/>
    <col min="15" max="15" width="9.42578125" style="112" customWidth="1"/>
    <col min="16" max="20" width="10.140625" style="112" customWidth="1"/>
    <col min="21" max="21" width="9.42578125" style="112" customWidth="1"/>
    <col min="22" max="23" width="10.140625" style="112" customWidth="1"/>
    <col min="24" max="50" width="9.42578125" style="112" customWidth="1"/>
    <col min="51" max="51" width="9.42578125" style="112" bestFit="1" customWidth="1"/>
    <col min="52" max="52" width="9.42578125" style="112" customWidth="1"/>
    <col min="53" max="54" width="9.42578125" style="112" bestFit="1" customWidth="1"/>
    <col min="55" max="55" width="28.28515625" style="113" customWidth="1"/>
    <col min="56" max="56" width="36.85546875" style="113" customWidth="1"/>
    <col min="57" max="57" width="29.28515625" style="113" customWidth="1"/>
    <col min="58" max="60" width="11.42578125" style="112"/>
    <col min="61" max="61" width="31.85546875" style="112" customWidth="1"/>
    <col min="62" max="62" width="11.42578125" style="112"/>
    <col min="63" max="63" width="9.42578125" style="112" customWidth="1"/>
    <col min="64" max="64" width="107.85546875" style="112" customWidth="1"/>
    <col min="65" max="81" width="10.42578125" style="112" hidden="1" customWidth="1"/>
    <col min="82" max="82" width="10.42578125" style="1547" hidden="1" customWidth="1"/>
    <col min="83" max="90" width="10.42578125" style="112" hidden="1" customWidth="1"/>
    <col min="91" max="111" width="10.42578125" style="112" customWidth="1"/>
    <col min="112" max="112" width="9.42578125" style="112" customWidth="1"/>
    <col min="113" max="114" width="10.42578125" style="112" customWidth="1"/>
    <col min="115" max="115" width="15.85546875" style="112" customWidth="1"/>
    <col min="116" max="16384" width="11.42578125" style="112"/>
  </cols>
  <sheetData>
    <row r="1" spans="1:115" ht="45.75" customHeight="1" thickBot="1">
      <c r="B1" s="878"/>
      <c r="C1" s="878"/>
      <c r="D1" s="882"/>
      <c r="E1" s="883"/>
      <c r="F1" s="883"/>
      <c r="G1" s="883"/>
      <c r="H1" s="883"/>
      <c r="I1" s="883"/>
      <c r="J1" s="883"/>
      <c r="K1" s="883"/>
      <c r="L1" s="878"/>
      <c r="M1" s="878"/>
      <c r="N1" s="878"/>
      <c r="O1" s="878"/>
      <c r="P1" s="878"/>
      <c r="Q1" s="878"/>
      <c r="R1" s="878"/>
      <c r="S1" s="878"/>
      <c r="T1" s="878"/>
      <c r="U1" s="878"/>
      <c r="V1" s="878"/>
      <c r="W1" s="878"/>
      <c r="X1" s="878"/>
      <c r="Y1" s="878"/>
      <c r="Z1" s="878"/>
      <c r="AA1" s="878"/>
      <c r="AB1" s="878"/>
      <c r="AC1" s="878"/>
      <c r="AD1" s="878"/>
      <c r="AE1" s="878"/>
      <c r="AF1" s="878"/>
      <c r="AG1" s="878"/>
      <c r="AH1" s="878"/>
      <c r="AI1" s="878"/>
      <c r="AJ1" s="878"/>
      <c r="AK1" s="878"/>
      <c r="AL1" s="878"/>
      <c r="AM1" s="878"/>
      <c r="AN1" s="878"/>
      <c r="AO1" s="878"/>
      <c r="AP1" s="878"/>
      <c r="AQ1" s="878"/>
      <c r="AR1" s="878"/>
      <c r="AS1" s="878"/>
      <c r="AT1" s="878"/>
      <c r="AU1" s="878"/>
      <c r="AV1" s="878"/>
      <c r="AW1" s="878"/>
      <c r="AX1" s="878"/>
      <c r="AY1" s="878"/>
      <c r="AZ1" s="878"/>
      <c r="BA1" s="878"/>
      <c r="BB1" s="878"/>
      <c r="BC1" s="878"/>
      <c r="BD1" s="878"/>
      <c r="BE1" s="878"/>
      <c r="BK1" s="17"/>
      <c r="BL1" s="1187"/>
      <c r="BM1" s="1187"/>
      <c r="BN1" s="1187"/>
      <c r="BO1" s="1187"/>
      <c r="BP1" s="1187"/>
      <c r="BQ1" s="1187"/>
      <c r="BR1" s="1187"/>
      <c r="BS1" s="1187"/>
      <c r="BT1" s="1187"/>
      <c r="BU1" s="17"/>
      <c r="BV1" s="17"/>
      <c r="BW1" s="17"/>
      <c r="BX1" s="17"/>
      <c r="BY1" s="17"/>
      <c r="BZ1" s="17"/>
      <c r="CA1" s="17"/>
      <c r="CB1" s="17"/>
      <c r="CC1" s="17"/>
      <c r="CD1" s="1546"/>
      <c r="CE1" s="17"/>
      <c r="CF1" s="17"/>
      <c r="CG1" s="17"/>
      <c r="CH1" s="17"/>
      <c r="CI1" s="17"/>
      <c r="CJ1" s="17"/>
      <c r="CK1" s="17"/>
      <c r="CL1" s="17"/>
      <c r="CM1" s="17"/>
      <c r="CN1" s="17"/>
      <c r="CO1" s="17"/>
      <c r="CP1" s="17"/>
      <c r="CQ1" s="17"/>
      <c r="CR1" s="17"/>
      <c r="CS1" s="17"/>
      <c r="CT1" s="17"/>
      <c r="CU1" s="17"/>
      <c r="CV1" s="17"/>
      <c r="CW1" s="17"/>
      <c r="CX1" s="17"/>
      <c r="CY1" s="17"/>
      <c r="CZ1" s="17"/>
      <c r="DA1" s="17"/>
      <c r="DB1" s="17"/>
      <c r="DC1" s="17"/>
      <c r="DD1" s="17"/>
      <c r="DE1" s="17"/>
      <c r="DF1" s="17"/>
      <c r="DG1" s="17"/>
      <c r="DH1" s="17"/>
      <c r="DI1" s="17"/>
      <c r="DJ1" s="17"/>
    </row>
    <row r="2" spans="1:115" ht="46.5" thickBot="1">
      <c r="B2" s="872"/>
      <c r="C2" s="2682" t="s">
        <v>41</v>
      </c>
      <c r="D2" s="2683"/>
      <c r="E2" s="2684" t="s">
        <v>692</v>
      </c>
      <c r="F2" s="2685"/>
      <c r="G2" s="2685"/>
      <c r="H2" s="2685"/>
      <c r="I2" s="2685"/>
      <c r="J2" s="2685"/>
      <c r="K2" s="2686"/>
      <c r="L2" s="873"/>
      <c r="M2" s="2688" t="s">
        <v>694</v>
      </c>
      <c r="N2" s="2688"/>
      <c r="O2" s="875"/>
      <c r="P2" s="2688" t="s">
        <v>695</v>
      </c>
      <c r="Q2" s="2688"/>
      <c r="R2" s="2688"/>
      <c r="S2" s="872"/>
      <c r="T2" s="872"/>
      <c r="U2" s="872"/>
      <c r="V2" s="872"/>
      <c r="W2" s="872"/>
      <c r="X2" s="872"/>
      <c r="Y2" s="872"/>
      <c r="Z2" s="872"/>
      <c r="AA2" s="872"/>
      <c r="AB2" s="872"/>
      <c r="AC2" s="872"/>
      <c r="AD2" s="872"/>
      <c r="AE2" s="872"/>
      <c r="AF2" s="872"/>
      <c r="AG2" s="872"/>
      <c r="AH2" s="872"/>
      <c r="AI2" s="872"/>
      <c r="AJ2" s="872"/>
      <c r="AK2" s="872"/>
      <c r="AL2" s="872"/>
      <c r="AM2" s="872"/>
      <c r="AN2" s="872"/>
      <c r="AO2" s="872"/>
      <c r="AP2" s="872"/>
      <c r="AQ2" s="872"/>
      <c r="AR2" s="872"/>
      <c r="AS2" s="872"/>
      <c r="AT2" s="872"/>
      <c r="AU2" s="872"/>
      <c r="AV2" s="872"/>
      <c r="AW2" s="872"/>
      <c r="AX2" s="872"/>
      <c r="AY2" s="872"/>
      <c r="AZ2" s="872"/>
      <c r="BA2" s="872"/>
      <c r="BB2" s="872"/>
      <c r="BC2" s="879"/>
      <c r="BD2" s="879"/>
      <c r="BE2" s="879"/>
      <c r="BK2" s="17"/>
      <c r="BL2" s="1187"/>
      <c r="BM2" s="1187"/>
      <c r="BN2" s="1187"/>
      <c r="BO2" s="1187"/>
      <c r="BP2" s="1187"/>
      <c r="BQ2" s="1187"/>
      <c r="BR2" s="1187"/>
      <c r="BS2" s="1187"/>
      <c r="BT2" s="1187"/>
      <c r="BU2" s="17"/>
      <c r="BV2" s="17"/>
      <c r="BW2" s="17"/>
      <c r="BX2" s="17"/>
      <c r="BY2" s="17"/>
      <c r="BZ2" s="17"/>
      <c r="CA2" s="17"/>
      <c r="CB2" s="17"/>
      <c r="CC2" s="17"/>
      <c r="CD2" s="1546"/>
      <c r="CE2" s="17"/>
      <c r="CF2" s="17"/>
      <c r="CG2" s="17"/>
      <c r="CH2" s="17"/>
      <c r="CI2" s="17"/>
      <c r="CJ2" s="17"/>
      <c r="CK2" s="17"/>
      <c r="CL2" s="17"/>
      <c r="CM2" s="17"/>
      <c r="CN2" s="17"/>
      <c r="CO2" s="17"/>
      <c r="CP2" s="17"/>
      <c r="CQ2" s="17"/>
      <c r="CR2" s="17"/>
      <c r="CS2" s="17"/>
      <c r="CT2" s="17"/>
      <c r="CU2" s="17"/>
      <c r="CV2" s="17"/>
      <c r="CW2" s="17"/>
      <c r="CX2" s="17"/>
      <c r="CY2" s="17"/>
      <c r="CZ2" s="17"/>
      <c r="DA2" s="17"/>
      <c r="DB2" s="17"/>
      <c r="DC2" s="17"/>
      <c r="DD2" s="17"/>
      <c r="DE2" s="17"/>
      <c r="DF2" s="17"/>
      <c r="DG2" s="17"/>
      <c r="DH2" s="17"/>
      <c r="DI2" s="17"/>
      <c r="DJ2" s="17"/>
    </row>
    <row r="3" spans="1:115"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546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</row>
    <row r="4" spans="1:115" ht="38.25" customHeight="1" thickBot="1">
      <c r="E4" s="2687" t="s">
        <v>109</v>
      </c>
      <c r="F4" s="2687"/>
      <c r="G4" s="2687"/>
      <c r="K4" s="884"/>
      <c r="BK4" s="2680" t="s">
        <v>707</v>
      </c>
      <c r="BL4" s="2680"/>
      <c r="BM4" s="2680"/>
      <c r="BN4" s="2680"/>
      <c r="BO4" s="2680"/>
      <c r="BP4" s="2680"/>
      <c r="BQ4" s="2680"/>
      <c r="BR4" s="2680"/>
      <c r="BS4" s="2680"/>
      <c r="BT4" s="2680"/>
      <c r="BU4" s="2680"/>
      <c r="BV4" s="2680"/>
      <c r="BW4" s="2680"/>
      <c r="BX4" s="2680"/>
      <c r="BY4" s="2680"/>
      <c r="BZ4" s="2680"/>
      <c r="CA4" s="2680"/>
      <c r="CB4" s="2680"/>
      <c r="CC4" s="2680"/>
      <c r="CD4" s="2680"/>
      <c r="CE4" s="2680"/>
      <c r="CF4" s="2680"/>
      <c r="CG4" s="2680"/>
      <c r="CH4" s="2680"/>
      <c r="CI4" s="2680"/>
      <c r="CJ4" s="2680"/>
      <c r="CK4" s="2680"/>
      <c r="CL4" s="2680"/>
      <c r="CM4" s="2680"/>
      <c r="CN4" s="2680"/>
      <c r="CO4" s="2680"/>
      <c r="CP4" s="2680"/>
      <c r="CQ4" s="2680"/>
      <c r="CR4" s="2680"/>
      <c r="CS4" s="2680"/>
      <c r="CT4" s="2680"/>
      <c r="CU4" s="2680"/>
      <c r="CV4" s="2680"/>
      <c r="CW4" s="2680"/>
      <c r="CX4" s="2680"/>
      <c r="CY4" s="2680"/>
      <c r="CZ4" s="2680"/>
      <c r="DA4" s="2680"/>
      <c r="DB4" s="2680"/>
      <c r="DC4" s="2680"/>
      <c r="DD4" s="2680"/>
      <c r="DE4" s="2680"/>
      <c r="DF4" s="2680"/>
      <c r="DG4" s="2680"/>
      <c r="DH4" s="2680"/>
      <c r="DI4" s="2680"/>
      <c r="DJ4" s="2680"/>
      <c r="DK4" s="2680"/>
    </row>
    <row r="5" spans="1:115" ht="67.5" customHeight="1" thickBot="1">
      <c r="A5" s="2681"/>
      <c r="C5" s="981" t="s">
        <v>15</v>
      </c>
      <c r="D5" s="980" t="s">
        <v>6</v>
      </c>
      <c r="E5" s="1394" t="s">
        <v>78</v>
      </c>
      <c r="F5" s="1290" t="s">
        <v>79</v>
      </c>
      <c r="G5" s="1290" t="s">
        <v>80</v>
      </c>
      <c r="H5" s="1290" t="s">
        <v>81</v>
      </c>
      <c r="I5" s="1290" t="s">
        <v>82</v>
      </c>
      <c r="J5" s="1290" t="s">
        <v>83</v>
      </c>
      <c r="K5" s="1290" t="s">
        <v>84</v>
      </c>
      <c r="L5" s="1290" t="s">
        <v>85</v>
      </c>
      <c r="M5" s="1290" t="s">
        <v>86</v>
      </c>
      <c r="N5" s="1290" t="s">
        <v>87</v>
      </c>
      <c r="O5" s="1290" t="s">
        <v>88</v>
      </c>
      <c r="P5" s="1290" t="s">
        <v>89</v>
      </c>
      <c r="Q5" s="1290" t="s">
        <v>90</v>
      </c>
      <c r="R5" s="1290" t="s">
        <v>91</v>
      </c>
      <c r="S5" s="1290" t="s">
        <v>92</v>
      </c>
      <c r="T5" s="1290" t="s">
        <v>93</v>
      </c>
      <c r="U5" s="1290" t="s">
        <v>94</v>
      </c>
      <c r="V5" s="1290" t="s">
        <v>95</v>
      </c>
      <c r="W5" s="1290" t="s">
        <v>96</v>
      </c>
      <c r="X5" s="1290" t="s">
        <v>97</v>
      </c>
      <c r="Y5" s="1290" t="s">
        <v>98</v>
      </c>
      <c r="Z5" s="1290" t="s">
        <v>99</v>
      </c>
      <c r="AA5" s="1290" t="s">
        <v>100</v>
      </c>
      <c r="AB5" s="1290" t="s">
        <v>101</v>
      </c>
      <c r="AC5" s="1290" t="s">
        <v>102</v>
      </c>
      <c r="AD5" s="1290" t="s">
        <v>103</v>
      </c>
      <c r="AE5" s="1290" t="s">
        <v>104</v>
      </c>
      <c r="AF5" s="1290" t="s">
        <v>105</v>
      </c>
      <c r="AG5" s="1290" t="s">
        <v>297</v>
      </c>
      <c r="AH5" s="1290" t="s">
        <v>298</v>
      </c>
      <c r="AI5" s="1290" t="s">
        <v>299</v>
      </c>
      <c r="AJ5" s="1290" t="s">
        <v>358</v>
      </c>
      <c r="AK5" s="1290" t="s">
        <v>359</v>
      </c>
      <c r="AL5" s="1290" t="s">
        <v>360</v>
      </c>
      <c r="AM5" s="1290" t="s">
        <v>361</v>
      </c>
      <c r="AN5" s="1290" t="s">
        <v>362</v>
      </c>
      <c r="AO5" s="1290" t="s">
        <v>363</v>
      </c>
      <c r="AP5" s="1290" t="s">
        <v>364</v>
      </c>
      <c r="AQ5" s="1290" t="s">
        <v>365</v>
      </c>
      <c r="AR5" s="1290" t="s">
        <v>366</v>
      </c>
      <c r="AS5" s="1290" t="s">
        <v>385</v>
      </c>
      <c r="AT5" s="1290" t="s">
        <v>386</v>
      </c>
      <c r="AU5" s="1290" t="s">
        <v>387</v>
      </c>
      <c r="AV5" s="1290" t="s">
        <v>388</v>
      </c>
      <c r="AW5" s="1290" t="s">
        <v>389</v>
      </c>
      <c r="AX5" s="1290" t="s">
        <v>390</v>
      </c>
      <c r="AY5" s="1290" t="s">
        <v>391</v>
      </c>
      <c r="AZ5" s="1290" t="s">
        <v>392</v>
      </c>
      <c r="BA5" s="1290" t="s">
        <v>393</v>
      </c>
      <c r="BB5" s="1290" t="s">
        <v>394</v>
      </c>
      <c r="BC5" s="880" t="s">
        <v>107</v>
      </c>
      <c r="BD5" s="982" t="s">
        <v>301</v>
      </c>
      <c r="BE5" s="983" t="s">
        <v>3</v>
      </c>
      <c r="BI5" s="885"/>
      <c r="BJ5" s="885"/>
      <c r="BK5" s="895" t="s">
        <v>15</v>
      </c>
      <c r="BL5" s="895" t="s">
        <v>6</v>
      </c>
      <c r="BM5" s="1009" t="s">
        <v>78</v>
      </c>
      <c r="BN5" s="1009" t="s">
        <v>79</v>
      </c>
      <c r="BO5" s="1009" t="s">
        <v>80</v>
      </c>
      <c r="BP5" s="1009" t="s">
        <v>81</v>
      </c>
      <c r="BQ5" s="1009" t="s">
        <v>82</v>
      </c>
      <c r="BR5" s="1009" t="s">
        <v>83</v>
      </c>
      <c r="BS5" s="1009" t="s">
        <v>84</v>
      </c>
      <c r="BT5" s="1009" t="s">
        <v>85</v>
      </c>
      <c r="BU5" s="1009" t="s">
        <v>86</v>
      </c>
      <c r="BV5" s="1578" t="s">
        <v>87</v>
      </c>
      <c r="BW5" s="1578" t="s">
        <v>88</v>
      </c>
      <c r="BX5" s="1578" t="s">
        <v>89</v>
      </c>
      <c r="BY5" s="1578" t="s">
        <v>90</v>
      </c>
      <c r="BZ5" s="1578" t="s">
        <v>91</v>
      </c>
      <c r="CA5" s="1009" t="s">
        <v>92</v>
      </c>
      <c r="CB5" s="1009" t="s">
        <v>93</v>
      </c>
      <c r="CC5" s="1009" t="s">
        <v>94</v>
      </c>
      <c r="CD5" s="1009" t="s">
        <v>95</v>
      </c>
      <c r="CE5" s="1009" t="s">
        <v>96</v>
      </c>
      <c r="CF5" s="1009" t="s">
        <v>97</v>
      </c>
      <c r="CG5" s="1009" t="s">
        <v>98</v>
      </c>
      <c r="CH5" s="1009" t="s">
        <v>99</v>
      </c>
      <c r="CI5" s="1009" t="s">
        <v>100</v>
      </c>
      <c r="CJ5" s="1009" t="s">
        <v>101</v>
      </c>
      <c r="CK5" s="1009" t="s">
        <v>102</v>
      </c>
      <c r="CL5" s="1009" t="s">
        <v>103</v>
      </c>
      <c r="CM5" s="1009" t="s">
        <v>104</v>
      </c>
      <c r="CN5" s="1009" t="s">
        <v>105</v>
      </c>
      <c r="CO5" s="1009" t="s">
        <v>297</v>
      </c>
      <c r="CP5" s="1009" t="s">
        <v>298</v>
      </c>
      <c r="CQ5" s="1009" t="s">
        <v>299</v>
      </c>
      <c r="CR5" s="1009" t="s">
        <v>358</v>
      </c>
      <c r="CS5" s="1009" t="s">
        <v>359</v>
      </c>
      <c r="CT5" s="1009" t="s">
        <v>360</v>
      </c>
      <c r="CU5" s="1009" t="s">
        <v>361</v>
      </c>
      <c r="CV5" s="1009" t="s">
        <v>362</v>
      </c>
      <c r="CW5" s="1009" t="s">
        <v>363</v>
      </c>
      <c r="CX5" s="1009" t="s">
        <v>364</v>
      </c>
      <c r="CY5" s="1009" t="s">
        <v>365</v>
      </c>
      <c r="CZ5" s="1009" t="s">
        <v>366</v>
      </c>
      <c r="DA5" s="1009" t="s">
        <v>385</v>
      </c>
      <c r="DB5" s="1009" t="s">
        <v>386</v>
      </c>
      <c r="DC5" s="1009" t="s">
        <v>387</v>
      </c>
      <c r="DD5" s="1009" t="s">
        <v>388</v>
      </c>
      <c r="DE5" s="1009" t="s">
        <v>389</v>
      </c>
      <c r="DF5" s="1009" t="s">
        <v>390</v>
      </c>
      <c r="DG5" s="1009" t="s">
        <v>391</v>
      </c>
      <c r="DH5" s="1009" t="s">
        <v>392</v>
      </c>
      <c r="DI5" s="1009" t="s">
        <v>393</v>
      </c>
      <c r="DJ5" s="1009" t="s">
        <v>394</v>
      </c>
      <c r="DK5" s="895" t="s">
        <v>550</v>
      </c>
    </row>
    <row r="6" spans="1:115" ht="45.75">
      <c r="A6" s="2681"/>
      <c r="C6" s="1028">
        <f>+PP!B24</f>
        <v>1</v>
      </c>
      <c r="D6" s="1110" t="str">
        <f>+PP!C24</f>
        <v>ANILLAS BLANCAS SM ST</v>
      </c>
      <c r="E6" s="1284"/>
      <c r="F6" s="1285"/>
      <c r="G6" s="1285"/>
      <c r="H6" s="1285"/>
      <c r="I6" s="1285"/>
      <c r="J6" s="1285"/>
      <c r="K6" s="1286"/>
      <c r="L6" s="1285"/>
      <c r="M6" s="1285"/>
      <c r="N6" s="1285"/>
      <c r="O6" s="1285"/>
      <c r="P6" s="1285"/>
      <c r="Q6" s="1285"/>
      <c r="R6" s="1285"/>
      <c r="S6" s="1287"/>
      <c r="T6" s="1094"/>
      <c r="U6" s="1094"/>
      <c r="V6" s="1094"/>
      <c r="W6" s="1094"/>
      <c r="X6" s="1094"/>
      <c r="Y6" s="1288"/>
      <c r="Z6" s="1289"/>
      <c r="AA6" s="1289"/>
      <c r="AB6" s="1289"/>
      <c r="AC6" s="1289"/>
      <c r="AD6" s="1289"/>
      <c r="AE6" s="1289"/>
      <c r="AF6" s="1289"/>
      <c r="AG6" s="1289"/>
      <c r="AH6" s="1289"/>
      <c r="AI6" s="1289"/>
      <c r="AJ6" s="1289"/>
      <c r="AK6" s="1289"/>
      <c r="AL6" s="1289"/>
      <c r="AM6" s="1289"/>
      <c r="AN6" s="1289"/>
      <c r="AO6" s="1289"/>
      <c r="AP6" s="1289"/>
      <c r="AQ6" s="1289"/>
      <c r="AR6" s="1289"/>
      <c r="AS6" s="1289"/>
      <c r="AT6" s="1289"/>
      <c r="AU6" s="1289"/>
      <c r="AV6" s="1094"/>
      <c r="AW6" s="1094"/>
      <c r="AX6" s="1094"/>
      <c r="AY6" s="1094"/>
      <c r="AZ6" s="1094"/>
      <c r="BA6" s="1094"/>
      <c r="BB6" s="1094"/>
      <c r="BC6" s="988">
        <f t="shared" ref="BC6:BC53" si="0">SUM(E6:BB6)</f>
        <v>0</v>
      </c>
      <c r="BD6" s="989">
        <f t="shared" ref="BD6:BD53" si="1">BC6*2</f>
        <v>0</v>
      </c>
      <c r="BE6" s="886">
        <f t="shared" ref="BE6:BE53" si="2">+BC6*20</f>
        <v>0</v>
      </c>
      <c r="BI6" s="885"/>
      <c r="BJ6" s="885"/>
      <c r="BK6" s="1258" t="str">
        <f>IFERROR(INDEX($C$6:$C$53,_xlfn.AGGREGATE(15,6,(ROW($C$6:$C$53)-ROW($C$6)+1)/($BC$6:$BC$53&gt;0),ROWS($BK$6:BK6))),"")</f>
        <v/>
      </c>
      <c r="BL6" s="1259" t="str">
        <f t="shared" ref="BL6:BL53" si="3">IF($BK6="","",INDEX($D$6:$D$53,MATCH($BK6,$C$6:$C$53,0)))</f>
        <v/>
      </c>
      <c r="BM6" s="1769" t="str">
        <f t="shared" ref="BM6:BM53" si="4">IF($BK6="","",IF(INDEX($E$6:$BB$53,MATCH($BK6,$C$6:$C$53,0),1)=0,"",INDEX($E$6:$BB$53,MATCH($BK6,$C$6:$C$53,0),1)))</f>
        <v/>
      </c>
      <c r="BN6" s="1769" t="str">
        <f t="shared" ref="BN6:BN53" si="5">IF($BK6="","",IF(INDEX($E$6:$BB$53,MATCH($BK6,$C$6:$C$53,0),2)=0,"",INDEX($E$6:$BB$53,MATCH($BK6,$C$6:$C$53,0),2)))</f>
        <v/>
      </c>
      <c r="BO6" s="1769" t="str">
        <f t="shared" ref="BO6:BO53" si="6">IF($BK6="","",IF(INDEX($E$6:$BB$53,MATCH($BK6,$C$6:$C$53,0),3)=0,"",INDEX($E$6:$BB$53,MATCH($BK6,$C$6:$C$53,0),3)))</f>
        <v/>
      </c>
      <c r="BP6" s="1769" t="str">
        <f t="shared" ref="BP6:BP53" si="7">IF($BK6="","",IF(INDEX($E$6:$BB$53,MATCH($BK6,$C$6:$C$53,0),4)=0,"",INDEX($E$6:$BB$53,MATCH($BK6,$C$6:$C$53,0),4)))</f>
        <v/>
      </c>
      <c r="BQ6" s="1769" t="str">
        <f t="shared" ref="BQ6:BQ53" si="8">IF($BK6="","",IF(INDEX($E$6:$BB$53,MATCH($BK6,$C$6:$C$53,0),5)=0,"",INDEX($E$6:$BB$53,MATCH($BK6,$C$6:$C$53,0),5)))</f>
        <v/>
      </c>
      <c r="BR6" s="1769" t="str">
        <f t="shared" ref="BR6:BR53" si="9">IF($BK6="","",IF(INDEX($E$6:$BB$53,MATCH($BK6,$C$6:$C$53,0),6)=0,"",INDEX($E$6:$BB$53,MATCH($BK6,$C$6:$C$53,0),6)))</f>
        <v/>
      </c>
      <c r="BS6" s="1769" t="str">
        <f t="shared" ref="BS6:BS53" si="10">IF($BK6="","",IF(INDEX($E$6:$BB$53,MATCH($BK6,$C$6:$C$53,0),7)=0,"",INDEX($E$6:$BB$53,MATCH($BK6,$C$6:$C$53,0),7)))</f>
        <v/>
      </c>
      <c r="BT6" s="1769" t="str">
        <f t="shared" ref="BT6:BT53" si="11">IF($BK6="","",IF(INDEX($E$6:$BB$53,MATCH($BK6,$C$6:$C$53,0),8)=0,"",INDEX($E$6:$BB$53,MATCH($BK6,$C$6:$C$53,0),8)))</f>
        <v/>
      </c>
      <c r="BU6" s="1769" t="str">
        <f t="shared" ref="BU6:BU53" si="12">IF($BK6="","",IF(INDEX($E$6:$BB$53,MATCH($BK6,$C$6:$C$53,0),9)=0,"",INDEX($E$6:$BB$53,MATCH($BK6,$C$6:$C$53,0),9)))</f>
        <v/>
      </c>
      <c r="BV6" s="1769" t="str">
        <f t="shared" ref="BV6:BV53" si="13">IF($BK6="","",IF(INDEX($E$6:$BB$53,MATCH($BK6,$C$6:$C$53,0),10)=0,"",INDEX($E$6:$BB$53,MATCH($BK6,$C$6:$C$53,0),10)))</f>
        <v/>
      </c>
      <c r="BW6" s="1769" t="str">
        <f t="shared" ref="BW6:BW53" si="14">IF($BK6="","",IF(INDEX($E$6:$BB$53,MATCH($BK6,$C$6:$C$53,0),11)=0,"",INDEX($E$6:$BB$53,MATCH($BK6,$C$6:$C$53,0),11)))</f>
        <v/>
      </c>
      <c r="BX6" s="1769" t="str">
        <f t="shared" ref="BX6:BX53" si="15">IF($BK6="","",IF(INDEX($E$6:$BB$53,MATCH($BK6,$C$6:$C$53,0),12)=0,"",INDEX($E$6:$BB$53,MATCH($BK6,$C$6:$C$53,0),12)))</f>
        <v/>
      </c>
      <c r="BY6" s="1769" t="str">
        <f t="shared" ref="BY6:BY53" si="16">IF($BK6="","",IF(INDEX($E$6:$BB$53,MATCH($BK6,$C$6:$C$53,0),13)=0,"",INDEX($E$6:$BB$53,MATCH($BK6,$C$6:$C$53,0),13)))</f>
        <v/>
      </c>
      <c r="BZ6" s="1769" t="str">
        <f t="shared" ref="BZ6:BZ53" si="17">IF($BK6="","",IF(INDEX($E$6:$BB$53,MATCH($BK6,$C$6:$C$53,0),14)=0,"",INDEX($E$6:$BB$53,MATCH($BK6,$C$6:$C$53,0),14)))</f>
        <v/>
      </c>
      <c r="CA6" s="1769" t="str">
        <f t="shared" ref="CA6:CA53" si="18">IF($BK6="","",IF(INDEX($E$6:$BB$53,MATCH($BK6,$C$6:$C$53,0),15)=0,"",INDEX($E$6:$BB$53,MATCH($BK6,$C$6:$C$53,0),15)))</f>
        <v/>
      </c>
      <c r="CB6" s="1769" t="str">
        <f t="shared" ref="CB6:CB53" si="19">IF($BK6="","",IF(INDEX($E$6:$BB$53,MATCH($BK6,$C$6:$C$53,0),16)=0,"",INDEX($E$6:$BB$53,MATCH($BK6,$C$6:$C$53,0),16)))</f>
        <v/>
      </c>
      <c r="CC6" s="1769" t="str">
        <f t="shared" ref="CC6:CC53" si="20">IF($BK6="","",IF(INDEX($E$6:$BB$53,MATCH($BK6,$C$6:$C$53,0),17)=0,"",INDEX($E$6:$BB$53,MATCH($BK6,$C$6:$C$53,0),17)))</f>
        <v/>
      </c>
      <c r="CD6" s="1769" t="str">
        <f t="shared" ref="CD6:CD53" si="21">IF($BK6="","",IF(INDEX($E$6:$BB$53,MATCH($BK6,$C$6:$C$53,0),18)=0,"",INDEX($E$6:$BB$53,MATCH($BK6,$C$6:$C$53,0),18)))</f>
        <v/>
      </c>
      <c r="CE6" s="1769" t="str">
        <f t="shared" ref="CE6:CE53" si="22">IF($BK6="","",IF(INDEX($E$6:$BB$53,MATCH($BK6,$C$6:$C$53,0),19)=0,"",INDEX($E$6:$BB$53,MATCH($BK6,$C$6:$C$53,0),19)))</f>
        <v/>
      </c>
      <c r="CF6" s="1769" t="str">
        <f t="shared" ref="CF6:CF53" si="23">IF($BK6="","",IF(INDEX($E$6:$BB$53,MATCH($BK6,$C$6:$C$53,0),20)=0,"",INDEX($E$6:$BB$53,MATCH($BK6,$C$6:$C$53,0),20)))</f>
        <v/>
      </c>
      <c r="CG6" s="1769" t="str">
        <f t="shared" ref="CG6:CG53" si="24">IF($BK6="","",IF(INDEX($E$6:$BB$53,MATCH($BK6,$C$6:$C$53,0),21)=0,"",INDEX($E$6:$BB$53,MATCH($BK6,$C$6:$C$53,0),21)))</f>
        <v/>
      </c>
      <c r="CH6" s="1545" t="str">
        <f t="shared" ref="CH6:CH53" si="25">IF($BK6="","",IF(INDEX($E$6:$BB$53,MATCH($BK6,$C$6:$C$53,0),22)=0,"",INDEX($E$6:$BB$53,MATCH($BK6,$C$6:$C$53,0),22)))</f>
        <v/>
      </c>
      <c r="CI6" s="1545" t="str">
        <f t="shared" ref="CI6:CI53" si="26">IF($BK6="","",IF(INDEX($E$6:$BB$53,MATCH($BK6,$C$6:$C$53,0),23)=0,"",INDEX($E$6:$BB$53,MATCH($BK6,$C$6:$C$53,0),23)))</f>
        <v/>
      </c>
      <c r="CJ6" s="1545" t="str">
        <f t="shared" ref="CJ6:CJ53" si="27">IF($BK6="","",IF(INDEX($E$6:$BB$53,MATCH($BK6,$C$6:$C$53,0),24)=0,"",INDEX($E$6:$BB$53,MATCH($BK6,$C$6:$C$53,0),24)))</f>
        <v/>
      </c>
      <c r="CK6" s="1545" t="str">
        <f t="shared" ref="CK6:CK53" si="28">IF($BK6="","",IF(INDEX($E$6:$BB$53,MATCH($BK6,$C$6:$C$53,0),25)=0,"",INDEX($E$6:$BB$53,MATCH($BK6,$C$6:$C$53,0),25)))</f>
        <v/>
      </c>
      <c r="CL6" s="1545" t="str">
        <f t="shared" ref="CL6:CL53" si="29">IF($BK6="","",IF(INDEX($E$6:$BB$53,MATCH($BK6,$C$6:$C$53,0),26)=0,"",INDEX($E$6:$BB$53,MATCH($BK6,$C$6:$C$53,0),26)))</f>
        <v/>
      </c>
      <c r="CM6" s="1545" t="str">
        <f t="shared" ref="CM6:CM53" si="30">IF($BK6="","",IF(INDEX($E$6:$BB$53,MATCH($BK6,$C$6:$C$53,0),27)=0,"",INDEX($E$6:$BB$53,MATCH($BK6,$C$6:$C$53,0),27)))</f>
        <v/>
      </c>
      <c r="CN6" s="1545" t="str">
        <f t="shared" ref="CN6:CN53" si="31">IF($BK6="","",IF(INDEX($E$6:$BB$53,MATCH($BK6,$C$6:$C$53,0),28)=0,"",INDEX($E$6:$BB$53,MATCH($BK6,$C$6:$C$53,0),28)))</f>
        <v/>
      </c>
      <c r="CO6" s="1545" t="str">
        <f t="shared" ref="CO6:CO53" si="32">IF($BK6="","",IF(INDEX($E$6:$BB$53,MATCH($BK6,$C$6:$C$53,0),29)=0,"",INDEX($E$6:$BB$53,MATCH($BK6,$C$6:$C$53,0),29)))</f>
        <v/>
      </c>
      <c r="CP6" s="1545" t="str">
        <f t="shared" ref="CP6:CP53" si="33">IF($BK6="","",IF(INDEX($E$6:$BB$53,MATCH($BK6,$C$6:$C$53,0),30)=0,"",INDEX($E$6:$BB$53,MATCH($BK6,$C$6:$C$53,0),30)))</f>
        <v/>
      </c>
      <c r="CQ6" s="1545" t="str">
        <f t="shared" ref="CQ6:CQ53" si="34">IF($BK6="","",IF(INDEX($E$6:$BB$53,MATCH($BK6,$C$6:$C$53,0),31)=0,"",INDEX($E$6:$BB$53,MATCH($BK6,$C$6:$C$53,0),31)))</f>
        <v/>
      </c>
      <c r="CR6" s="1545" t="str">
        <f t="shared" ref="CR6:CR53" si="35">IF($BK6="","",IF(INDEX($E$6:$BB$53,MATCH($BK6,$C$6:$C$53,0),32)=0,"",INDEX($E$6:$BB$53,MATCH($BK6,$C$6:$C$53,0),32)))</f>
        <v/>
      </c>
      <c r="CS6" s="1545" t="str">
        <f t="shared" ref="CS6:CS53" si="36">IF($BK6="","",IF(INDEX($E$6:$BB$53,MATCH($BK6,$C$6:$C$53,0),33)=0,"",INDEX($E$6:$BB$53,MATCH($BK6,$C$6:$C$53,0),33)))</f>
        <v/>
      </c>
      <c r="CT6" s="1545" t="str">
        <f t="shared" ref="CT6:CT53" si="37">IF($BK6="","",IF(INDEX($E$6:$BB$53,MATCH($BK6,$C$6:$C$53,0),34)=0,"",INDEX($E$6:$BB$53,MATCH($BK6,$C$6:$C$53,0),34)))</f>
        <v/>
      </c>
      <c r="CU6" s="1545" t="str">
        <f t="shared" ref="CU6:CU53" si="38">IF($BK6="","",IF(INDEX($E$6:$BB$53,MATCH($BK6,$C$6:$C$53,0),35)=0,"",INDEX($E$6:$BB$53,MATCH($BK6,$C$6:$C$53,0),35)))</f>
        <v/>
      </c>
      <c r="CV6" s="1545" t="str">
        <f t="shared" ref="CV6:CV53" si="39">IF($BK6="","",IF(INDEX($E$6:$BB$53,MATCH($BK6,$C$6:$C$53,0),36)=0,"",INDEX($E$6:$BB$53,MATCH($BK6,$C$6:$C$53,0),36)))</f>
        <v/>
      </c>
      <c r="CW6" s="1545" t="str">
        <f t="shared" ref="CW6:CW53" si="40">IF($BK6="","",IF(INDEX($E$6:$BB$53,MATCH($BK6,$C$6:$C$53,0),37)=0,"",INDEX($E$6:$BB$53,MATCH($BK6,$C$6:$C$53,0),37)))</f>
        <v/>
      </c>
      <c r="CX6" s="1545" t="str">
        <f t="shared" ref="CX6:CX53" si="41">IF($BK6="","",IF(INDEX($E$6:$BB$53,MATCH($BK6,$C$6:$C$53,0),38)=0,"",INDEX($E$6:$BB$53,MATCH($BK6,$C$6:$C$53,0),38)))</f>
        <v/>
      </c>
      <c r="CY6" s="1545" t="str">
        <f t="shared" ref="CY6:CY53" si="42">IF($BK6="","",IF(INDEX($E$6:$BB$53,MATCH($BK6,$C$6:$C$53,0),39)=0,"",INDEX($E$6:$BB$53,MATCH($BK6,$C$6:$C$53,0),39)))</f>
        <v/>
      </c>
      <c r="CZ6" s="1545" t="str">
        <f t="shared" ref="CZ6:CZ53" si="43">IF($BK6="","",IF(INDEX($E$6:$BB$53,MATCH($BK6,$C$6:$C$53,0),40)=0,"",INDEX($E$6:$BB$53,MATCH($BK6,$C$6:$C$53,0),40)))</f>
        <v/>
      </c>
      <c r="DA6" s="1545" t="str">
        <f t="shared" ref="DA6:DA53" si="44">IF($BK6="","",IF(INDEX($E$6:$BB$53,MATCH($BK6,$C$6:$C$53,0),41)=0,"",INDEX($E$6:$BB$53,MATCH($BK6,$C$6:$C$53,0),41)))</f>
        <v/>
      </c>
      <c r="DB6" s="1545" t="str">
        <f t="shared" ref="DB6:DB53" si="45">IF($BK6="","",IF(INDEX($E$6:$BB$53,MATCH($BK6,$C$6:$C$53,0),42)=0,"",INDEX($E$6:$BB$53,MATCH($BK6,$C$6:$C$53,0),42)))</f>
        <v/>
      </c>
      <c r="DC6" s="1545" t="str">
        <f t="shared" ref="DC6:DC53" si="46">IF($BK6="","",IF(INDEX($E$6:$BB$53,MATCH($BK6,$C$6:$C$53,0),43)=0,"",INDEX($E$6:$BB$53,MATCH($BK6,$C$6:$C$53,0),43)))</f>
        <v/>
      </c>
      <c r="DD6" s="1545" t="str">
        <f t="shared" ref="DD6:DD53" si="47">IF($BK6="","",IF(INDEX($E$6:$BB$53,MATCH($BK6,$C$6:$C$53,0),44)=0,"",INDEX($E$6:$BB$53,MATCH($BK6,$C$6:$C$53,0),44)))</f>
        <v/>
      </c>
      <c r="DE6" s="1545" t="str">
        <f t="shared" ref="DE6:DE53" si="48">IF($BK6="","",IF(INDEX($E$6:$BB$53,MATCH($BK6,$C$6:$C$53,0),45)=0,"",INDEX($E$6:$BB$53,MATCH($BK6,$C$6:$C$53,0),45)))</f>
        <v/>
      </c>
      <c r="DF6" s="1545" t="str">
        <f t="shared" ref="DF6:DF53" si="49">IF($BK6="","",IF(INDEX($E$6:$BB$53,MATCH($BK6,$C$6:$C$53,0),46)=0,"",INDEX($E$6:$BB$53,MATCH($BK6,$C$6:$C$53,0),46)))</f>
        <v/>
      </c>
      <c r="DG6" s="1545" t="str">
        <f t="shared" ref="DG6:DG53" si="50">IF($BK6="","",IF(INDEX($E$6:$BB$53,MATCH($BK6,$C$6:$C$53,0),47)=0,"",INDEX($E$6:$BB$53,MATCH($BK6,$C$6:$C$53,0),47)))</f>
        <v/>
      </c>
      <c r="DH6" s="1545" t="str">
        <f t="shared" ref="DH6:DH53" si="51">IF($BK6="","",IF(INDEX($E$6:$BB$53,MATCH($BK6,$C$6:$C$53,0),48)=0,"",INDEX($E$6:$BB$53,MATCH($BK6,$C$6:$C$53,0),48)))</f>
        <v/>
      </c>
      <c r="DI6" s="1931" t="str">
        <f t="shared" ref="DI6:DI53" si="52">IF($BK6="","",IF(INDEX($E$6:$BB$53,MATCH($BK6,$C$6:$C$53,0),49)=0,"",INDEX($E$6:$BB$53,MATCH($BK6,$C$6:$C$53,0),49)))</f>
        <v/>
      </c>
      <c r="DJ6" s="1931" t="str">
        <f t="shared" ref="DJ6:DJ53" si="53">IF($BK6="","",IF(INDEX($E$6:$BB$53,MATCH($BK6,$C$6:$C$53,0),50)=0,"",INDEX($E$6:$BB$53,MATCH($BK6,$C$6:$C$53,0),50)))</f>
        <v/>
      </c>
      <c r="DK6" s="1261" t="str">
        <f t="shared" ref="DK6:DK53" si="54">IF($BK6="","",SUM(BM6:DJ6))</f>
        <v/>
      </c>
    </row>
    <row r="7" spans="1:115" ht="48">
      <c r="A7" s="2681"/>
      <c r="C7" s="1029">
        <f>+PP!B25</f>
        <v>2</v>
      </c>
      <c r="D7" s="1111" t="str">
        <f>+PP!C25</f>
        <v>ANILLAS AMARILLAS SM ST</v>
      </c>
      <c r="E7" s="1003"/>
      <c r="F7" s="615"/>
      <c r="G7" s="986"/>
      <c r="H7" s="986"/>
      <c r="I7" s="986"/>
      <c r="J7" s="986"/>
      <c r="K7" s="986"/>
      <c r="L7" s="606"/>
      <c r="M7" s="606"/>
      <c r="N7" s="606"/>
      <c r="O7" s="606"/>
      <c r="P7" s="606"/>
      <c r="Q7" s="606"/>
      <c r="R7" s="606"/>
      <c r="S7" s="620"/>
      <c r="T7" s="620"/>
      <c r="U7" s="620"/>
      <c r="V7" s="620"/>
      <c r="W7" s="620"/>
      <c r="X7" s="620"/>
      <c r="Y7" s="1099"/>
      <c r="Z7" s="1088"/>
      <c r="AA7" s="1088"/>
      <c r="AB7" s="1088"/>
      <c r="AC7" s="1088"/>
      <c r="AD7" s="1088"/>
      <c r="AE7" s="1088"/>
      <c r="AF7" s="1088"/>
      <c r="AG7" s="1088"/>
      <c r="AH7" s="1088"/>
      <c r="AI7" s="1088"/>
      <c r="AJ7" s="1088"/>
      <c r="AK7" s="1088"/>
      <c r="AL7" s="1088"/>
      <c r="AM7" s="1088"/>
      <c r="AN7" s="1088"/>
      <c r="AO7" s="1088"/>
      <c r="AP7" s="1088"/>
      <c r="AQ7" s="1088"/>
      <c r="AR7" s="1088"/>
      <c r="AS7" s="1088"/>
      <c r="AT7" s="1088"/>
      <c r="AU7" s="1088"/>
      <c r="AV7" s="620"/>
      <c r="AW7" s="620"/>
      <c r="AX7" s="620"/>
      <c r="AY7" s="620"/>
      <c r="AZ7" s="620"/>
      <c r="BA7" s="620"/>
      <c r="BB7" s="620"/>
      <c r="BC7" s="984">
        <f t="shared" si="0"/>
        <v>0</v>
      </c>
      <c r="BD7" s="985">
        <f t="shared" si="1"/>
        <v>0</v>
      </c>
      <c r="BE7" s="990">
        <f t="shared" si="2"/>
        <v>0</v>
      </c>
      <c r="BI7" s="885"/>
      <c r="BJ7" s="885"/>
      <c r="BK7" s="1258" t="str">
        <f>IFERROR(INDEX($C$6:$C$53,_xlfn.AGGREGATE(15,6,(ROW($C$6:$C$53)-ROW($C$6)+1)/($BC$6:$BC$53&gt;0),ROWS($BK$6:BK7))),"")</f>
        <v/>
      </c>
      <c r="BL7" s="1259" t="str">
        <f t="shared" si="3"/>
        <v/>
      </c>
      <c r="BM7" s="1769" t="str">
        <f t="shared" si="4"/>
        <v/>
      </c>
      <c r="BN7" s="1769" t="str">
        <f t="shared" si="5"/>
        <v/>
      </c>
      <c r="BO7" s="1769" t="str">
        <f t="shared" si="6"/>
        <v/>
      </c>
      <c r="BP7" s="1769" t="str">
        <f t="shared" si="7"/>
        <v/>
      </c>
      <c r="BQ7" s="1769" t="str">
        <f t="shared" si="8"/>
        <v/>
      </c>
      <c r="BR7" s="1769" t="str">
        <f t="shared" si="9"/>
        <v/>
      </c>
      <c r="BS7" s="1769" t="str">
        <f t="shared" si="10"/>
        <v/>
      </c>
      <c r="BT7" s="1769" t="str">
        <f t="shared" si="11"/>
        <v/>
      </c>
      <c r="BU7" s="1769" t="str">
        <f t="shared" si="12"/>
        <v/>
      </c>
      <c r="BV7" s="1769" t="str">
        <f t="shared" si="13"/>
        <v/>
      </c>
      <c r="BW7" s="1769" t="str">
        <f t="shared" si="14"/>
        <v/>
      </c>
      <c r="BX7" s="1769" t="str">
        <f t="shared" si="15"/>
        <v/>
      </c>
      <c r="BY7" s="1769" t="str">
        <f t="shared" si="16"/>
        <v/>
      </c>
      <c r="BZ7" s="1769" t="str">
        <f t="shared" si="17"/>
        <v/>
      </c>
      <c r="CA7" s="1769" t="str">
        <f t="shared" si="18"/>
        <v/>
      </c>
      <c r="CB7" s="1769" t="str">
        <f t="shared" si="19"/>
        <v/>
      </c>
      <c r="CC7" s="1769" t="str">
        <f t="shared" si="20"/>
        <v/>
      </c>
      <c r="CD7" s="1769" t="str">
        <f t="shared" si="21"/>
        <v/>
      </c>
      <c r="CE7" s="1769" t="str">
        <f t="shared" si="22"/>
        <v/>
      </c>
      <c r="CF7" s="1769" t="str">
        <f t="shared" si="23"/>
        <v/>
      </c>
      <c r="CG7" s="1769" t="str">
        <f t="shared" si="24"/>
        <v/>
      </c>
      <c r="CH7" s="1545" t="str">
        <f t="shared" si="25"/>
        <v/>
      </c>
      <c r="CI7" s="1545" t="str">
        <f t="shared" si="26"/>
        <v/>
      </c>
      <c r="CJ7" s="1545" t="str">
        <f t="shared" si="27"/>
        <v/>
      </c>
      <c r="CK7" s="1545" t="str">
        <f t="shared" si="28"/>
        <v/>
      </c>
      <c r="CL7" s="1545" t="str">
        <f t="shared" si="29"/>
        <v/>
      </c>
      <c r="CM7" s="1545" t="str">
        <f t="shared" si="30"/>
        <v/>
      </c>
      <c r="CN7" s="1545" t="str">
        <f t="shared" si="31"/>
        <v/>
      </c>
      <c r="CO7" s="1545" t="str">
        <f t="shared" si="32"/>
        <v/>
      </c>
      <c r="CP7" s="1545" t="str">
        <f t="shared" si="33"/>
        <v/>
      </c>
      <c r="CQ7" s="1545" t="str">
        <f t="shared" si="34"/>
        <v/>
      </c>
      <c r="CR7" s="1545" t="str">
        <f t="shared" si="35"/>
        <v/>
      </c>
      <c r="CS7" s="1545" t="str">
        <f t="shared" si="36"/>
        <v/>
      </c>
      <c r="CT7" s="1545" t="str">
        <f t="shared" si="37"/>
        <v/>
      </c>
      <c r="CU7" s="1545" t="str">
        <f t="shared" si="38"/>
        <v/>
      </c>
      <c r="CV7" s="1545" t="str">
        <f t="shared" si="39"/>
        <v/>
      </c>
      <c r="CW7" s="1545" t="str">
        <f t="shared" si="40"/>
        <v/>
      </c>
      <c r="CX7" s="1545" t="str">
        <f t="shared" si="41"/>
        <v/>
      </c>
      <c r="CY7" s="1545" t="str">
        <f t="shared" si="42"/>
        <v/>
      </c>
      <c r="CZ7" s="1545" t="str">
        <f t="shared" si="43"/>
        <v/>
      </c>
      <c r="DA7" s="1545" t="str">
        <f t="shared" si="44"/>
        <v/>
      </c>
      <c r="DB7" s="1545" t="str">
        <f t="shared" si="45"/>
        <v/>
      </c>
      <c r="DC7" s="1545" t="str">
        <f t="shared" si="46"/>
        <v/>
      </c>
      <c r="DD7" s="1545" t="str">
        <f t="shared" si="47"/>
        <v/>
      </c>
      <c r="DE7" s="1545" t="str">
        <f t="shared" si="48"/>
        <v/>
      </c>
      <c r="DF7" s="1545" t="str">
        <f t="shared" si="49"/>
        <v/>
      </c>
      <c r="DG7" s="1545" t="str">
        <f t="shared" si="50"/>
        <v/>
      </c>
      <c r="DH7" s="1545" t="str">
        <f t="shared" si="51"/>
        <v/>
      </c>
      <c r="DI7" s="1931" t="str">
        <f t="shared" si="52"/>
        <v/>
      </c>
      <c r="DJ7" s="1931" t="str">
        <f t="shared" si="53"/>
        <v/>
      </c>
      <c r="DK7" s="1261" t="str">
        <f t="shared" si="54"/>
        <v/>
      </c>
    </row>
    <row r="8" spans="1:115" ht="46.5" thickBot="1">
      <c r="A8" s="2681"/>
      <c r="C8" s="1029">
        <f>+PP!B26</f>
        <v>3</v>
      </c>
      <c r="D8" s="1112" t="str">
        <f>+PP!C26</f>
        <v>ANILLAS BLANCAS SM ST MEDIANA</v>
      </c>
      <c r="E8" s="971"/>
      <c r="F8" s="991"/>
      <c r="G8" s="616"/>
      <c r="H8" s="616"/>
      <c r="I8" s="616"/>
      <c r="J8" s="616"/>
      <c r="K8" s="616"/>
      <c r="L8" s="616"/>
      <c r="M8" s="616"/>
      <c r="N8" s="605"/>
      <c r="O8" s="605"/>
      <c r="P8" s="605"/>
      <c r="Q8" s="605"/>
      <c r="R8" s="605"/>
      <c r="S8" s="997"/>
      <c r="T8" s="617"/>
      <c r="U8" s="617"/>
      <c r="V8" s="617"/>
      <c r="W8" s="617"/>
      <c r="X8" s="617"/>
      <c r="Y8" s="1100"/>
      <c r="Z8" s="1089"/>
      <c r="AA8" s="1089"/>
      <c r="AB8" s="1089"/>
      <c r="AC8" s="1089"/>
      <c r="AD8" s="1089"/>
      <c r="AE8" s="1089"/>
      <c r="AF8" s="1089"/>
      <c r="AG8" s="1089"/>
      <c r="AH8" s="1089"/>
      <c r="AI8" s="1089"/>
      <c r="AJ8" s="1089"/>
      <c r="AK8" s="1089"/>
      <c r="AL8" s="1089"/>
      <c r="AM8" s="1089"/>
      <c r="AN8" s="1089"/>
      <c r="AO8" s="1089"/>
      <c r="AP8" s="1089"/>
      <c r="AQ8" s="1089"/>
      <c r="AR8" s="1089"/>
      <c r="AS8" s="1089"/>
      <c r="AT8" s="1089"/>
      <c r="AU8" s="1089"/>
      <c r="AV8" s="617"/>
      <c r="AW8" s="617"/>
      <c r="AX8" s="617"/>
      <c r="AY8" s="617"/>
      <c r="AZ8" s="617"/>
      <c r="BA8" s="617"/>
      <c r="BB8" s="617"/>
      <c r="BC8" s="992">
        <f t="shared" si="0"/>
        <v>0</v>
      </c>
      <c r="BD8" s="993">
        <f t="shared" si="1"/>
        <v>0</v>
      </c>
      <c r="BE8" s="887">
        <f t="shared" si="2"/>
        <v>0</v>
      </c>
      <c r="BI8" s="885"/>
      <c r="BJ8" s="885"/>
      <c r="BK8" s="1258" t="str">
        <f>IFERROR(INDEX($C$6:$C$53,_xlfn.AGGREGATE(15,6,(ROW($C$6:$C$53)-ROW($C$6)+1)/($BC$6:$BC$53&gt;0),ROWS($BK$6:BK8))),"")</f>
        <v/>
      </c>
      <c r="BL8" s="1259" t="str">
        <f t="shared" si="3"/>
        <v/>
      </c>
      <c r="BM8" s="1769" t="str">
        <f t="shared" si="4"/>
        <v/>
      </c>
      <c r="BN8" s="1769" t="str">
        <f t="shared" si="5"/>
        <v/>
      </c>
      <c r="BO8" s="1769" t="str">
        <f t="shared" si="6"/>
        <v/>
      </c>
      <c r="BP8" s="1769" t="str">
        <f t="shared" si="7"/>
        <v/>
      </c>
      <c r="BQ8" s="1769" t="str">
        <f t="shared" si="8"/>
        <v/>
      </c>
      <c r="BR8" s="1769" t="str">
        <f t="shared" si="9"/>
        <v/>
      </c>
      <c r="BS8" s="1769" t="str">
        <f t="shared" si="10"/>
        <v/>
      </c>
      <c r="BT8" s="1769" t="str">
        <f t="shared" si="11"/>
        <v/>
      </c>
      <c r="BU8" s="1769" t="str">
        <f t="shared" si="12"/>
        <v/>
      </c>
      <c r="BV8" s="1769" t="str">
        <f t="shared" si="13"/>
        <v/>
      </c>
      <c r="BW8" s="1769" t="str">
        <f t="shared" si="14"/>
        <v/>
      </c>
      <c r="BX8" s="1769" t="str">
        <f t="shared" si="15"/>
        <v/>
      </c>
      <c r="BY8" s="1769" t="str">
        <f t="shared" si="16"/>
        <v/>
      </c>
      <c r="BZ8" s="1769" t="str">
        <f t="shared" si="17"/>
        <v/>
      </c>
      <c r="CA8" s="1769" t="str">
        <f t="shared" si="18"/>
        <v/>
      </c>
      <c r="CB8" s="1769" t="str">
        <f t="shared" si="19"/>
        <v/>
      </c>
      <c r="CC8" s="1769" t="str">
        <f t="shared" si="20"/>
        <v/>
      </c>
      <c r="CD8" s="1769" t="str">
        <f t="shared" si="21"/>
        <v/>
      </c>
      <c r="CE8" s="1769" t="str">
        <f t="shared" si="22"/>
        <v/>
      </c>
      <c r="CF8" s="1769" t="str">
        <f t="shared" si="23"/>
        <v/>
      </c>
      <c r="CG8" s="1769" t="str">
        <f t="shared" si="24"/>
        <v/>
      </c>
      <c r="CH8" s="1545" t="str">
        <f t="shared" si="25"/>
        <v/>
      </c>
      <c r="CI8" s="1545" t="str">
        <f t="shared" si="26"/>
        <v/>
      </c>
      <c r="CJ8" s="1545" t="str">
        <f t="shared" si="27"/>
        <v/>
      </c>
      <c r="CK8" s="1545" t="str">
        <f t="shared" si="28"/>
        <v/>
      </c>
      <c r="CL8" s="1545" t="str">
        <f t="shared" si="29"/>
        <v/>
      </c>
      <c r="CM8" s="1545" t="str">
        <f t="shared" si="30"/>
        <v/>
      </c>
      <c r="CN8" s="1545" t="str">
        <f t="shared" si="31"/>
        <v/>
      </c>
      <c r="CO8" s="1545" t="str">
        <f t="shared" si="32"/>
        <v/>
      </c>
      <c r="CP8" s="1545" t="str">
        <f t="shared" si="33"/>
        <v/>
      </c>
      <c r="CQ8" s="1545" t="str">
        <f t="shared" si="34"/>
        <v/>
      </c>
      <c r="CR8" s="1545" t="str">
        <f t="shared" si="35"/>
        <v/>
      </c>
      <c r="CS8" s="1545" t="str">
        <f t="shared" si="36"/>
        <v/>
      </c>
      <c r="CT8" s="1545" t="str">
        <f t="shared" si="37"/>
        <v/>
      </c>
      <c r="CU8" s="1545" t="str">
        <f t="shared" si="38"/>
        <v/>
      </c>
      <c r="CV8" s="1545" t="str">
        <f t="shared" si="39"/>
        <v/>
      </c>
      <c r="CW8" s="1545" t="str">
        <f t="shared" si="40"/>
        <v/>
      </c>
      <c r="CX8" s="1545" t="str">
        <f t="shared" si="41"/>
        <v/>
      </c>
      <c r="CY8" s="1545" t="str">
        <f t="shared" si="42"/>
        <v/>
      </c>
      <c r="CZ8" s="1545" t="str">
        <f t="shared" si="43"/>
        <v/>
      </c>
      <c r="DA8" s="1545" t="str">
        <f t="shared" si="44"/>
        <v/>
      </c>
      <c r="DB8" s="1545" t="str">
        <f t="shared" si="45"/>
        <v/>
      </c>
      <c r="DC8" s="1545" t="str">
        <f t="shared" si="46"/>
        <v/>
      </c>
      <c r="DD8" s="1545" t="str">
        <f t="shared" si="47"/>
        <v/>
      </c>
      <c r="DE8" s="1545" t="str">
        <f t="shared" si="48"/>
        <v/>
      </c>
      <c r="DF8" s="1545" t="str">
        <f t="shared" si="49"/>
        <v/>
      </c>
      <c r="DG8" s="1545" t="str">
        <f t="shared" si="50"/>
        <v/>
      </c>
      <c r="DH8" s="1545" t="str">
        <f t="shared" si="51"/>
        <v/>
      </c>
      <c r="DI8" s="1931" t="str">
        <f t="shared" si="52"/>
        <v/>
      </c>
      <c r="DJ8" s="1931" t="str">
        <f t="shared" si="53"/>
        <v/>
      </c>
      <c r="DK8" s="1261" t="str">
        <f t="shared" si="54"/>
        <v/>
      </c>
    </row>
    <row r="9" spans="1:115" ht="45.75">
      <c r="A9" s="2681"/>
      <c r="C9" s="1029">
        <f>+PP!B27</f>
        <v>4</v>
      </c>
      <c r="D9" s="1110" t="str">
        <f>+PP!C27</f>
        <v>ALETA FRESCA CORTE CRUZ</v>
      </c>
      <c r="E9" s="972"/>
      <c r="F9" s="618"/>
      <c r="G9" s="618"/>
      <c r="H9" s="618"/>
      <c r="I9" s="618"/>
      <c r="J9" s="618"/>
      <c r="K9" s="618"/>
      <c r="L9" s="604"/>
      <c r="M9" s="604"/>
      <c r="N9" s="604"/>
      <c r="O9" s="604"/>
      <c r="P9" s="604"/>
      <c r="Q9" s="604"/>
      <c r="R9" s="604"/>
      <c r="S9" s="604"/>
      <c r="T9" s="614"/>
      <c r="U9" s="614"/>
      <c r="V9" s="614"/>
      <c r="W9" s="614"/>
      <c r="X9" s="614"/>
      <c r="Y9" s="1101"/>
      <c r="Z9" s="1087"/>
      <c r="AA9" s="1087"/>
      <c r="AB9" s="1087"/>
      <c r="AC9" s="1087"/>
      <c r="AD9" s="1087"/>
      <c r="AE9" s="1087"/>
      <c r="AF9" s="1087"/>
      <c r="AG9" s="1087"/>
      <c r="AH9" s="1087"/>
      <c r="AI9" s="1087"/>
      <c r="AJ9" s="1087"/>
      <c r="AK9" s="1087"/>
      <c r="AL9" s="1087"/>
      <c r="AM9" s="1087"/>
      <c r="AN9" s="1087"/>
      <c r="AO9" s="1087"/>
      <c r="AP9" s="1087"/>
      <c r="AQ9" s="1087"/>
      <c r="AR9" s="1087"/>
      <c r="AS9" s="1087"/>
      <c r="AT9" s="1087"/>
      <c r="AU9" s="1087"/>
      <c r="AV9" s="614"/>
      <c r="AW9" s="614"/>
      <c r="AX9" s="614"/>
      <c r="AY9" s="614"/>
      <c r="AZ9" s="614"/>
      <c r="BA9" s="614"/>
      <c r="BB9" s="614"/>
      <c r="BC9" s="988">
        <f t="shared" si="0"/>
        <v>0</v>
      </c>
      <c r="BD9" s="989">
        <f t="shared" si="1"/>
        <v>0</v>
      </c>
      <c r="BE9" s="886">
        <f t="shared" si="2"/>
        <v>0</v>
      </c>
      <c r="BI9" s="885"/>
      <c r="BJ9" s="885"/>
      <c r="BK9" s="1258" t="str">
        <f>IFERROR(INDEX($C$6:$C$53,_xlfn.AGGREGATE(15,6,(ROW($C$6:$C$53)-ROW($C$6)+1)/($BC$6:$BC$53&gt;0),ROWS($BK$6:BK9))),"")</f>
        <v/>
      </c>
      <c r="BL9" s="1259" t="str">
        <f t="shared" si="3"/>
        <v/>
      </c>
      <c r="BM9" s="1769" t="str">
        <f t="shared" si="4"/>
        <v/>
      </c>
      <c r="BN9" s="1769" t="str">
        <f t="shared" si="5"/>
        <v/>
      </c>
      <c r="BO9" s="1769" t="str">
        <f t="shared" si="6"/>
        <v/>
      </c>
      <c r="BP9" s="1769" t="str">
        <f t="shared" si="7"/>
        <v/>
      </c>
      <c r="BQ9" s="1769" t="str">
        <f t="shared" si="8"/>
        <v/>
      </c>
      <c r="BR9" s="1769" t="str">
        <f t="shared" si="9"/>
        <v/>
      </c>
      <c r="BS9" s="1769" t="str">
        <f t="shared" si="10"/>
        <v/>
      </c>
      <c r="BT9" s="1769" t="str">
        <f t="shared" si="11"/>
        <v/>
      </c>
      <c r="BU9" s="1769" t="str">
        <f t="shared" si="12"/>
        <v/>
      </c>
      <c r="BV9" s="1769" t="str">
        <f t="shared" si="13"/>
        <v/>
      </c>
      <c r="BW9" s="1769" t="str">
        <f t="shared" si="14"/>
        <v/>
      </c>
      <c r="BX9" s="1769" t="str">
        <f t="shared" si="15"/>
        <v/>
      </c>
      <c r="BY9" s="1769" t="str">
        <f t="shared" si="16"/>
        <v/>
      </c>
      <c r="BZ9" s="1769" t="str">
        <f t="shared" si="17"/>
        <v/>
      </c>
      <c r="CA9" s="1769" t="str">
        <f t="shared" si="18"/>
        <v/>
      </c>
      <c r="CB9" s="1769" t="str">
        <f t="shared" si="19"/>
        <v/>
      </c>
      <c r="CC9" s="1769" t="str">
        <f t="shared" si="20"/>
        <v/>
      </c>
      <c r="CD9" s="1769" t="str">
        <f t="shared" si="21"/>
        <v/>
      </c>
      <c r="CE9" s="1769" t="str">
        <f t="shared" si="22"/>
        <v/>
      </c>
      <c r="CF9" s="1769" t="str">
        <f t="shared" si="23"/>
        <v/>
      </c>
      <c r="CG9" s="1769" t="str">
        <f t="shared" si="24"/>
        <v/>
      </c>
      <c r="CH9" s="1545" t="str">
        <f t="shared" si="25"/>
        <v/>
      </c>
      <c r="CI9" s="1545" t="str">
        <f t="shared" si="26"/>
        <v/>
      </c>
      <c r="CJ9" s="1545" t="str">
        <f t="shared" si="27"/>
        <v/>
      </c>
      <c r="CK9" s="1545" t="str">
        <f t="shared" si="28"/>
        <v/>
      </c>
      <c r="CL9" s="1545" t="str">
        <f t="shared" si="29"/>
        <v/>
      </c>
      <c r="CM9" s="1545" t="str">
        <f t="shared" si="30"/>
        <v/>
      </c>
      <c r="CN9" s="1545" t="str">
        <f t="shared" si="31"/>
        <v/>
      </c>
      <c r="CO9" s="1545" t="str">
        <f t="shared" si="32"/>
        <v/>
      </c>
      <c r="CP9" s="1545" t="str">
        <f t="shared" si="33"/>
        <v/>
      </c>
      <c r="CQ9" s="1545" t="str">
        <f t="shared" si="34"/>
        <v/>
      </c>
      <c r="CR9" s="1545" t="str">
        <f t="shared" si="35"/>
        <v/>
      </c>
      <c r="CS9" s="1545" t="str">
        <f t="shared" si="36"/>
        <v/>
      </c>
      <c r="CT9" s="1545" t="str">
        <f t="shared" si="37"/>
        <v/>
      </c>
      <c r="CU9" s="1545" t="str">
        <f t="shared" si="38"/>
        <v/>
      </c>
      <c r="CV9" s="1545" t="str">
        <f t="shared" si="39"/>
        <v/>
      </c>
      <c r="CW9" s="1545" t="str">
        <f t="shared" si="40"/>
        <v/>
      </c>
      <c r="CX9" s="1545" t="str">
        <f t="shared" si="41"/>
        <v/>
      </c>
      <c r="CY9" s="1545" t="str">
        <f t="shared" si="42"/>
        <v/>
      </c>
      <c r="CZ9" s="1545" t="str">
        <f t="shared" si="43"/>
        <v/>
      </c>
      <c r="DA9" s="1545" t="str">
        <f t="shared" si="44"/>
        <v/>
      </c>
      <c r="DB9" s="1545" t="str">
        <f t="shared" si="45"/>
        <v/>
      </c>
      <c r="DC9" s="1545" t="str">
        <f t="shared" si="46"/>
        <v/>
      </c>
      <c r="DD9" s="1545" t="str">
        <f t="shared" si="47"/>
        <v/>
      </c>
      <c r="DE9" s="1545" t="str">
        <f t="shared" si="48"/>
        <v/>
      </c>
      <c r="DF9" s="1545" t="str">
        <f t="shared" si="49"/>
        <v/>
      </c>
      <c r="DG9" s="1545" t="str">
        <f t="shared" si="50"/>
        <v/>
      </c>
      <c r="DH9" s="1545" t="str">
        <f t="shared" si="51"/>
        <v/>
      </c>
      <c r="DI9" s="1931" t="str">
        <f t="shared" si="52"/>
        <v/>
      </c>
      <c r="DJ9" s="1931" t="str">
        <f t="shared" si="53"/>
        <v/>
      </c>
      <c r="DK9" s="1261" t="str">
        <f t="shared" si="54"/>
        <v/>
      </c>
    </row>
    <row r="10" spans="1:115" ht="45.75">
      <c r="A10" s="2681"/>
      <c r="C10" s="1029">
        <f>+PP!B28</f>
        <v>5</v>
      </c>
      <c r="D10" s="1111" t="str">
        <f>+PP!C28</f>
        <v>ALETA ENTERA 100-500 g/pza</v>
      </c>
      <c r="E10" s="973"/>
      <c r="F10" s="619"/>
      <c r="G10" s="619"/>
      <c r="H10" s="619"/>
      <c r="I10" s="619"/>
      <c r="J10" s="619"/>
      <c r="K10" s="619"/>
      <c r="L10" s="606"/>
      <c r="M10" s="606"/>
      <c r="N10" s="606"/>
      <c r="O10" s="606"/>
      <c r="P10" s="606"/>
      <c r="Q10" s="606"/>
      <c r="R10" s="606"/>
      <c r="S10" s="606"/>
      <c r="T10" s="620"/>
      <c r="U10" s="620"/>
      <c r="V10" s="620"/>
      <c r="W10" s="620"/>
      <c r="X10" s="620"/>
      <c r="Y10" s="1099"/>
      <c r="Z10" s="1088"/>
      <c r="AA10" s="1088"/>
      <c r="AB10" s="1088"/>
      <c r="AC10" s="1088"/>
      <c r="AD10" s="1088"/>
      <c r="AE10" s="1088"/>
      <c r="AF10" s="1088"/>
      <c r="AG10" s="1088"/>
      <c r="AH10" s="1088"/>
      <c r="AI10" s="1088"/>
      <c r="AJ10" s="1088"/>
      <c r="AK10" s="1088"/>
      <c r="AL10" s="1088"/>
      <c r="AM10" s="1088"/>
      <c r="AN10" s="1088"/>
      <c r="AO10" s="1088"/>
      <c r="AP10" s="1088"/>
      <c r="AQ10" s="1088"/>
      <c r="AR10" s="1088"/>
      <c r="AS10" s="1088"/>
      <c r="AT10" s="1088"/>
      <c r="AU10" s="1088"/>
      <c r="AV10" s="620"/>
      <c r="AW10" s="620"/>
      <c r="AX10" s="620"/>
      <c r="AY10" s="620"/>
      <c r="AZ10" s="620"/>
      <c r="BA10" s="620"/>
      <c r="BB10" s="620"/>
      <c r="BC10" s="984">
        <f t="shared" si="0"/>
        <v>0</v>
      </c>
      <c r="BD10" s="985">
        <f t="shared" si="1"/>
        <v>0</v>
      </c>
      <c r="BE10" s="990">
        <f t="shared" si="2"/>
        <v>0</v>
      </c>
      <c r="BI10" s="885"/>
      <c r="BJ10" s="885"/>
      <c r="BK10" s="1258" t="str">
        <f>IFERROR(INDEX($C$6:$C$53,_xlfn.AGGREGATE(15,6,(ROW($C$6:$C$53)-ROW($C$6)+1)/($BC$6:$BC$53&gt;0),ROWS($BK$6:BK10))),"")</f>
        <v/>
      </c>
      <c r="BL10" s="1259" t="str">
        <f t="shared" si="3"/>
        <v/>
      </c>
      <c r="BM10" s="1769" t="str">
        <f t="shared" si="4"/>
        <v/>
      </c>
      <c r="BN10" s="1769" t="str">
        <f t="shared" si="5"/>
        <v/>
      </c>
      <c r="BO10" s="1769" t="str">
        <f t="shared" si="6"/>
        <v/>
      </c>
      <c r="BP10" s="1769" t="str">
        <f t="shared" si="7"/>
        <v/>
      </c>
      <c r="BQ10" s="1769" t="str">
        <f t="shared" si="8"/>
        <v/>
      </c>
      <c r="BR10" s="1769" t="str">
        <f t="shared" si="9"/>
        <v/>
      </c>
      <c r="BS10" s="1769" t="str">
        <f t="shared" si="10"/>
        <v/>
      </c>
      <c r="BT10" s="1769" t="str">
        <f t="shared" si="11"/>
        <v/>
      </c>
      <c r="BU10" s="1769" t="str">
        <f t="shared" si="12"/>
        <v/>
      </c>
      <c r="BV10" s="1769" t="str">
        <f t="shared" si="13"/>
        <v/>
      </c>
      <c r="BW10" s="1769" t="str">
        <f t="shared" si="14"/>
        <v/>
      </c>
      <c r="BX10" s="1769" t="str">
        <f t="shared" si="15"/>
        <v/>
      </c>
      <c r="BY10" s="1769" t="str">
        <f t="shared" si="16"/>
        <v/>
      </c>
      <c r="BZ10" s="1769" t="str">
        <f t="shared" si="17"/>
        <v/>
      </c>
      <c r="CA10" s="1769" t="str">
        <f t="shared" si="18"/>
        <v/>
      </c>
      <c r="CB10" s="1769" t="str">
        <f t="shared" si="19"/>
        <v/>
      </c>
      <c r="CC10" s="1769" t="str">
        <f t="shared" si="20"/>
        <v/>
      </c>
      <c r="CD10" s="1769" t="str">
        <f t="shared" si="21"/>
        <v/>
      </c>
      <c r="CE10" s="1769" t="str">
        <f t="shared" si="22"/>
        <v/>
      </c>
      <c r="CF10" s="1769" t="str">
        <f t="shared" si="23"/>
        <v/>
      </c>
      <c r="CG10" s="1769" t="str">
        <f t="shared" si="24"/>
        <v/>
      </c>
      <c r="CH10" s="1545" t="str">
        <f t="shared" si="25"/>
        <v/>
      </c>
      <c r="CI10" s="1545" t="str">
        <f t="shared" si="26"/>
        <v/>
      </c>
      <c r="CJ10" s="1545" t="str">
        <f t="shared" si="27"/>
        <v/>
      </c>
      <c r="CK10" s="1545" t="str">
        <f t="shared" si="28"/>
        <v/>
      </c>
      <c r="CL10" s="1545" t="str">
        <f t="shared" si="29"/>
        <v/>
      </c>
      <c r="CM10" s="1545" t="str">
        <f t="shared" si="30"/>
        <v/>
      </c>
      <c r="CN10" s="1545" t="str">
        <f t="shared" si="31"/>
        <v/>
      </c>
      <c r="CO10" s="1545" t="str">
        <f t="shared" si="32"/>
        <v/>
      </c>
      <c r="CP10" s="1545" t="str">
        <f t="shared" si="33"/>
        <v/>
      </c>
      <c r="CQ10" s="1545" t="str">
        <f t="shared" si="34"/>
        <v/>
      </c>
      <c r="CR10" s="1545" t="str">
        <f t="shared" si="35"/>
        <v/>
      </c>
      <c r="CS10" s="1545" t="str">
        <f t="shared" si="36"/>
        <v/>
      </c>
      <c r="CT10" s="1545" t="str">
        <f t="shared" si="37"/>
        <v/>
      </c>
      <c r="CU10" s="1545" t="str">
        <f t="shared" si="38"/>
        <v/>
      </c>
      <c r="CV10" s="1545" t="str">
        <f t="shared" si="39"/>
        <v/>
      </c>
      <c r="CW10" s="1545" t="str">
        <f t="shared" si="40"/>
        <v/>
      </c>
      <c r="CX10" s="1545" t="str">
        <f t="shared" si="41"/>
        <v/>
      </c>
      <c r="CY10" s="1545" t="str">
        <f t="shared" si="42"/>
        <v/>
      </c>
      <c r="CZ10" s="1545" t="str">
        <f t="shared" si="43"/>
        <v/>
      </c>
      <c r="DA10" s="1545" t="str">
        <f t="shared" si="44"/>
        <v/>
      </c>
      <c r="DB10" s="1545" t="str">
        <f t="shared" si="45"/>
        <v/>
      </c>
      <c r="DC10" s="1545" t="str">
        <f t="shared" si="46"/>
        <v/>
      </c>
      <c r="DD10" s="1545" t="str">
        <f t="shared" si="47"/>
        <v/>
      </c>
      <c r="DE10" s="1545" t="str">
        <f t="shared" si="48"/>
        <v/>
      </c>
      <c r="DF10" s="1545" t="str">
        <f t="shared" si="49"/>
        <v/>
      </c>
      <c r="DG10" s="1545" t="str">
        <f t="shared" si="50"/>
        <v/>
      </c>
      <c r="DH10" s="1545" t="str">
        <f t="shared" si="51"/>
        <v/>
      </c>
      <c r="DI10" s="1545" t="str">
        <f t="shared" si="52"/>
        <v/>
      </c>
      <c r="DJ10" s="1931" t="str">
        <f t="shared" si="53"/>
        <v/>
      </c>
      <c r="DK10" s="1261" t="str">
        <f t="shared" si="54"/>
        <v/>
      </c>
    </row>
    <row r="11" spans="1:115" ht="45.75">
      <c r="A11" s="2681"/>
      <c r="C11" s="1029">
        <f>+PP!B29</f>
        <v>6</v>
      </c>
      <c r="D11" s="1111" t="str">
        <f>+PP!C29</f>
        <v>ALETA ENTERA 500-1000 g/pza</v>
      </c>
      <c r="E11" s="973"/>
      <c r="F11" s="619"/>
      <c r="G11" s="1104"/>
      <c r="H11" s="619"/>
      <c r="I11" s="619"/>
      <c r="J11" s="619"/>
      <c r="K11" s="619"/>
      <c r="L11" s="606"/>
      <c r="M11" s="606"/>
      <c r="N11" s="606"/>
      <c r="O11" s="606"/>
      <c r="P11" s="606"/>
      <c r="Q11" s="606"/>
      <c r="R11" s="606"/>
      <c r="S11" s="606"/>
      <c r="T11" s="620"/>
      <c r="U11" s="620"/>
      <c r="V11" s="620"/>
      <c r="W11" s="632"/>
      <c r="X11" s="620"/>
      <c r="Y11" s="1099"/>
      <c r="Z11" s="1088"/>
      <c r="AA11" s="1088"/>
      <c r="AB11" s="1088"/>
      <c r="AC11" s="1088"/>
      <c r="AD11" s="1088"/>
      <c r="AE11" s="1088"/>
      <c r="AF11" s="1088"/>
      <c r="AG11" s="1088"/>
      <c r="AH11" s="1088"/>
      <c r="AI11" s="1088"/>
      <c r="AJ11" s="1088"/>
      <c r="AK11" s="1088"/>
      <c r="AL11" s="1088"/>
      <c r="AM11" s="1088"/>
      <c r="AN11" s="1088"/>
      <c r="AO11" s="1088"/>
      <c r="AP11" s="1088"/>
      <c r="AQ11" s="1088"/>
      <c r="AR11" s="1088"/>
      <c r="AS11" s="1088"/>
      <c r="AT11" s="1088"/>
      <c r="AU11" s="1088"/>
      <c r="AV11" s="620"/>
      <c r="AW11" s="620"/>
      <c r="AX11" s="620"/>
      <c r="AY11" s="620"/>
      <c r="AZ11" s="620"/>
      <c r="BA11" s="620"/>
      <c r="BB11" s="620"/>
      <c r="BC11" s="984">
        <f t="shared" si="0"/>
        <v>0</v>
      </c>
      <c r="BD11" s="985">
        <f t="shared" si="1"/>
        <v>0</v>
      </c>
      <c r="BE11" s="990">
        <f t="shared" si="2"/>
        <v>0</v>
      </c>
      <c r="BI11" s="885"/>
      <c r="BJ11" s="885"/>
      <c r="BK11" s="1258" t="str">
        <f>IFERROR(INDEX($C$6:$C$53,_xlfn.AGGREGATE(15,6,(ROW($C$6:$C$53)-ROW($C$6)+1)/($BC$6:$BC$53&gt;0),ROWS($BK$6:BK11))),"")</f>
        <v/>
      </c>
      <c r="BL11" s="1259" t="str">
        <f t="shared" si="3"/>
        <v/>
      </c>
      <c r="BM11" s="1769" t="str">
        <f t="shared" si="4"/>
        <v/>
      </c>
      <c r="BN11" s="1769" t="str">
        <f t="shared" si="5"/>
        <v/>
      </c>
      <c r="BO11" s="1769" t="str">
        <f t="shared" si="6"/>
        <v/>
      </c>
      <c r="BP11" s="1769" t="str">
        <f t="shared" si="7"/>
        <v/>
      </c>
      <c r="BQ11" s="1769" t="str">
        <f t="shared" si="8"/>
        <v/>
      </c>
      <c r="BR11" s="1769" t="str">
        <f t="shared" si="9"/>
        <v/>
      </c>
      <c r="BS11" s="1769" t="str">
        <f t="shared" si="10"/>
        <v/>
      </c>
      <c r="BT11" s="1769" t="str">
        <f t="shared" si="11"/>
        <v/>
      </c>
      <c r="BU11" s="1769" t="str">
        <f t="shared" si="12"/>
        <v/>
      </c>
      <c r="BV11" s="1769" t="str">
        <f t="shared" si="13"/>
        <v/>
      </c>
      <c r="BW11" s="1769" t="str">
        <f t="shared" si="14"/>
        <v/>
      </c>
      <c r="BX11" s="1769" t="str">
        <f t="shared" si="15"/>
        <v/>
      </c>
      <c r="BY11" s="1769" t="str">
        <f t="shared" si="16"/>
        <v/>
      </c>
      <c r="BZ11" s="1769" t="str">
        <f t="shared" si="17"/>
        <v/>
      </c>
      <c r="CA11" s="1769" t="str">
        <f t="shared" si="18"/>
        <v/>
      </c>
      <c r="CB11" s="1769" t="str">
        <f t="shared" si="19"/>
        <v/>
      </c>
      <c r="CC11" s="1769" t="str">
        <f t="shared" si="20"/>
        <v/>
      </c>
      <c r="CD11" s="1769" t="str">
        <f t="shared" si="21"/>
        <v/>
      </c>
      <c r="CE11" s="1769" t="str">
        <f t="shared" si="22"/>
        <v/>
      </c>
      <c r="CF11" s="1769" t="str">
        <f t="shared" si="23"/>
        <v/>
      </c>
      <c r="CG11" s="1769" t="str">
        <f t="shared" si="24"/>
        <v/>
      </c>
      <c r="CH11" s="1545" t="str">
        <f t="shared" si="25"/>
        <v/>
      </c>
      <c r="CI11" s="1545" t="str">
        <f t="shared" si="26"/>
        <v/>
      </c>
      <c r="CJ11" s="1545" t="str">
        <f t="shared" si="27"/>
        <v/>
      </c>
      <c r="CK11" s="1545" t="str">
        <f t="shared" si="28"/>
        <v/>
      </c>
      <c r="CL11" s="1545" t="str">
        <f t="shared" si="29"/>
        <v/>
      </c>
      <c r="CM11" s="1545" t="str">
        <f t="shared" si="30"/>
        <v/>
      </c>
      <c r="CN11" s="1545" t="str">
        <f t="shared" si="31"/>
        <v/>
      </c>
      <c r="CO11" s="1545" t="str">
        <f t="shared" si="32"/>
        <v/>
      </c>
      <c r="CP11" s="1545" t="str">
        <f t="shared" si="33"/>
        <v/>
      </c>
      <c r="CQ11" s="1545" t="str">
        <f t="shared" si="34"/>
        <v/>
      </c>
      <c r="CR11" s="1545" t="str">
        <f t="shared" si="35"/>
        <v/>
      </c>
      <c r="CS11" s="1545" t="str">
        <f t="shared" si="36"/>
        <v/>
      </c>
      <c r="CT11" s="1545" t="str">
        <f t="shared" si="37"/>
        <v/>
      </c>
      <c r="CU11" s="1545" t="str">
        <f t="shared" si="38"/>
        <v/>
      </c>
      <c r="CV11" s="1545" t="str">
        <f t="shared" si="39"/>
        <v/>
      </c>
      <c r="CW11" s="1545" t="str">
        <f t="shared" si="40"/>
        <v/>
      </c>
      <c r="CX11" s="1545" t="str">
        <f t="shared" si="41"/>
        <v/>
      </c>
      <c r="CY11" s="1545" t="str">
        <f t="shared" si="42"/>
        <v/>
      </c>
      <c r="CZ11" s="1545" t="str">
        <f t="shared" si="43"/>
        <v/>
      </c>
      <c r="DA11" s="1545" t="str">
        <f t="shared" si="44"/>
        <v/>
      </c>
      <c r="DB11" s="1545" t="str">
        <f t="shared" si="45"/>
        <v/>
      </c>
      <c r="DC11" s="1545" t="str">
        <f t="shared" si="46"/>
        <v/>
      </c>
      <c r="DD11" s="1545" t="str">
        <f t="shared" si="47"/>
        <v/>
      </c>
      <c r="DE11" s="1545" t="str">
        <f t="shared" si="48"/>
        <v/>
      </c>
      <c r="DF11" s="1545" t="str">
        <f t="shared" si="49"/>
        <v/>
      </c>
      <c r="DG11" s="1545" t="str">
        <f t="shared" si="50"/>
        <v/>
      </c>
      <c r="DH11" s="1545" t="str">
        <f t="shared" si="51"/>
        <v/>
      </c>
      <c r="DI11" s="1931" t="str">
        <f t="shared" si="52"/>
        <v/>
      </c>
      <c r="DJ11" s="1931" t="str">
        <f t="shared" si="53"/>
        <v/>
      </c>
      <c r="DK11" s="1261" t="str">
        <f t="shared" si="54"/>
        <v/>
      </c>
    </row>
    <row r="12" spans="1:115" ht="45.75">
      <c r="A12" s="2681"/>
      <c r="B12" s="112">
        <v>7</v>
      </c>
      <c r="C12" s="1029">
        <f>+PP!B30</f>
        <v>7</v>
      </c>
      <c r="D12" s="1111" t="str">
        <f>+PP!C30</f>
        <v>ALETA ENTERA 1.0-2.0 kg/pza</v>
      </c>
      <c r="E12" s="973"/>
      <c r="F12" s="619"/>
      <c r="G12" s="619"/>
      <c r="H12" s="619"/>
      <c r="I12" s="619"/>
      <c r="J12" s="619"/>
      <c r="K12" s="619"/>
      <c r="L12" s="606"/>
      <c r="M12" s="606"/>
      <c r="N12" s="606"/>
      <c r="O12" s="606"/>
      <c r="P12" s="606"/>
      <c r="Q12" s="606"/>
      <c r="R12" s="606"/>
      <c r="S12" s="606"/>
      <c r="T12" s="620"/>
      <c r="U12" s="620"/>
      <c r="V12" s="620"/>
      <c r="W12" s="620"/>
      <c r="X12" s="620"/>
      <c r="Y12" s="1107"/>
      <c r="Z12" s="1088"/>
      <c r="AA12" s="1088"/>
      <c r="AB12" s="1088"/>
      <c r="AC12" s="1088"/>
      <c r="AD12" s="1088"/>
      <c r="AE12" s="1088"/>
      <c r="AF12" s="1088"/>
      <c r="AG12" s="1088"/>
      <c r="AH12" s="1088"/>
      <c r="AI12" s="1088"/>
      <c r="AJ12" s="1088"/>
      <c r="AK12" s="1088"/>
      <c r="AL12" s="1088"/>
      <c r="AM12" s="1088"/>
      <c r="AN12" s="1088"/>
      <c r="AO12" s="1088"/>
      <c r="AP12" s="1088"/>
      <c r="AQ12" s="1088"/>
      <c r="AR12" s="1088"/>
      <c r="AS12" s="1088"/>
      <c r="AT12" s="1088"/>
      <c r="AU12" s="1088"/>
      <c r="AV12" s="620"/>
      <c r="AW12" s="620"/>
      <c r="AX12" s="620"/>
      <c r="AY12" s="620"/>
      <c r="AZ12" s="620"/>
      <c r="BA12" s="620"/>
      <c r="BB12" s="620"/>
      <c r="BC12" s="984">
        <f t="shared" si="0"/>
        <v>0</v>
      </c>
      <c r="BD12" s="985">
        <f t="shared" si="1"/>
        <v>0</v>
      </c>
      <c r="BE12" s="990">
        <f t="shared" si="2"/>
        <v>0</v>
      </c>
      <c r="BI12" s="885"/>
      <c r="BJ12" s="885"/>
      <c r="BK12" s="1258" t="str">
        <f>IFERROR(INDEX($C$6:$C$53,_xlfn.AGGREGATE(15,6,(ROW($C$6:$C$53)-ROW($C$6)+1)/($BC$6:$BC$53&gt;0),ROWS($BK$6:BK12))),"")</f>
        <v/>
      </c>
      <c r="BL12" s="1259" t="str">
        <f t="shared" si="3"/>
        <v/>
      </c>
      <c r="BM12" s="1769" t="str">
        <f t="shared" si="4"/>
        <v/>
      </c>
      <c r="BN12" s="1769" t="str">
        <f t="shared" si="5"/>
        <v/>
      </c>
      <c r="BO12" s="1769" t="str">
        <f t="shared" si="6"/>
        <v/>
      </c>
      <c r="BP12" s="1769" t="str">
        <f t="shared" si="7"/>
        <v/>
      </c>
      <c r="BQ12" s="1769" t="str">
        <f t="shared" si="8"/>
        <v/>
      </c>
      <c r="BR12" s="1769" t="str">
        <f t="shared" si="9"/>
        <v/>
      </c>
      <c r="BS12" s="1769" t="str">
        <f t="shared" si="10"/>
        <v/>
      </c>
      <c r="BT12" s="1769" t="str">
        <f t="shared" si="11"/>
        <v/>
      </c>
      <c r="BU12" s="1769" t="str">
        <f t="shared" si="12"/>
        <v/>
      </c>
      <c r="BV12" s="1769" t="str">
        <f t="shared" si="13"/>
        <v/>
      </c>
      <c r="BW12" s="1769" t="str">
        <f t="shared" si="14"/>
        <v/>
      </c>
      <c r="BX12" s="1769" t="str">
        <f t="shared" si="15"/>
        <v/>
      </c>
      <c r="BY12" s="1769" t="str">
        <f t="shared" si="16"/>
        <v/>
      </c>
      <c r="BZ12" s="1769" t="str">
        <f t="shared" si="17"/>
        <v/>
      </c>
      <c r="CA12" s="1769" t="str">
        <f t="shared" si="18"/>
        <v/>
      </c>
      <c r="CB12" s="1769" t="str">
        <f t="shared" si="19"/>
        <v/>
      </c>
      <c r="CC12" s="1769" t="str">
        <f t="shared" si="20"/>
        <v/>
      </c>
      <c r="CD12" s="1769" t="str">
        <f t="shared" si="21"/>
        <v/>
      </c>
      <c r="CE12" s="1769" t="str">
        <f t="shared" si="22"/>
        <v/>
      </c>
      <c r="CF12" s="1769" t="str">
        <f t="shared" si="23"/>
        <v/>
      </c>
      <c r="CG12" s="1769" t="str">
        <f t="shared" si="24"/>
        <v/>
      </c>
      <c r="CH12" s="1545" t="str">
        <f t="shared" si="25"/>
        <v/>
      </c>
      <c r="CI12" s="1545" t="str">
        <f t="shared" si="26"/>
        <v/>
      </c>
      <c r="CJ12" s="1545" t="str">
        <f t="shared" si="27"/>
        <v/>
      </c>
      <c r="CK12" s="1545" t="str">
        <f t="shared" si="28"/>
        <v/>
      </c>
      <c r="CL12" s="1545" t="str">
        <f t="shared" si="29"/>
        <v/>
      </c>
      <c r="CM12" s="1545" t="str">
        <f t="shared" si="30"/>
        <v/>
      </c>
      <c r="CN12" s="1545" t="str">
        <f t="shared" si="31"/>
        <v/>
      </c>
      <c r="CO12" s="1545" t="str">
        <f t="shared" si="32"/>
        <v/>
      </c>
      <c r="CP12" s="1545" t="str">
        <f t="shared" si="33"/>
        <v/>
      </c>
      <c r="CQ12" s="1545" t="str">
        <f t="shared" si="34"/>
        <v/>
      </c>
      <c r="CR12" s="1545" t="str">
        <f t="shared" si="35"/>
        <v/>
      </c>
      <c r="CS12" s="1545" t="str">
        <f t="shared" si="36"/>
        <v/>
      </c>
      <c r="CT12" s="1545" t="str">
        <f t="shared" si="37"/>
        <v/>
      </c>
      <c r="CU12" s="1545" t="str">
        <f t="shared" si="38"/>
        <v/>
      </c>
      <c r="CV12" s="1545" t="str">
        <f t="shared" si="39"/>
        <v/>
      </c>
      <c r="CW12" s="1545" t="str">
        <f t="shared" si="40"/>
        <v/>
      </c>
      <c r="CX12" s="1545" t="str">
        <f t="shared" si="41"/>
        <v/>
      </c>
      <c r="CY12" s="1545" t="str">
        <f t="shared" si="42"/>
        <v/>
      </c>
      <c r="CZ12" s="1545" t="str">
        <f t="shared" si="43"/>
        <v/>
      </c>
      <c r="DA12" s="1545" t="str">
        <f t="shared" si="44"/>
        <v/>
      </c>
      <c r="DB12" s="1545" t="str">
        <f t="shared" si="45"/>
        <v/>
      </c>
      <c r="DC12" s="1545" t="str">
        <f t="shared" si="46"/>
        <v/>
      </c>
      <c r="DD12" s="1545" t="str">
        <f t="shared" si="47"/>
        <v/>
      </c>
      <c r="DE12" s="1545" t="str">
        <f t="shared" si="48"/>
        <v/>
      </c>
      <c r="DF12" s="1545" t="str">
        <f t="shared" si="49"/>
        <v/>
      </c>
      <c r="DG12" s="1545" t="str">
        <f t="shared" si="50"/>
        <v/>
      </c>
      <c r="DH12" s="1545" t="str">
        <f t="shared" si="51"/>
        <v/>
      </c>
      <c r="DI12" s="1931" t="str">
        <f t="shared" si="52"/>
        <v/>
      </c>
      <c r="DJ12" s="1931" t="str">
        <f t="shared" si="53"/>
        <v/>
      </c>
      <c r="DK12" s="1261" t="str">
        <f t="shared" si="54"/>
        <v/>
      </c>
    </row>
    <row r="13" spans="1:115" ht="45.75">
      <c r="A13" s="2681"/>
      <c r="C13" s="1029">
        <f>+PP!B31</f>
        <v>8</v>
      </c>
      <c r="D13" s="1111" t="str">
        <f>+PP!C31</f>
        <v>ALETA FRESCA PARTIDA 2.0-4.0 kg/pza</v>
      </c>
      <c r="E13" s="974"/>
      <c r="F13" s="621"/>
      <c r="G13" s="621"/>
      <c r="H13" s="621"/>
      <c r="I13" s="621"/>
      <c r="J13" s="622"/>
      <c r="K13" s="621"/>
      <c r="L13" s="621"/>
      <c r="M13" s="621"/>
      <c r="N13" s="621"/>
      <c r="O13" s="621"/>
      <c r="P13" s="621"/>
      <c r="Q13" s="606"/>
      <c r="R13" s="606"/>
      <c r="S13" s="606"/>
      <c r="T13" s="632"/>
      <c r="U13" s="620"/>
      <c r="V13" s="620"/>
      <c r="W13" s="620"/>
      <c r="X13" s="620"/>
      <c r="Y13" s="1099"/>
      <c r="Z13" s="1088"/>
      <c r="AA13" s="1088"/>
      <c r="AB13" s="1088"/>
      <c r="AC13" s="1088"/>
      <c r="AD13" s="1088"/>
      <c r="AE13" s="1088"/>
      <c r="AF13" s="1088"/>
      <c r="AG13" s="1088"/>
      <c r="AH13" s="1088"/>
      <c r="AI13" s="1088"/>
      <c r="AJ13" s="1088"/>
      <c r="AK13" s="1088"/>
      <c r="AL13" s="1088"/>
      <c r="AM13" s="1088"/>
      <c r="AN13" s="1088"/>
      <c r="AO13" s="1088"/>
      <c r="AP13" s="1088"/>
      <c r="AQ13" s="1088"/>
      <c r="AR13" s="1088"/>
      <c r="AS13" s="1088"/>
      <c r="AT13" s="1088"/>
      <c r="AU13" s="1088"/>
      <c r="AV13" s="620"/>
      <c r="AW13" s="620"/>
      <c r="AX13" s="620"/>
      <c r="AY13" s="620"/>
      <c r="AZ13" s="620"/>
      <c r="BA13" s="620"/>
      <c r="BB13" s="620"/>
      <c r="BC13" s="984">
        <f t="shared" si="0"/>
        <v>0</v>
      </c>
      <c r="BD13" s="985">
        <f t="shared" si="1"/>
        <v>0</v>
      </c>
      <c r="BE13" s="990">
        <f t="shared" si="2"/>
        <v>0</v>
      </c>
      <c r="BK13" s="1258" t="str">
        <f>IFERROR(INDEX($C$6:$C$53,_xlfn.AGGREGATE(15,6,(ROW($C$6:$C$53)-ROW($C$6)+1)/($BC$6:$BC$53&gt;0),ROWS($BK$6:BK13))),"")</f>
        <v/>
      </c>
      <c r="BL13" s="1259" t="str">
        <f t="shared" si="3"/>
        <v/>
      </c>
      <c r="BM13" s="1769" t="str">
        <f t="shared" si="4"/>
        <v/>
      </c>
      <c r="BN13" s="1769" t="str">
        <f t="shared" si="5"/>
        <v/>
      </c>
      <c r="BO13" s="1769" t="str">
        <f t="shared" si="6"/>
        <v/>
      </c>
      <c r="BP13" s="1769" t="str">
        <f t="shared" si="7"/>
        <v/>
      </c>
      <c r="BQ13" s="1769" t="str">
        <f t="shared" si="8"/>
        <v/>
      </c>
      <c r="BR13" s="1769" t="str">
        <f t="shared" si="9"/>
        <v/>
      </c>
      <c r="BS13" s="1769" t="str">
        <f t="shared" si="10"/>
        <v/>
      </c>
      <c r="BT13" s="1769" t="str">
        <f t="shared" si="11"/>
        <v/>
      </c>
      <c r="BU13" s="1769" t="str">
        <f t="shared" si="12"/>
        <v/>
      </c>
      <c r="BV13" s="1769" t="str">
        <f t="shared" si="13"/>
        <v/>
      </c>
      <c r="BW13" s="1769" t="str">
        <f t="shared" si="14"/>
        <v/>
      </c>
      <c r="BX13" s="1769" t="str">
        <f t="shared" si="15"/>
        <v/>
      </c>
      <c r="BY13" s="1769" t="str">
        <f t="shared" si="16"/>
        <v/>
      </c>
      <c r="BZ13" s="1769" t="str">
        <f t="shared" si="17"/>
        <v/>
      </c>
      <c r="CA13" s="1769" t="str">
        <f t="shared" si="18"/>
        <v/>
      </c>
      <c r="CB13" s="1769" t="str">
        <f t="shared" si="19"/>
        <v/>
      </c>
      <c r="CC13" s="1769" t="str">
        <f t="shared" si="20"/>
        <v/>
      </c>
      <c r="CD13" s="1769" t="str">
        <f t="shared" si="21"/>
        <v/>
      </c>
      <c r="CE13" s="1769" t="str">
        <f t="shared" si="22"/>
        <v/>
      </c>
      <c r="CF13" s="1769" t="str">
        <f t="shared" si="23"/>
        <v/>
      </c>
      <c r="CG13" s="1769" t="str">
        <f t="shared" si="24"/>
        <v/>
      </c>
      <c r="CH13" s="1545" t="str">
        <f t="shared" si="25"/>
        <v/>
      </c>
      <c r="CI13" s="1545" t="str">
        <f t="shared" si="26"/>
        <v/>
      </c>
      <c r="CJ13" s="1545" t="str">
        <f t="shared" si="27"/>
        <v/>
      </c>
      <c r="CK13" s="1545" t="str">
        <f t="shared" si="28"/>
        <v/>
      </c>
      <c r="CL13" s="1545" t="str">
        <f t="shared" si="29"/>
        <v/>
      </c>
      <c r="CM13" s="1545" t="str">
        <f t="shared" si="30"/>
        <v/>
      </c>
      <c r="CN13" s="1545" t="str">
        <f t="shared" si="31"/>
        <v/>
      </c>
      <c r="CO13" s="1545" t="str">
        <f t="shared" si="32"/>
        <v/>
      </c>
      <c r="CP13" s="1545" t="str">
        <f t="shared" si="33"/>
        <v/>
      </c>
      <c r="CQ13" s="1545" t="str">
        <f t="shared" si="34"/>
        <v/>
      </c>
      <c r="CR13" s="1545" t="str">
        <f t="shared" si="35"/>
        <v/>
      </c>
      <c r="CS13" s="1545" t="str">
        <f t="shared" si="36"/>
        <v/>
      </c>
      <c r="CT13" s="1545" t="str">
        <f t="shared" si="37"/>
        <v/>
      </c>
      <c r="CU13" s="1545" t="str">
        <f t="shared" si="38"/>
        <v/>
      </c>
      <c r="CV13" s="1545" t="str">
        <f t="shared" si="39"/>
        <v/>
      </c>
      <c r="CW13" s="1545" t="str">
        <f t="shared" si="40"/>
        <v/>
      </c>
      <c r="CX13" s="1545" t="str">
        <f t="shared" si="41"/>
        <v/>
      </c>
      <c r="CY13" s="1545" t="str">
        <f t="shared" si="42"/>
        <v/>
      </c>
      <c r="CZ13" s="1545" t="str">
        <f t="shared" si="43"/>
        <v/>
      </c>
      <c r="DA13" s="1545" t="str">
        <f t="shared" si="44"/>
        <v/>
      </c>
      <c r="DB13" s="1545" t="str">
        <f t="shared" si="45"/>
        <v/>
      </c>
      <c r="DC13" s="1545" t="str">
        <f t="shared" si="46"/>
        <v/>
      </c>
      <c r="DD13" s="1545" t="str">
        <f t="shared" si="47"/>
        <v/>
      </c>
      <c r="DE13" s="1545" t="str">
        <f t="shared" si="48"/>
        <v/>
      </c>
      <c r="DF13" s="1545" t="str">
        <f t="shared" si="49"/>
        <v/>
      </c>
      <c r="DG13" s="1545" t="str">
        <f t="shared" si="50"/>
        <v/>
      </c>
      <c r="DH13" s="1545" t="str">
        <f t="shared" si="51"/>
        <v/>
      </c>
      <c r="DI13" s="1931" t="str">
        <f t="shared" si="52"/>
        <v/>
      </c>
      <c r="DJ13" s="1931" t="str">
        <f t="shared" si="53"/>
        <v/>
      </c>
      <c r="DK13" s="1261" t="str">
        <f t="shared" si="54"/>
        <v/>
      </c>
    </row>
    <row r="14" spans="1:115" ht="45.75">
      <c r="A14" s="2681"/>
      <c r="C14" s="1029">
        <f>+PP!B32</f>
        <v>9</v>
      </c>
      <c r="D14" s="1111" t="str">
        <f>+PP!C32</f>
        <v>ALETA PRECOCIDA ENTERA 300-UP g/pza</v>
      </c>
      <c r="E14" s="973"/>
      <c r="F14" s="619"/>
      <c r="G14" s="619"/>
      <c r="H14" s="619"/>
      <c r="I14" s="619"/>
      <c r="J14" s="619"/>
      <c r="K14" s="619"/>
      <c r="L14" s="606"/>
      <c r="M14" s="606"/>
      <c r="N14" s="606"/>
      <c r="O14" s="606"/>
      <c r="P14" s="606"/>
      <c r="Q14" s="606"/>
      <c r="R14" s="606"/>
      <c r="S14" s="606"/>
      <c r="T14" s="620"/>
      <c r="U14" s="620"/>
      <c r="V14" s="620"/>
      <c r="W14" s="620"/>
      <c r="X14" s="620"/>
      <c r="Y14" s="1099"/>
      <c r="Z14" s="1088"/>
      <c r="AA14" s="1088"/>
      <c r="AB14" s="1088"/>
      <c r="AC14" s="1088"/>
      <c r="AD14" s="1088"/>
      <c r="AE14" s="1088"/>
      <c r="AF14" s="1088"/>
      <c r="AG14" s="1088"/>
      <c r="AH14" s="1088"/>
      <c r="AI14" s="1088"/>
      <c r="AJ14" s="1088"/>
      <c r="AK14" s="1088"/>
      <c r="AL14" s="1088"/>
      <c r="AM14" s="1088"/>
      <c r="AN14" s="1088"/>
      <c r="AO14" s="1088"/>
      <c r="AP14" s="1088"/>
      <c r="AQ14" s="1088"/>
      <c r="AR14" s="1088"/>
      <c r="AS14" s="1088"/>
      <c r="AT14" s="1088"/>
      <c r="AU14" s="1088"/>
      <c r="AV14" s="620"/>
      <c r="AW14" s="620"/>
      <c r="AX14" s="620"/>
      <c r="AY14" s="620"/>
      <c r="AZ14" s="620"/>
      <c r="BA14" s="620"/>
      <c r="BB14" s="620"/>
      <c r="BC14" s="984">
        <f t="shared" si="0"/>
        <v>0</v>
      </c>
      <c r="BD14" s="985">
        <f t="shared" si="1"/>
        <v>0</v>
      </c>
      <c r="BE14" s="990">
        <f t="shared" si="2"/>
        <v>0</v>
      </c>
      <c r="BG14" s="888"/>
      <c r="BI14" s="1202"/>
      <c r="BK14" s="1258" t="str">
        <f>IFERROR(INDEX($C$6:$C$53,_xlfn.AGGREGATE(15,6,(ROW($C$6:$C$53)-ROW($C$6)+1)/($BC$6:$BC$53&gt;0),ROWS($BK$6:BK14))),"")</f>
        <v/>
      </c>
      <c r="BL14" s="1259" t="str">
        <f t="shared" si="3"/>
        <v/>
      </c>
      <c r="BM14" s="1769" t="str">
        <f t="shared" si="4"/>
        <v/>
      </c>
      <c r="BN14" s="1769" t="str">
        <f t="shared" si="5"/>
        <v/>
      </c>
      <c r="BO14" s="1769" t="str">
        <f t="shared" si="6"/>
        <v/>
      </c>
      <c r="BP14" s="1769" t="str">
        <f t="shared" si="7"/>
        <v/>
      </c>
      <c r="BQ14" s="1769" t="str">
        <f t="shared" si="8"/>
        <v/>
      </c>
      <c r="BR14" s="1769" t="str">
        <f t="shared" si="9"/>
        <v/>
      </c>
      <c r="BS14" s="1769" t="str">
        <f t="shared" si="10"/>
        <v/>
      </c>
      <c r="BT14" s="1769" t="str">
        <f t="shared" si="11"/>
        <v/>
      </c>
      <c r="BU14" s="1769" t="str">
        <f t="shared" si="12"/>
        <v/>
      </c>
      <c r="BV14" s="1769" t="str">
        <f t="shared" si="13"/>
        <v/>
      </c>
      <c r="BW14" s="1769" t="str">
        <f t="shared" si="14"/>
        <v/>
      </c>
      <c r="BX14" s="1769" t="str">
        <f t="shared" si="15"/>
        <v/>
      </c>
      <c r="BY14" s="1769" t="str">
        <f t="shared" si="16"/>
        <v/>
      </c>
      <c r="BZ14" s="1769" t="str">
        <f t="shared" si="17"/>
        <v/>
      </c>
      <c r="CA14" s="1769" t="str">
        <f t="shared" si="18"/>
        <v/>
      </c>
      <c r="CB14" s="1769" t="str">
        <f t="shared" si="19"/>
        <v/>
      </c>
      <c r="CC14" s="1769" t="str">
        <f t="shared" si="20"/>
        <v/>
      </c>
      <c r="CD14" s="1769" t="str">
        <f t="shared" si="21"/>
        <v/>
      </c>
      <c r="CE14" s="1769" t="str">
        <f t="shared" si="22"/>
        <v/>
      </c>
      <c r="CF14" s="1769" t="str">
        <f t="shared" si="23"/>
        <v/>
      </c>
      <c r="CG14" s="1769" t="str">
        <f t="shared" si="24"/>
        <v/>
      </c>
      <c r="CH14" s="1545" t="str">
        <f t="shared" si="25"/>
        <v/>
      </c>
      <c r="CI14" s="1545" t="str">
        <f t="shared" si="26"/>
        <v/>
      </c>
      <c r="CJ14" s="1545" t="str">
        <f t="shared" si="27"/>
        <v/>
      </c>
      <c r="CK14" s="1545" t="str">
        <f t="shared" si="28"/>
        <v/>
      </c>
      <c r="CL14" s="1545" t="str">
        <f t="shared" si="29"/>
        <v/>
      </c>
      <c r="CM14" s="1545" t="str">
        <f t="shared" si="30"/>
        <v/>
      </c>
      <c r="CN14" s="1545" t="str">
        <f t="shared" si="31"/>
        <v/>
      </c>
      <c r="CO14" s="1545" t="str">
        <f t="shared" si="32"/>
        <v/>
      </c>
      <c r="CP14" s="1545" t="str">
        <f t="shared" si="33"/>
        <v/>
      </c>
      <c r="CQ14" s="1545" t="str">
        <f t="shared" si="34"/>
        <v/>
      </c>
      <c r="CR14" s="1545" t="str">
        <f t="shared" si="35"/>
        <v/>
      </c>
      <c r="CS14" s="1545" t="str">
        <f t="shared" si="36"/>
        <v/>
      </c>
      <c r="CT14" s="1545" t="str">
        <f t="shared" si="37"/>
        <v/>
      </c>
      <c r="CU14" s="1545" t="str">
        <f t="shared" si="38"/>
        <v/>
      </c>
      <c r="CV14" s="1545" t="str">
        <f t="shared" si="39"/>
        <v/>
      </c>
      <c r="CW14" s="1545" t="str">
        <f t="shared" si="40"/>
        <v/>
      </c>
      <c r="CX14" s="1545" t="str">
        <f t="shared" si="41"/>
        <v/>
      </c>
      <c r="CY14" s="1545" t="str">
        <f t="shared" si="42"/>
        <v/>
      </c>
      <c r="CZ14" s="1545" t="str">
        <f t="shared" si="43"/>
        <v/>
      </c>
      <c r="DA14" s="1545" t="str">
        <f t="shared" si="44"/>
        <v/>
      </c>
      <c r="DB14" s="1545" t="str">
        <f t="shared" si="45"/>
        <v/>
      </c>
      <c r="DC14" s="1545" t="str">
        <f t="shared" si="46"/>
        <v/>
      </c>
      <c r="DD14" s="1545" t="str">
        <f t="shared" si="47"/>
        <v/>
      </c>
      <c r="DE14" s="1545" t="str">
        <f t="shared" si="48"/>
        <v/>
      </c>
      <c r="DF14" s="1545" t="str">
        <f t="shared" si="49"/>
        <v/>
      </c>
      <c r="DG14" s="1545" t="str">
        <f t="shared" si="50"/>
        <v/>
      </c>
      <c r="DH14" s="1545" t="str">
        <f t="shared" si="51"/>
        <v/>
      </c>
      <c r="DI14" s="1931" t="str">
        <f t="shared" si="52"/>
        <v/>
      </c>
      <c r="DJ14" s="1931" t="str">
        <f t="shared" si="53"/>
        <v/>
      </c>
      <c r="DK14" s="1261" t="str">
        <f t="shared" si="54"/>
        <v/>
      </c>
    </row>
    <row r="15" spans="1:115" ht="46.5" thickBot="1">
      <c r="A15" s="2681"/>
      <c r="C15" s="1029">
        <f>+PP!B33</f>
        <v>10</v>
      </c>
      <c r="D15" s="1112" t="str">
        <f>+PP!C33</f>
        <v>ALETA PRECOCIDA PARTIDA 300-UP g/pza</v>
      </c>
      <c r="E15" s="975"/>
      <c r="F15" s="623"/>
      <c r="G15" s="623"/>
      <c r="H15" s="623"/>
      <c r="I15" s="623"/>
      <c r="J15" s="623"/>
      <c r="K15" s="623"/>
      <c r="L15" s="605"/>
      <c r="M15" s="605"/>
      <c r="N15" s="605"/>
      <c r="O15" s="605"/>
      <c r="P15" s="605"/>
      <c r="Q15" s="605"/>
      <c r="R15" s="605"/>
      <c r="S15" s="605"/>
      <c r="T15" s="617"/>
      <c r="U15" s="617"/>
      <c r="V15" s="617"/>
      <c r="W15" s="617"/>
      <c r="X15" s="617"/>
      <c r="Y15" s="1100"/>
      <c r="Z15" s="1089"/>
      <c r="AA15" s="1089"/>
      <c r="AB15" s="1089"/>
      <c r="AC15" s="1089"/>
      <c r="AD15" s="1089"/>
      <c r="AE15" s="1089"/>
      <c r="AF15" s="1089"/>
      <c r="AG15" s="1089"/>
      <c r="AH15" s="1089"/>
      <c r="AI15" s="1089"/>
      <c r="AJ15" s="1089"/>
      <c r="AK15" s="1089"/>
      <c r="AL15" s="1089"/>
      <c r="AM15" s="1089"/>
      <c r="AN15" s="1089"/>
      <c r="AO15" s="1089"/>
      <c r="AP15" s="1089"/>
      <c r="AQ15" s="1089"/>
      <c r="AR15" s="1089"/>
      <c r="AS15" s="1089"/>
      <c r="AT15" s="1089"/>
      <c r="AU15" s="1089"/>
      <c r="AV15" s="617"/>
      <c r="AW15" s="617"/>
      <c r="AX15" s="617"/>
      <c r="AY15" s="617"/>
      <c r="AZ15" s="617"/>
      <c r="BA15" s="617"/>
      <c r="BB15" s="617"/>
      <c r="BC15" s="992">
        <f t="shared" si="0"/>
        <v>0</v>
      </c>
      <c r="BD15" s="993">
        <f t="shared" si="1"/>
        <v>0</v>
      </c>
      <c r="BE15" s="887">
        <f t="shared" si="2"/>
        <v>0</v>
      </c>
      <c r="BK15" s="1258" t="str">
        <f>IFERROR(INDEX($C$6:$C$53,_xlfn.AGGREGATE(15,6,(ROW($C$6:$C$53)-ROW($C$6)+1)/($BC$6:$BC$53&gt;0),ROWS($BK$6:BK15))),"")</f>
        <v/>
      </c>
      <c r="BL15" s="1259" t="str">
        <f t="shared" si="3"/>
        <v/>
      </c>
      <c r="BM15" s="1769" t="str">
        <f t="shared" si="4"/>
        <v/>
      </c>
      <c r="BN15" s="1769" t="str">
        <f t="shared" si="5"/>
        <v/>
      </c>
      <c r="BO15" s="1769" t="str">
        <f t="shared" si="6"/>
        <v/>
      </c>
      <c r="BP15" s="1769" t="str">
        <f t="shared" si="7"/>
        <v/>
      </c>
      <c r="BQ15" s="1769" t="str">
        <f t="shared" si="8"/>
        <v/>
      </c>
      <c r="BR15" s="1769" t="str">
        <f t="shared" si="9"/>
        <v/>
      </c>
      <c r="BS15" s="1769" t="str">
        <f t="shared" si="10"/>
        <v/>
      </c>
      <c r="BT15" s="1769" t="str">
        <f t="shared" si="11"/>
        <v/>
      </c>
      <c r="BU15" s="1769" t="str">
        <f t="shared" si="12"/>
        <v/>
      </c>
      <c r="BV15" s="1769" t="str">
        <f t="shared" si="13"/>
        <v/>
      </c>
      <c r="BW15" s="1769" t="str">
        <f t="shared" si="14"/>
        <v/>
      </c>
      <c r="BX15" s="1769" t="str">
        <f t="shared" si="15"/>
        <v/>
      </c>
      <c r="BY15" s="1769" t="str">
        <f t="shared" si="16"/>
        <v/>
      </c>
      <c r="BZ15" s="1769" t="str">
        <f t="shared" si="17"/>
        <v/>
      </c>
      <c r="CA15" s="1769" t="str">
        <f t="shared" si="18"/>
        <v/>
      </c>
      <c r="CB15" s="1769" t="str">
        <f t="shared" si="19"/>
        <v/>
      </c>
      <c r="CC15" s="1769" t="str">
        <f t="shared" si="20"/>
        <v/>
      </c>
      <c r="CD15" s="1769" t="str">
        <f t="shared" si="21"/>
        <v/>
      </c>
      <c r="CE15" s="1769" t="str">
        <f t="shared" si="22"/>
        <v/>
      </c>
      <c r="CF15" s="1769" t="str">
        <f t="shared" si="23"/>
        <v/>
      </c>
      <c r="CG15" s="1769" t="str">
        <f t="shared" si="24"/>
        <v/>
      </c>
      <c r="CH15" s="1545" t="str">
        <f t="shared" si="25"/>
        <v/>
      </c>
      <c r="CI15" s="1545" t="str">
        <f t="shared" si="26"/>
        <v/>
      </c>
      <c r="CJ15" s="1545" t="str">
        <f t="shared" si="27"/>
        <v/>
      </c>
      <c r="CK15" s="1545" t="str">
        <f t="shared" si="28"/>
        <v/>
      </c>
      <c r="CL15" s="1545" t="str">
        <f t="shared" si="29"/>
        <v/>
      </c>
      <c r="CM15" s="1545" t="str">
        <f t="shared" si="30"/>
        <v/>
      </c>
      <c r="CN15" s="1545" t="str">
        <f t="shared" si="31"/>
        <v/>
      </c>
      <c r="CO15" s="1545" t="str">
        <f t="shared" si="32"/>
        <v/>
      </c>
      <c r="CP15" s="1545" t="str">
        <f t="shared" si="33"/>
        <v/>
      </c>
      <c r="CQ15" s="1545" t="str">
        <f t="shared" si="34"/>
        <v/>
      </c>
      <c r="CR15" s="1545" t="str">
        <f t="shared" si="35"/>
        <v/>
      </c>
      <c r="CS15" s="1545" t="str">
        <f t="shared" si="36"/>
        <v/>
      </c>
      <c r="CT15" s="1545" t="str">
        <f t="shared" si="37"/>
        <v/>
      </c>
      <c r="CU15" s="1545" t="str">
        <f t="shared" si="38"/>
        <v/>
      </c>
      <c r="CV15" s="1545" t="str">
        <f t="shared" si="39"/>
        <v/>
      </c>
      <c r="CW15" s="1545" t="str">
        <f t="shared" si="40"/>
        <v/>
      </c>
      <c r="CX15" s="1545" t="str">
        <f t="shared" si="41"/>
        <v/>
      </c>
      <c r="CY15" s="1545" t="str">
        <f t="shared" si="42"/>
        <v/>
      </c>
      <c r="CZ15" s="1545" t="str">
        <f t="shared" si="43"/>
        <v/>
      </c>
      <c r="DA15" s="1545" t="str">
        <f t="shared" si="44"/>
        <v/>
      </c>
      <c r="DB15" s="1545" t="str">
        <f t="shared" si="45"/>
        <v/>
      </c>
      <c r="DC15" s="1545" t="str">
        <f t="shared" si="46"/>
        <v/>
      </c>
      <c r="DD15" s="1545" t="str">
        <f t="shared" si="47"/>
        <v/>
      </c>
      <c r="DE15" s="1545" t="str">
        <f t="shared" si="48"/>
        <v/>
      </c>
      <c r="DF15" s="1545" t="str">
        <f t="shared" si="49"/>
        <v/>
      </c>
      <c r="DG15" s="1545" t="str">
        <f t="shared" si="50"/>
        <v/>
      </c>
      <c r="DH15" s="1545" t="str">
        <f t="shared" si="51"/>
        <v/>
      </c>
      <c r="DI15" s="1931" t="str">
        <f t="shared" si="52"/>
        <v/>
      </c>
      <c r="DJ15" s="1931" t="str">
        <f t="shared" si="53"/>
        <v/>
      </c>
      <c r="DK15" s="1261" t="str">
        <f t="shared" si="54"/>
        <v/>
      </c>
    </row>
    <row r="16" spans="1:115" ht="45.75">
      <c r="A16" s="2681"/>
      <c r="C16" s="1029">
        <f>+PP!B34</f>
        <v>11</v>
      </c>
      <c r="D16" s="1110" t="str">
        <f>+PP!C34</f>
        <v>BOTON BLANCO SM ST</v>
      </c>
      <c r="E16" s="970"/>
      <c r="F16" s="613"/>
      <c r="G16" s="613"/>
      <c r="H16" s="613"/>
      <c r="I16" s="613"/>
      <c r="J16" s="613"/>
      <c r="K16" s="613"/>
      <c r="L16" s="613"/>
      <c r="M16" s="613"/>
      <c r="N16" s="613"/>
      <c r="O16" s="613"/>
      <c r="P16" s="613"/>
      <c r="Q16" s="628"/>
      <c r="R16" s="628"/>
      <c r="S16" s="614"/>
      <c r="T16" s="614"/>
      <c r="U16" s="614"/>
      <c r="V16" s="614"/>
      <c r="W16" s="614"/>
      <c r="X16" s="614"/>
      <c r="Y16" s="1101"/>
      <c r="Z16" s="1087"/>
      <c r="AA16" s="1087"/>
      <c r="AB16" s="1087"/>
      <c r="AC16" s="1087"/>
      <c r="AD16" s="1087"/>
      <c r="AE16" s="1087"/>
      <c r="AF16" s="1087"/>
      <c r="AG16" s="1087"/>
      <c r="AH16" s="1087"/>
      <c r="AI16" s="1087"/>
      <c r="AJ16" s="1087"/>
      <c r="AK16" s="1087"/>
      <c r="AL16" s="1087"/>
      <c r="AM16" s="1087"/>
      <c r="AN16" s="1087"/>
      <c r="AO16" s="1087"/>
      <c r="AP16" s="1087"/>
      <c r="AQ16" s="1087"/>
      <c r="AR16" s="1087"/>
      <c r="AS16" s="1087"/>
      <c r="AT16" s="1087"/>
      <c r="AU16" s="1087"/>
      <c r="AV16" s="614"/>
      <c r="AW16" s="614"/>
      <c r="AX16" s="614"/>
      <c r="AY16" s="614"/>
      <c r="AZ16" s="614"/>
      <c r="BA16" s="614"/>
      <c r="BB16" s="614"/>
      <c r="BC16" s="988">
        <f t="shared" si="0"/>
        <v>0</v>
      </c>
      <c r="BD16" s="989">
        <f t="shared" si="1"/>
        <v>0</v>
      </c>
      <c r="BE16" s="886">
        <f t="shared" si="2"/>
        <v>0</v>
      </c>
      <c r="BK16" s="1258" t="str">
        <f>IFERROR(INDEX($C$6:$C$53,_xlfn.AGGREGATE(15,6,(ROW($C$6:$C$53)-ROW($C$6)+1)/($BC$6:$BC$53&gt;0),ROWS($BK$6:BK16))),"")</f>
        <v/>
      </c>
      <c r="BL16" s="1259" t="str">
        <f t="shared" si="3"/>
        <v/>
      </c>
      <c r="BM16" s="1769" t="str">
        <f t="shared" si="4"/>
        <v/>
      </c>
      <c r="BN16" s="1769" t="str">
        <f t="shared" si="5"/>
        <v/>
      </c>
      <c r="BO16" s="1769" t="str">
        <f t="shared" si="6"/>
        <v/>
      </c>
      <c r="BP16" s="1769" t="str">
        <f t="shared" si="7"/>
        <v/>
      </c>
      <c r="BQ16" s="1769" t="str">
        <f t="shared" si="8"/>
        <v/>
      </c>
      <c r="BR16" s="1769" t="str">
        <f t="shared" si="9"/>
        <v/>
      </c>
      <c r="BS16" s="1769" t="str">
        <f t="shared" si="10"/>
        <v/>
      </c>
      <c r="BT16" s="1769" t="str">
        <f t="shared" si="11"/>
        <v/>
      </c>
      <c r="BU16" s="1769" t="str">
        <f t="shared" si="12"/>
        <v/>
      </c>
      <c r="BV16" s="1769" t="str">
        <f t="shared" si="13"/>
        <v/>
      </c>
      <c r="BW16" s="1769" t="str">
        <f t="shared" si="14"/>
        <v/>
      </c>
      <c r="BX16" s="1769" t="str">
        <f t="shared" si="15"/>
        <v/>
      </c>
      <c r="BY16" s="1769" t="str">
        <f t="shared" si="16"/>
        <v/>
      </c>
      <c r="BZ16" s="1769" t="str">
        <f t="shared" si="17"/>
        <v/>
      </c>
      <c r="CA16" s="1769" t="str">
        <f t="shared" si="18"/>
        <v/>
      </c>
      <c r="CB16" s="1769" t="str">
        <f t="shared" si="19"/>
        <v/>
      </c>
      <c r="CC16" s="1769" t="str">
        <f t="shared" si="20"/>
        <v/>
      </c>
      <c r="CD16" s="1769" t="str">
        <f t="shared" si="21"/>
        <v/>
      </c>
      <c r="CE16" s="1769" t="str">
        <f t="shared" si="22"/>
        <v/>
      </c>
      <c r="CF16" s="1769" t="str">
        <f t="shared" si="23"/>
        <v/>
      </c>
      <c r="CG16" s="1769" t="str">
        <f t="shared" si="24"/>
        <v/>
      </c>
      <c r="CH16" s="1545" t="str">
        <f t="shared" si="25"/>
        <v/>
      </c>
      <c r="CI16" s="1545" t="str">
        <f t="shared" si="26"/>
        <v/>
      </c>
      <c r="CJ16" s="1545" t="str">
        <f t="shared" si="27"/>
        <v/>
      </c>
      <c r="CK16" s="1545" t="str">
        <f t="shared" si="28"/>
        <v/>
      </c>
      <c r="CL16" s="1545" t="str">
        <f t="shared" si="29"/>
        <v/>
      </c>
      <c r="CM16" s="1545" t="str">
        <f t="shared" si="30"/>
        <v/>
      </c>
      <c r="CN16" s="1545" t="str">
        <f t="shared" si="31"/>
        <v/>
      </c>
      <c r="CO16" s="1545" t="str">
        <f t="shared" si="32"/>
        <v/>
      </c>
      <c r="CP16" s="1545" t="str">
        <f t="shared" si="33"/>
        <v/>
      </c>
      <c r="CQ16" s="1545" t="str">
        <f t="shared" si="34"/>
        <v/>
      </c>
      <c r="CR16" s="1545" t="str">
        <f t="shared" si="35"/>
        <v/>
      </c>
      <c r="CS16" s="1545" t="str">
        <f t="shared" si="36"/>
        <v/>
      </c>
      <c r="CT16" s="1545" t="str">
        <f t="shared" si="37"/>
        <v/>
      </c>
      <c r="CU16" s="1545" t="str">
        <f t="shared" si="38"/>
        <v/>
      </c>
      <c r="CV16" s="1545" t="str">
        <f t="shared" si="39"/>
        <v/>
      </c>
      <c r="CW16" s="1545" t="str">
        <f t="shared" si="40"/>
        <v/>
      </c>
      <c r="CX16" s="1545" t="str">
        <f t="shared" si="41"/>
        <v/>
      </c>
      <c r="CY16" s="1545" t="str">
        <f t="shared" si="42"/>
        <v/>
      </c>
      <c r="CZ16" s="1545" t="str">
        <f t="shared" si="43"/>
        <v/>
      </c>
      <c r="DA16" s="1545" t="str">
        <f t="shared" si="44"/>
        <v/>
      </c>
      <c r="DB16" s="1545" t="str">
        <f t="shared" si="45"/>
        <v/>
      </c>
      <c r="DC16" s="1545" t="str">
        <f t="shared" si="46"/>
        <v/>
      </c>
      <c r="DD16" s="1545" t="str">
        <f t="shared" si="47"/>
        <v/>
      </c>
      <c r="DE16" s="1545" t="str">
        <f t="shared" si="48"/>
        <v/>
      </c>
      <c r="DF16" s="1545" t="str">
        <f t="shared" si="49"/>
        <v/>
      </c>
      <c r="DG16" s="1545" t="str">
        <f t="shared" si="50"/>
        <v/>
      </c>
      <c r="DH16" s="1545" t="str">
        <f t="shared" si="51"/>
        <v/>
      </c>
      <c r="DI16" s="1931" t="str">
        <f t="shared" si="52"/>
        <v/>
      </c>
      <c r="DJ16" s="1931" t="str">
        <f t="shared" si="53"/>
        <v/>
      </c>
      <c r="DK16" s="1261" t="str">
        <f t="shared" si="54"/>
        <v/>
      </c>
    </row>
    <row r="17" spans="1:115" ht="46.5" thickBot="1">
      <c r="A17" s="2681"/>
      <c r="C17" s="1029">
        <f>+PP!B35</f>
        <v>12</v>
      </c>
      <c r="D17" s="1112" t="str">
        <f>+PP!C35</f>
        <v>BOTON AMARILLO SM ST</v>
      </c>
      <c r="E17" s="971"/>
      <c r="F17" s="616"/>
      <c r="G17" s="616"/>
      <c r="H17" s="616"/>
      <c r="I17" s="616"/>
      <c r="J17" s="616"/>
      <c r="K17" s="616"/>
      <c r="L17" s="616"/>
      <c r="M17" s="616"/>
      <c r="N17" s="616"/>
      <c r="O17" s="616"/>
      <c r="P17" s="616"/>
      <c r="Q17" s="616"/>
      <c r="R17" s="616"/>
      <c r="S17" s="617"/>
      <c r="T17" s="617"/>
      <c r="U17" s="617"/>
      <c r="V17" s="617"/>
      <c r="W17" s="617"/>
      <c r="X17" s="617"/>
      <c r="Y17" s="1100"/>
      <c r="Z17" s="1089"/>
      <c r="AA17" s="1089"/>
      <c r="AB17" s="1089"/>
      <c r="AC17" s="1089"/>
      <c r="AD17" s="1089"/>
      <c r="AE17" s="1089"/>
      <c r="AF17" s="1089"/>
      <c r="AG17" s="1089"/>
      <c r="AH17" s="1089"/>
      <c r="AI17" s="1089"/>
      <c r="AJ17" s="1089"/>
      <c r="AK17" s="1089"/>
      <c r="AL17" s="1089"/>
      <c r="AM17" s="1089"/>
      <c r="AN17" s="1089"/>
      <c r="AO17" s="1089"/>
      <c r="AP17" s="1089"/>
      <c r="AQ17" s="1089"/>
      <c r="AR17" s="1089"/>
      <c r="AS17" s="1089"/>
      <c r="AT17" s="1089"/>
      <c r="AU17" s="1089"/>
      <c r="AV17" s="617"/>
      <c r="AW17" s="617"/>
      <c r="AX17" s="617"/>
      <c r="AY17" s="617"/>
      <c r="AZ17" s="617"/>
      <c r="BA17" s="617"/>
      <c r="BB17" s="617"/>
      <c r="BC17" s="992">
        <f t="shared" si="0"/>
        <v>0</v>
      </c>
      <c r="BD17" s="993">
        <f t="shared" si="1"/>
        <v>0</v>
      </c>
      <c r="BE17" s="887">
        <f t="shared" si="2"/>
        <v>0</v>
      </c>
      <c r="BK17" s="1258" t="str">
        <f>IFERROR(INDEX($C$6:$C$53,_xlfn.AGGREGATE(15,6,(ROW($C$6:$C$53)-ROW($C$6)+1)/($BC$6:$BC$53&gt;0),ROWS($BK$6:BK17))),"")</f>
        <v/>
      </c>
      <c r="BL17" s="1259" t="str">
        <f t="shared" si="3"/>
        <v/>
      </c>
      <c r="BM17" s="1769" t="str">
        <f t="shared" si="4"/>
        <v/>
      </c>
      <c r="BN17" s="1769" t="str">
        <f t="shared" si="5"/>
        <v/>
      </c>
      <c r="BO17" s="1769" t="str">
        <f t="shared" si="6"/>
        <v/>
      </c>
      <c r="BP17" s="1769" t="str">
        <f t="shared" si="7"/>
        <v/>
      </c>
      <c r="BQ17" s="1769" t="str">
        <f t="shared" si="8"/>
        <v/>
      </c>
      <c r="BR17" s="1769" t="str">
        <f t="shared" si="9"/>
        <v/>
      </c>
      <c r="BS17" s="1769" t="str">
        <f t="shared" si="10"/>
        <v/>
      </c>
      <c r="BT17" s="1769" t="str">
        <f t="shared" si="11"/>
        <v/>
      </c>
      <c r="BU17" s="1769" t="str">
        <f t="shared" si="12"/>
        <v/>
      </c>
      <c r="BV17" s="1769" t="str">
        <f t="shared" si="13"/>
        <v/>
      </c>
      <c r="BW17" s="1769" t="str">
        <f t="shared" si="14"/>
        <v/>
      </c>
      <c r="BX17" s="1769" t="str">
        <f t="shared" si="15"/>
        <v/>
      </c>
      <c r="BY17" s="1769" t="str">
        <f t="shared" si="16"/>
        <v/>
      </c>
      <c r="BZ17" s="1769" t="str">
        <f t="shared" si="17"/>
        <v/>
      </c>
      <c r="CA17" s="1769" t="str">
        <f t="shared" si="18"/>
        <v/>
      </c>
      <c r="CB17" s="1769" t="str">
        <f t="shared" si="19"/>
        <v/>
      </c>
      <c r="CC17" s="1769" t="str">
        <f t="shared" si="20"/>
        <v/>
      </c>
      <c r="CD17" s="1769" t="str">
        <f t="shared" si="21"/>
        <v/>
      </c>
      <c r="CE17" s="1769" t="str">
        <f t="shared" si="22"/>
        <v/>
      </c>
      <c r="CF17" s="1769" t="str">
        <f t="shared" si="23"/>
        <v/>
      </c>
      <c r="CG17" s="1769" t="str">
        <f t="shared" si="24"/>
        <v/>
      </c>
      <c r="CH17" s="1545" t="str">
        <f t="shared" si="25"/>
        <v/>
      </c>
      <c r="CI17" s="1545" t="str">
        <f t="shared" si="26"/>
        <v/>
      </c>
      <c r="CJ17" s="1545" t="str">
        <f t="shared" si="27"/>
        <v/>
      </c>
      <c r="CK17" s="1545" t="str">
        <f t="shared" si="28"/>
        <v/>
      </c>
      <c r="CL17" s="1545" t="str">
        <f t="shared" si="29"/>
        <v/>
      </c>
      <c r="CM17" s="1545" t="str">
        <f t="shared" si="30"/>
        <v/>
      </c>
      <c r="CN17" s="1545" t="str">
        <f t="shared" si="31"/>
        <v/>
      </c>
      <c r="CO17" s="1545" t="str">
        <f t="shared" si="32"/>
        <v/>
      </c>
      <c r="CP17" s="1545" t="str">
        <f t="shared" si="33"/>
        <v/>
      </c>
      <c r="CQ17" s="1545" t="str">
        <f t="shared" si="34"/>
        <v/>
      </c>
      <c r="CR17" s="1545" t="str">
        <f t="shared" si="35"/>
        <v/>
      </c>
      <c r="CS17" s="1545" t="str">
        <f t="shared" si="36"/>
        <v/>
      </c>
      <c r="CT17" s="1545" t="str">
        <f t="shared" si="37"/>
        <v/>
      </c>
      <c r="CU17" s="1545" t="str">
        <f t="shared" si="38"/>
        <v/>
      </c>
      <c r="CV17" s="1545" t="str">
        <f t="shared" si="39"/>
        <v/>
      </c>
      <c r="CW17" s="1545" t="str">
        <f t="shared" si="40"/>
        <v/>
      </c>
      <c r="CX17" s="1545" t="str">
        <f t="shared" si="41"/>
        <v/>
      </c>
      <c r="CY17" s="1545" t="str">
        <f t="shared" si="42"/>
        <v/>
      </c>
      <c r="CZ17" s="1545" t="str">
        <f t="shared" si="43"/>
        <v/>
      </c>
      <c r="DA17" s="1545" t="str">
        <f t="shared" si="44"/>
        <v/>
      </c>
      <c r="DB17" s="1545" t="str">
        <f t="shared" si="45"/>
        <v/>
      </c>
      <c r="DC17" s="1545" t="str">
        <f t="shared" si="46"/>
        <v/>
      </c>
      <c r="DD17" s="1545" t="str">
        <f t="shared" si="47"/>
        <v/>
      </c>
      <c r="DE17" s="1545" t="str">
        <f t="shared" si="48"/>
        <v/>
      </c>
      <c r="DF17" s="1545" t="str">
        <f t="shared" si="49"/>
        <v/>
      </c>
      <c r="DG17" s="1545" t="str">
        <f t="shared" si="50"/>
        <v/>
      </c>
      <c r="DH17" s="1545" t="str">
        <f t="shared" si="51"/>
        <v/>
      </c>
      <c r="DI17" s="1931" t="str">
        <f t="shared" si="52"/>
        <v/>
      </c>
      <c r="DJ17" s="1931" t="str">
        <f t="shared" si="53"/>
        <v/>
      </c>
      <c r="DK17" s="1261" t="str">
        <f t="shared" si="54"/>
        <v/>
      </c>
    </row>
    <row r="18" spans="1:115" ht="46.5" thickBot="1">
      <c r="A18" s="2681"/>
      <c r="C18" s="1029">
        <f>+PP!B36</f>
        <v>13</v>
      </c>
      <c r="D18" s="1113" t="str">
        <f>+PP!C36</f>
        <v>CONOS DE POTA</v>
      </c>
      <c r="E18" s="976"/>
      <c r="F18" s="624"/>
      <c r="G18" s="624"/>
      <c r="H18" s="624"/>
      <c r="I18" s="624"/>
      <c r="J18" s="624"/>
      <c r="K18" s="624"/>
      <c r="L18" s="624"/>
      <c r="M18" s="624"/>
      <c r="N18" s="624"/>
      <c r="O18" s="624"/>
      <c r="P18" s="624"/>
      <c r="Q18" s="625"/>
      <c r="R18" s="625"/>
      <c r="S18" s="626"/>
      <c r="T18" s="626"/>
      <c r="U18" s="626"/>
      <c r="V18" s="626"/>
      <c r="W18" s="626"/>
      <c r="X18" s="626"/>
      <c r="Y18" s="1102"/>
      <c r="Z18" s="1090"/>
      <c r="AA18" s="1090"/>
      <c r="AB18" s="1090"/>
      <c r="AC18" s="1090"/>
      <c r="AD18" s="1090"/>
      <c r="AE18" s="1090"/>
      <c r="AF18" s="1090"/>
      <c r="AG18" s="1090"/>
      <c r="AH18" s="1090"/>
      <c r="AI18" s="1090"/>
      <c r="AJ18" s="1090"/>
      <c r="AK18" s="1090"/>
      <c r="AL18" s="1090"/>
      <c r="AM18" s="1090"/>
      <c r="AN18" s="1090"/>
      <c r="AO18" s="1090"/>
      <c r="AP18" s="1090"/>
      <c r="AQ18" s="1090"/>
      <c r="AR18" s="1090"/>
      <c r="AS18" s="1090"/>
      <c r="AT18" s="1090"/>
      <c r="AU18" s="1090"/>
      <c r="AV18" s="626"/>
      <c r="AW18" s="626"/>
      <c r="AX18" s="626"/>
      <c r="AY18" s="626"/>
      <c r="AZ18" s="626"/>
      <c r="BA18" s="626"/>
      <c r="BB18" s="626"/>
      <c r="BC18" s="994">
        <f t="shared" si="0"/>
        <v>0</v>
      </c>
      <c r="BD18" s="995">
        <f t="shared" si="1"/>
        <v>0</v>
      </c>
      <c r="BE18" s="996">
        <f t="shared" si="2"/>
        <v>0</v>
      </c>
      <c r="BK18" s="1258" t="str">
        <f>IFERROR(INDEX($C$6:$C$53,_xlfn.AGGREGATE(15,6,(ROW($C$6:$C$53)-ROW($C$6)+1)/($BC$6:$BC$53&gt;0),ROWS($BK$6:BK18))),"")</f>
        <v/>
      </c>
      <c r="BL18" s="1259" t="str">
        <f t="shared" si="3"/>
        <v/>
      </c>
      <c r="BM18" s="1769" t="str">
        <f t="shared" si="4"/>
        <v/>
      </c>
      <c r="BN18" s="1769" t="str">
        <f t="shared" si="5"/>
        <v/>
      </c>
      <c r="BO18" s="1769" t="str">
        <f t="shared" si="6"/>
        <v/>
      </c>
      <c r="BP18" s="1769" t="str">
        <f t="shared" si="7"/>
        <v/>
      </c>
      <c r="BQ18" s="1769" t="str">
        <f t="shared" si="8"/>
        <v/>
      </c>
      <c r="BR18" s="1769" t="str">
        <f t="shared" si="9"/>
        <v/>
      </c>
      <c r="BS18" s="1769" t="str">
        <f t="shared" si="10"/>
        <v/>
      </c>
      <c r="BT18" s="1769" t="str">
        <f t="shared" si="11"/>
        <v/>
      </c>
      <c r="BU18" s="1769" t="str">
        <f t="shared" si="12"/>
        <v/>
      </c>
      <c r="BV18" s="1769" t="str">
        <f t="shared" si="13"/>
        <v/>
      </c>
      <c r="BW18" s="1769" t="str">
        <f t="shared" si="14"/>
        <v/>
      </c>
      <c r="BX18" s="1769" t="str">
        <f t="shared" si="15"/>
        <v/>
      </c>
      <c r="BY18" s="1769" t="str">
        <f t="shared" si="16"/>
        <v/>
      </c>
      <c r="BZ18" s="1769" t="str">
        <f t="shared" si="17"/>
        <v/>
      </c>
      <c r="CA18" s="1769" t="str">
        <f t="shared" si="18"/>
        <v/>
      </c>
      <c r="CB18" s="1769" t="str">
        <f t="shared" si="19"/>
        <v/>
      </c>
      <c r="CC18" s="1769" t="str">
        <f t="shared" si="20"/>
        <v/>
      </c>
      <c r="CD18" s="1769" t="str">
        <f t="shared" si="21"/>
        <v/>
      </c>
      <c r="CE18" s="1769" t="str">
        <f t="shared" si="22"/>
        <v/>
      </c>
      <c r="CF18" s="1769" t="str">
        <f t="shared" si="23"/>
        <v/>
      </c>
      <c r="CG18" s="1769" t="str">
        <f t="shared" si="24"/>
        <v/>
      </c>
      <c r="CH18" s="1545" t="str">
        <f t="shared" si="25"/>
        <v/>
      </c>
      <c r="CI18" s="1545" t="str">
        <f t="shared" si="26"/>
        <v/>
      </c>
      <c r="CJ18" s="1545" t="str">
        <f t="shared" si="27"/>
        <v/>
      </c>
      <c r="CK18" s="1545" t="str">
        <f t="shared" si="28"/>
        <v/>
      </c>
      <c r="CL18" s="1545" t="str">
        <f t="shared" si="29"/>
        <v/>
      </c>
      <c r="CM18" s="1545" t="str">
        <f t="shared" si="30"/>
        <v/>
      </c>
      <c r="CN18" s="1545" t="str">
        <f t="shared" si="31"/>
        <v/>
      </c>
      <c r="CO18" s="1545" t="str">
        <f t="shared" si="32"/>
        <v/>
      </c>
      <c r="CP18" s="1545" t="str">
        <f t="shared" si="33"/>
        <v/>
      </c>
      <c r="CQ18" s="1545" t="str">
        <f t="shared" si="34"/>
        <v/>
      </c>
      <c r="CR18" s="1545" t="str">
        <f t="shared" si="35"/>
        <v/>
      </c>
      <c r="CS18" s="1545" t="str">
        <f t="shared" si="36"/>
        <v/>
      </c>
      <c r="CT18" s="1545" t="str">
        <f t="shared" si="37"/>
        <v/>
      </c>
      <c r="CU18" s="1545" t="str">
        <f t="shared" si="38"/>
        <v/>
      </c>
      <c r="CV18" s="1545" t="str">
        <f t="shared" si="39"/>
        <v/>
      </c>
      <c r="CW18" s="1545" t="str">
        <f t="shared" si="40"/>
        <v/>
      </c>
      <c r="CX18" s="1545" t="str">
        <f t="shared" si="41"/>
        <v/>
      </c>
      <c r="CY18" s="1545" t="str">
        <f t="shared" si="42"/>
        <v/>
      </c>
      <c r="CZ18" s="1545" t="str">
        <f t="shared" si="43"/>
        <v/>
      </c>
      <c r="DA18" s="1545" t="str">
        <f t="shared" si="44"/>
        <v/>
      </c>
      <c r="DB18" s="1545" t="str">
        <f t="shared" si="45"/>
        <v/>
      </c>
      <c r="DC18" s="1545" t="str">
        <f t="shared" si="46"/>
        <v/>
      </c>
      <c r="DD18" s="1545" t="str">
        <f t="shared" si="47"/>
        <v/>
      </c>
      <c r="DE18" s="1545" t="str">
        <f t="shared" si="48"/>
        <v/>
      </c>
      <c r="DF18" s="1545" t="str">
        <f t="shared" si="49"/>
        <v/>
      </c>
      <c r="DG18" s="1545" t="str">
        <f t="shared" si="50"/>
        <v/>
      </c>
      <c r="DH18" s="1545" t="str">
        <f t="shared" si="51"/>
        <v/>
      </c>
      <c r="DI18" s="1931" t="str">
        <f t="shared" si="52"/>
        <v/>
      </c>
      <c r="DJ18" s="1931" t="str">
        <f t="shared" si="53"/>
        <v/>
      </c>
      <c r="DK18" s="1261" t="str">
        <f t="shared" si="54"/>
        <v/>
      </c>
    </row>
    <row r="19" spans="1:115" ht="45.75">
      <c r="A19" s="2681"/>
      <c r="C19" s="1029">
        <f>+PP!B37</f>
        <v>14</v>
      </c>
      <c r="D19" s="1110" t="str">
        <f>+PP!C37</f>
        <v>FILETE C/TT DARUMA</v>
      </c>
      <c r="E19" s="972"/>
      <c r="F19" s="618"/>
      <c r="G19" s="618"/>
      <c r="H19" s="618"/>
      <c r="I19" s="618"/>
      <c r="J19" s="618"/>
      <c r="K19" s="618"/>
      <c r="L19" s="618"/>
      <c r="M19" s="618"/>
      <c r="N19" s="618"/>
      <c r="O19" s="618"/>
      <c r="P19" s="618"/>
      <c r="Q19" s="628"/>
      <c r="R19" s="628"/>
      <c r="S19" s="614"/>
      <c r="T19" s="614"/>
      <c r="U19" s="614"/>
      <c r="V19" s="614"/>
      <c r="W19" s="614"/>
      <c r="X19" s="614"/>
      <c r="Y19" s="1101"/>
      <c r="Z19" s="1087"/>
      <c r="AA19" s="1087"/>
      <c r="AB19" s="1087"/>
      <c r="AC19" s="1087"/>
      <c r="AD19" s="1087"/>
      <c r="AE19" s="1087"/>
      <c r="AF19" s="1087"/>
      <c r="AG19" s="1087"/>
      <c r="AH19" s="1087"/>
      <c r="AI19" s="1087"/>
      <c r="AJ19" s="1087"/>
      <c r="AK19" s="1087"/>
      <c r="AL19" s="1087"/>
      <c r="AM19" s="1087"/>
      <c r="AN19" s="1087"/>
      <c r="AO19" s="1087"/>
      <c r="AP19" s="1087"/>
      <c r="AQ19" s="1087"/>
      <c r="AR19" s="1087"/>
      <c r="AS19" s="1087"/>
      <c r="AT19" s="1087"/>
      <c r="AU19" s="1087"/>
      <c r="AV19" s="614"/>
      <c r="AW19" s="614"/>
      <c r="AX19" s="614"/>
      <c r="AY19" s="614"/>
      <c r="AZ19" s="614"/>
      <c r="BA19" s="614"/>
      <c r="BB19" s="614"/>
      <c r="BC19" s="988">
        <f t="shared" si="0"/>
        <v>0</v>
      </c>
      <c r="BD19" s="989">
        <f t="shared" si="1"/>
        <v>0</v>
      </c>
      <c r="BE19" s="886">
        <f t="shared" si="2"/>
        <v>0</v>
      </c>
      <c r="BK19" s="1258" t="str">
        <f>IFERROR(INDEX($C$6:$C$53,_xlfn.AGGREGATE(15,6,(ROW($C$6:$C$53)-ROW($C$6)+1)/($BC$6:$BC$53&gt;0),ROWS($BK$6:BK19))),"")</f>
        <v/>
      </c>
      <c r="BL19" s="1259" t="str">
        <f t="shared" si="3"/>
        <v/>
      </c>
      <c r="BM19" s="1769" t="str">
        <f t="shared" si="4"/>
        <v/>
      </c>
      <c r="BN19" s="1769" t="str">
        <f t="shared" si="5"/>
        <v/>
      </c>
      <c r="BO19" s="1769" t="str">
        <f t="shared" si="6"/>
        <v/>
      </c>
      <c r="BP19" s="1769" t="str">
        <f t="shared" si="7"/>
        <v/>
      </c>
      <c r="BQ19" s="1769" t="str">
        <f t="shared" si="8"/>
        <v/>
      </c>
      <c r="BR19" s="1769" t="str">
        <f t="shared" si="9"/>
        <v/>
      </c>
      <c r="BS19" s="1769" t="str">
        <f t="shared" si="10"/>
        <v/>
      </c>
      <c r="BT19" s="1769" t="str">
        <f t="shared" si="11"/>
        <v/>
      </c>
      <c r="BU19" s="1769" t="str">
        <f t="shared" si="12"/>
        <v/>
      </c>
      <c r="BV19" s="1769" t="str">
        <f t="shared" si="13"/>
        <v/>
      </c>
      <c r="BW19" s="1769" t="str">
        <f t="shared" si="14"/>
        <v/>
      </c>
      <c r="BX19" s="1769" t="str">
        <f t="shared" si="15"/>
        <v/>
      </c>
      <c r="BY19" s="1769" t="str">
        <f t="shared" si="16"/>
        <v/>
      </c>
      <c r="BZ19" s="1769" t="str">
        <f t="shared" si="17"/>
        <v/>
      </c>
      <c r="CA19" s="1769" t="str">
        <f t="shared" si="18"/>
        <v/>
      </c>
      <c r="CB19" s="1769" t="str">
        <f t="shared" si="19"/>
        <v/>
      </c>
      <c r="CC19" s="1769" t="str">
        <f t="shared" si="20"/>
        <v/>
      </c>
      <c r="CD19" s="1769" t="str">
        <f t="shared" si="21"/>
        <v/>
      </c>
      <c r="CE19" s="1769" t="str">
        <f t="shared" si="22"/>
        <v/>
      </c>
      <c r="CF19" s="1769" t="str">
        <f t="shared" si="23"/>
        <v/>
      </c>
      <c r="CG19" s="1769" t="str">
        <f t="shared" si="24"/>
        <v/>
      </c>
      <c r="CH19" s="1545" t="str">
        <f t="shared" si="25"/>
        <v/>
      </c>
      <c r="CI19" s="1545" t="str">
        <f t="shared" si="26"/>
        <v/>
      </c>
      <c r="CJ19" s="1545" t="str">
        <f t="shared" si="27"/>
        <v/>
      </c>
      <c r="CK19" s="1545" t="str">
        <f t="shared" si="28"/>
        <v/>
      </c>
      <c r="CL19" s="1545" t="str">
        <f t="shared" si="29"/>
        <v/>
      </c>
      <c r="CM19" s="1545" t="str">
        <f t="shared" si="30"/>
        <v/>
      </c>
      <c r="CN19" s="1545" t="str">
        <f t="shared" si="31"/>
        <v/>
      </c>
      <c r="CO19" s="1545" t="str">
        <f t="shared" si="32"/>
        <v/>
      </c>
      <c r="CP19" s="1545" t="str">
        <f t="shared" si="33"/>
        <v/>
      </c>
      <c r="CQ19" s="1545" t="str">
        <f t="shared" si="34"/>
        <v/>
      </c>
      <c r="CR19" s="1545" t="str">
        <f t="shared" si="35"/>
        <v/>
      </c>
      <c r="CS19" s="1545" t="str">
        <f t="shared" si="36"/>
        <v/>
      </c>
      <c r="CT19" s="1545" t="str">
        <f t="shared" si="37"/>
        <v/>
      </c>
      <c r="CU19" s="1545" t="str">
        <f t="shared" si="38"/>
        <v/>
      </c>
      <c r="CV19" s="1545" t="str">
        <f t="shared" si="39"/>
        <v/>
      </c>
      <c r="CW19" s="1545" t="str">
        <f t="shared" si="40"/>
        <v/>
      </c>
      <c r="CX19" s="1545" t="str">
        <f t="shared" si="41"/>
        <v/>
      </c>
      <c r="CY19" s="1545" t="str">
        <f t="shared" si="42"/>
        <v/>
      </c>
      <c r="CZ19" s="1545" t="str">
        <f t="shared" si="43"/>
        <v/>
      </c>
      <c r="DA19" s="1545" t="str">
        <f t="shared" si="44"/>
        <v/>
      </c>
      <c r="DB19" s="1545" t="str">
        <f t="shared" si="45"/>
        <v/>
      </c>
      <c r="DC19" s="1545" t="str">
        <f t="shared" si="46"/>
        <v/>
      </c>
      <c r="DD19" s="1545" t="str">
        <f t="shared" si="47"/>
        <v/>
      </c>
      <c r="DE19" s="1545" t="str">
        <f t="shared" si="48"/>
        <v/>
      </c>
      <c r="DF19" s="1545" t="str">
        <f t="shared" si="49"/>
        <v/>
      </c>
      <c r="DG19" s="1545" t="str">
        <f t="shared" si="50"/>
        <v/>
      </c>
      <c r="DH19" s="1545" t="str">
        <f t="shared" si="51"/>
        <v/>
      </c>
      <c r="DI19" s="1260" t="str">
        <f t="shared" si="52"/>
        <v/>
      </c>
      <c r="DJ19" s="1260" t="str">
        <f t="shared" si="53"/>
        <v/>
      </c>
      <c r="DK19" s="1261" t="str">
        <f t="shared" si="54"/>
        <v/>
      </c>
    </row>
    <row r="20" spans="1:115" ht="45.75">
      <c r="A20" s="2681"/>
      <c r="C20" s="1029">
        <f>+PP!B38</f>
        <v>15</v>
      </c>
      <c r="D20" s="1111" t="str">
        <f>+PP!C38</f>
        <v>FILETE C/M C/T TRES PIELES 1.0-2.0 kg/pza</v>
      </c>
      <c r="E20" s="973"/>
      <c r="F20" s="619"/>
      <c r="G20" s="619"/>
      <c r="H20" s="619"/>
      <c r="I20" s="619"/>
      <c r="J20" s="619"/>
      <c r="K20" s="619"/>
      <c r="L20" s="619"/>
      <c r="M20" s="619"/>
      <c r="N20" s="619"/>
      <c r="O20" s="619"/>
      <c r="P20" s="619"/>
      <c r="Q20" s="627"/>
      <c r="R20" s="620"/>
      <c r="S20" s="620"/>
      <c r="T20" s="620"/>
      <c r="U20" s="620"/>
      <c r="V20" s="620"/>
      <c r="W20" s="620"/>
      <c r="X20" s="620"/>
      <c r="Y20" s="1099"/>
      <c r="Z20" s="1088"/>
      <c r="AA20" s="1088"/>
      <c r="AB20" s="1088"/>
      <c r="AC20" s="1088"/>
      <c r="AD20" s="1088"/>
      <c r="AE20" s="1088"/>
      <c r="AF20" s="1088"/>
      <c r="AG20" s="1088"/>
      <c r="AH20" s="1088"/>
      <c r="AI20" s="1088"/>
      <c r="AJ20" s="1088"/>
      <c r="AK20" s="1088"/>
      <c r="AL20" s="1088"/>
      <c r="AM20" s="1088"/>
      <c r="AN20" s="1088"/>
      <c r="AO20" s="1088"/>
      <c r="AP20" s="1088"/>
      <c r="AQ20" s="1088"/>
      <c r="AR20" s="1088"/>
      <c r="AS20" s="1088"/>
      <c r="AT20" s="1088"/>
      <c r="AU20" s="1088"/>
      <c r="AV20" s="620"/>
      <c r="AW20" s="620"/>
      <c r="AX20" s="620"/>
      <c r="AY20" s="620"/>
      <c r="AZ20" s="620"/>
      <c r="BA20" s="620"/>
      <c r="BB20" s="620"/>
      <c r="BC20" s="984">
        <f t="shared" si="0"/>
        <v>0</v>
      </c>
      <c r="BD20" s="985">
        <f t="shared" si="1"/>
        <v>0</v>
      </c>
      <c r="BE20" s="990">
        <f t="shared" si="2"/>
        <v>0</v>
      </c>
      <c r="BK20" s="1258" t="str">
        <f>IFERROR(INDEX($C$6:$C$53,_xlfn.AGGREGATE(15,6,(ROW($C$6:$C$53)-ROW($C$6)+1)/($BC$6:$BC$53&gt;0),ROWS($BK$6:BK20))),"")</f>
        <v/>
      </c>
      <c r="BL20" s="1259" t="str">
        <f t="shared" si="3"/>
        <v/>
      </c>
      <c r="BM20" s="1769" t="str">
        <f t="shared" si="4"/>
        <v/>
      </c>
      <c r="BN20" s="1769" t="str">
        <f t="shared" si="5"/>
        <v/>
      </c>
      <c r="BO20" s="1769" t="str">
        <f t="shared" si="6"/>
        <v/>
      </c>
      <c r="BP20" s="1769" t="str">
        <f t="shared" si="7"/>
        <v/>
      </c>
      <c r="BQ20" s="1769" t="str">
        <f t="shared" si="8"/>
        <v/>
      </c>
      <c r="BR20" s="1769" t="str">
        <f t="shared" si="9"/>
        <v/>
      </c>
      <c r="BS20" s="1769" t="str">
        <f t="shared" si="10"/>
        <v/>
      </c>
      <c r="BT20" s="1769" t="str">
        <f t="shared" si="11"/>
        <v/>
      </c>
      <c r="BU20" s="1769" t="str">
        <f t="shared" si="12"/>
        <v/>
      </c>
      <c r="BV20" s="1769" t="str">
        <f t="shared" si="13"/>
        <v/>
      </c>
      <c r="BW20" s="1769" t="str">
        <f t="shared" si="14"/>
        <v/>
      </c>
      <c r="BX20" s="1769" t="str">
        <f t="shared" si="15"/>
        <v/>
      </c>
      <c r="BY20" s="1769" t="str">
        <f t="shared" si="16"/>
        <v/>
      </c>
      <c r="BZ20" s="1769" t="str">
        <f t="shared" si="17"/>
        <v/>
      </c>
      <c r="CA20" s="1769" t="str">
        <f t="shared" si="18"/>
        <v/>
      </c>
      <c r="CB20" s="1769" t="str">
        <f t="shared" si="19"/>
        <v/>
      </c>
      <c r="CC20" s="1769" t="str">
        <f t="shared" si="20"/>
        <v/>
      </c>
      <c r="CD20" s="1769" t="str">
        <f t="shared" si="21"/>
        <v/>
      </c>
      <c r="CE20" s="1769" t="str">
        <f t="shared" si="22"/>
        <v/>
      </c>
      <c r="CF20" s="1769" t="str">
        <f t="shared" si="23"/>
        <v/>
      </c>
      <c r="CG20" s="1769" t="str">
        <f t="shared" si="24"/>
        <v/>
      </c>
      <c r="CH20" s="1545" t="str">
        <f t="shared" si="25"/>
        <v/>
      </c>
      <c r="CI20" s="1545" t="str">
        <f t="shared" si="26"/>
        <v/>
      </c>
      <c r="CJ20" s="1545" t="str">
        <f t="shared" si="27"/>
        <v/>
      </c>
      <c r="CK20" s="1545" t="str">
        <f t="shared" si="28"/>
        <v/>
      </c>
      <c r="CL20" s="1545" t="str">
        <f t="shared" si="29"/>
        <v/>
      </c>
      <c r="CM20" s="1545" t="str">
        <f t="shared" si="30"/>
        <v/>
      </c>
      <c r="CN20" s="1545" t="str">
        <f t="shared" si="31"/>
        <v/>
      </c>
      <c r="CO20" s="1545" t="str">
        <f t="shared" si="32"/>
        <v/>
      </c>
      <c r="CP20" s="1545" t="str">
        <f t="shared" si="33"/>
        <v/>
      </c>
      <c r="CQ20" s="1545" t="str">
        <f t="shared" si="34"/>
        <v/>
      </c>
      <c r="CR20" s="1545" t="str">
        <f t="shared" si="35"/>
        <v/>
      </c>
      <c r="CS20" s="1545" t="str">
        <f t="shared" si="36"/>
        <v/>
      </c>
      <c r="CT20" s="1545" t="str">
        <f t="shared" si="37"/>
        <v/>
      </c>
      <c r="CU20" s="1545" t="str">
        <f t="shared" si="38"/>
        <v/>
      </c>
      <c r="CV20" s="1545" t="str">
        <f t="shared" si="39"/>
        <v/>
      </c>
      <c r="CW20" s="1545" t="str">
        <f t="shared" si="40"/>
        <v/>
      </c>
      <c r="CX20" s="1545" t="str">
        <f t="shared" si="41"/>
        <v/>
      </c>
      <c r="CY20" s="1545" t="str">
        <f t="shared" si="42"/>
        <v/>
      </c>
      <c r="CZ20" s="1545" t="str">
        <f t="shared" si="43"/>
        <v/>
      </c>
      <c r="DA20" s="1545" t="str">
        <f t="shared" si="44"/>
        <v/>
      </c>
      <c r="DB20" s="1545" t="str">
        <f t="shared" si="45"/>
        <v/>
      </c>
      <c r="DC20" s="1545" t="str">
        <f t="shared" si="46"/>
        <v/>
      </c>
      <c r="DD20" s="1545" t="str">
        <f t="shared" si="47"/>
        <v/>
      </c>
      <c r="DE20" s="1545" t="str">
        <f t="shared" si="48"/>
        <v/>
      </c>
      <c r="DF20" s="1545" t="str">
        <f t="shared" si="49"/>
        <v/>
      </c>
      <c r="DG20" s="1545" t="str">
        <f t="shared" si="50"/>
        <v/>
      </c>
      <c r="DH20" s="1545" t="str">
        <f t="shared" si="51"/>
        <v/>
      </c>
      <c r="DI20" s="1260" t="str">
        <f t="shared" si="52"/>
        <v/>
      </c>
      <c r="DJ20" s="1260" t="str">
        <f t="shared" si="53"/>
        <v/>
      </c>
      <c r="DK20" s="1261" t="str">
        <f t="shared" si="54"/>
        <v/>
      </c>
    </row>
    <row r="21" spans="1:115" ht="45.75">
      <c r="A21" s="2681"/>
      <c r="C21" s="1029">
        <f>+PP!B39</f>
        <v>16</v>
      </c>
      <c r="D21" s="1111" t="str">
        <f>+PP!C39</f>
        <v>FILETE C/M C/T TRES PIELES 2.0-4.0 kg/pza</v>
      </c>
      <c r="E21" s="973"/>
      <c r="F21" s="619"/>
      <c r="G21" s="619"/>
      <c r="H21" s="619"/>
      <c r="I21" s="619"/>
      <c r="J21" s="619"/>
      <c r="K21" s="619"/>
      <c r="L21" s="619"/>
      <c r="M21" s="619"/>
      <c r="N21" s="619"/>
      <c r="O21" s="619"/>
      <c r="P21" s="619"/>
      <c r="Q21" s="627"/>
      <c r="R21" s="627"/>
      <c r="S21" s="987"/>
      <c r="T21" s="620"/>
      <c r="U21" s="620"/>
      <c r="V21" s="620"/>
      <c r="W21" s="620"/>
      <c r="X21" s="620"/>
      <c r="Y21" s="1099"/>
      <c r="Z21" s="1088"/>
      <c r="AA21" s="1088"/>
      <c r="AB21" s="1088"/>
      <c r="AC21" s="1088"/>
      <c r="AD21" s="1088"/>
      <c r="AE21" s="1088"/>
      <c r="AF21" s="1088"/>
      <c r="AG21" s="1088"/>
      <c r="AH21" s="1088"/>
      <c r="AI21" s="1088"/>
      <c r="AJ21" s="1088"/>
      <c r="AK21" s="1088"/>
      <c r="AL21" s="1088"/>
      <c r="AM21" s="1088"/>
      <c r="AN21" s="1088"/>
      <c r="AO21" s="1088"/>
      <c r="AP21" s="1088"/>
      <c r="AQ21" s="1088"/>
      <c r="AR21" s="1088"/>
      <c r="AS21" s="1088"/>
      <c r="AT21" s="1088"/>
      <c r="AU21" s="1088"/>
      <c r="AV21" s="620"/>
      <c r="AW21" s="620"/>
      <c r="AX21" s="620"/>
      <c r="AY21" s="620"/>
      <c r="AZ21" s="620"/>
      <c r="BA21" s="620"/>
      <c r="BB21" s="620"/>
      <c r="BC21" s="984">
        <f t="shared" si="0"/>
        <v>0</v>
      </c>
      <c r="BD21" s="985">
        <f t="shared" si="1"/>
        <v>0</v>
      </c>
      <c r="BE21" s="990">
        <f t="shared" si="2"/>
        <v>0</v>
      </c>
      <c r="BK21" s="1258" t="str">
        <f>IFERROR(INDEX($C$6:$C$53,_xlfn.AGGREGATE(15,6,(ROW($C$6:$C$53)-ROW($C$6)+1)/($BC$6:$BC$53&gt;0),ROWS($BK$6:BK21))),"")</f>
        <v/>
      </c>
      <c r="BL21" s="1259" t="str">
        <f t="shared" si="3"/>
        <v/>
      </c>
      <c r="BM21" s="1769" t="str">
        <f t="shared" si="4"/>
        <v/>
      </c>
      <c r="BN21" s="1769" t="str">
        <f t="shared" si="5"/>
        <v/>
      </c>
      <c r="BO21" s="1769" t="str">
        <f t="shared" si="6"/>
        <v/>
      </c>
      <c r="BP21" s="1769" t="str">
        <f t="shared" si="7"/>
        <v/>
      </c>
      <c r="BQ21" s="1769" t="str">
        <f t="shared" si="8"/>
        <v/>
      </c>
      <c r="BR21" s="1769" t="str">
        <f t="shared" si="9"/>
        <v/>
      </c>
      <c r="BS21" s="1769" t="str">
        <f t="shared" si="10"/>
        <v/>
      </c>
      <c r="BT21" s="1769" t="str">
        <f t="shared" si="11"/>
        <v/>
      </c>
      <c r="BU21" s="1769" t="str">
        <f t="shared" si="12"/>
        <v/>
      </c>
      <c r="BV21" s="1769" t="str">
        <f t="shared" si="13"/>
        <v/>
      </c>
      <c r="BW21" s="1769" t="str">
        <f t="shared" si="14"/>
        <v/>
      </c>
      <c r="BX21" s="1769" t="str">
        <f t="shared" si="15"/>
        <v/>
      </c>
      <c r="BY21" s="1769" t="str">
        <f t="shared" si="16"/>
        <v/>
      </c>
      <c r="BZ21" s="1769" t="str">
        <f t="shared" si="17"/>
        <v/>
      </c>
      <c r="CA21" s="1769" t="str">
        <f t="shared" si="18"/>
        <v/>
      </c>
      <c r="CB21" s="1769" t="str">
        <f t="shared" si="19"/>
        <v/>
      </c>
      <c r="CC21" s="1769" t="str">
        <f t="shared" si="20"/>
        <v/>
      </c>
      <c r="CD21" s="1769" t="str">
        <f t="shared" si="21"/>
        <v/>
      </c>
      <c r="CE21" s="1769" t="str">
        <f t="shared" si="22"/>
        <v/>
      </c>
      <c r="CF21" s="1769" t="str">
        <f t="shared" si="23"/>
        <v/>
      </c>
      <c r="CG21" s="1769" t="str">
        <f t="shared" si="24"/>
        <v/>
      </c>
      <c r="CH21" s="1545" t="str">
        <f t="shared" si="25"/>
        <v/>
      </c>
      <c r="CI21" s="1545" t="str">
        <f t="shared" si="26"/>
        <v/>
      </c>
      <c r="CJ21" s="1545" t="str">
        <f t="shared" si="27"/>
        <v/>
      </c>
      <c r="CK21" s="1545" t="str">
        <f t="shared" si="28"/>
        <v/>
      </c>
      <c r="CL21" s="1545" t="str">
        <f t="shared" si="29"/>
        <v/>
      </c>
      <c r="CM21" s="1545" t="str">
        <f t="shared" si="30"/>
        <v/>
      </c>
      <c r="CN21" s="1545" t="str">
        <f t="shared" si="31"/>
        <v/>
      </c>
      <c r="CO21" s="1545" t="str">
        <f t="shared" si="32"/>
        <v/>
      </c>
      <c r="CP21" s="1545" t="str">
        <f t="shared" si="33"/>
        <v/>
      </c>
      <c r="CQ21" s="1545" t="str">
        <f t="shared" si="34"/>
        <v/>
      </c>
      <c r="CR21" s="1545" t="str">
        <f t="shared" si="35"/>
        <v/>
      </c>
      <c r="CS21" s="1545" t="str">
        <f t="shared" si="36"/>
        <v/>
      </c>
      <c r="CT21" s="1545" t="str">
        <f t="shared" si="37"/>
        <v/>
      </c>
      <c r="CU21" s="1545" t="str">
        <f t="shared" si="38"/>
        <v/>
      </c>
      <c r="CV21" s="1545" t="str">
        <f t="shared" si="39"/>
        <v/>
      </c>
      <c r="CW21" s="1545" t="str">
        <f t="shared" si="40"/>
        <v/>
      </c>
      <c r="CX21" s="1545" t="str">
        <f t="shared" si="41"/>
        <v/>
      </c>
      <c r="CY21" s="1545" t="str">
        <f t="shared" si="42"/>
        <v/>
      </c>
      <c r="CZ21" s="1545" t="str">
        <f t="shared" si="43"/>
        <v/>
      </c>
      <c r="DA21" s="1545" t="str">
        <f t="shared" si="44"/>
        <v/>
      </c>
      <c r="DB21" s="1545" t="str">
        <f t="shared" si="45"/>
        <v/>
      </c>
      <c r="DC21" s="1545" t="str">
        <f t="shared" si="46"/>
        <v/>
      </c>
      <c r="DD21" s="1545" t="str">
        <f t="shared" si="47"/>
        <v/>
      </c>
      <c r="DE21" s="1545" t="str">
        <f t="shared" si="48"/>
        <v/>
      </c>
      <c r="DF21" s="1545" t="str">
        <f t="shared" si="49"/>
        <v/>
      </c>
      <c r="DG21" s="1545" t="str">
        <f t="shared" si="50"/>
        <v/>
      </c>
      <c r="DH21" s="1545" t="str">
        <f t="shared" si="51"/>
        <v/>
      </c>
      <c r="DI21" s="1260" t="str">
        <f t="shared" si="52"/>
        <v/>
      </c>
      <c r="DJ21" s="1260" t="str">
        <f t="shared" si="53"/>
        <v/>
      </c>
      <c r="DK21" s="1261" t="str">
        <f t="shared" si="54"/>
        <v/>
      </c>
    </row>
    <row r="22" spans="1:115" ht="45.75">
      <c r="A22" s="2681"/>
      <c r="C22" s="1029">
        <f>+PP!B40</f>
        <v>17</v>
      </c>
      <c r="D22" s="1111" t="str">
        <f>+PP!C40</f>
        <v>FILETE C/M C/T ENTERO BLANCO 1.0-2.0 kg/pza</v>
      </c>
      <c r="E22" s="973"/>
      <c r="F22" s="619"/>
      <c r="G22" s="619"/>
      <c r="H22" s="619"/>
      <c r="I22" s="619"/>
      <c r="J22" s="619"/>
      <c r="K22" s="619"/>
      <c r="L22" s="619"/>
      <c r="M22" s="619"/>
      <c r="N22" s="619"/>
      <c r="O22" s="619"/>
      <c r="P22" s="619"/>
      <c r="Q22" s="627"/>
      <c r="R22" s="627"/>
      <c r="S22" s="620"/>
      <c r="T22" s="620"/>
      <c r="U22" s="620"/>
      <c r="V22" s="620"/>
      <c r="W22" s="620"/>
      <c r="X22" s="620"/>
      <c r="Y22" s="1099"/>
      <c r="Z22" s="1088"/>
      <c r="AA22" s="1088"/>
      <c r="AB22" s="1088"/>
      <c r="AC22" s="1088"/>
      <c r="AD22" s="1088"/>
      <c r="AE22" s="1088"/>
      <c r="AF22" s="1088"/>
      <c r="AG22" s="1088"/>
      <c r="AH22" s="1088"/>
      <c r="AI22" s="1088"/>
      <c r="AJ22" s="1088"/>
      <c r="AK22" s="1088"/>
      <c r="AL22" s="1088"/>
      <c r="AM22" s="1088"/>
      <c r="AN22" s="1088"/>
      <c r="AO22" s="1088"/>
      <c r="AP22" s="1088"/>
      <c r="AQ22" s="1088"/>
      <c r="AR22" s="1088"/>
      <c r="AS22" s="1088"/>
      <c r="AT22" s="1088"/>
      <c r="AU22" s="1088"/>
      <c r="AV22" s="620"/>
      <c r="AW22" s="620"/>
      <c r="AX22" s="620"/>
      <c r="AY22" s="620"/>
      <c r="AZ22" s="620"/>
      <c r="BA22" s="620"/>
      <c r="BB22" s="620"/>
      <c r="BC22" s="984">
        <f t="shared" si="0"/>
        <v>0</v>
      </c>
      <c r="BD22" s="985">
        <f t="shared" si="1"/>
        <v>0</v>
      </c>
      <c r="BE22" s="990">
        <f t="shared" si="2"/>
        <v>0</v>
      </c>
      <c r="BK22" s="1258" t="str">
        <f>IFERROR(INDEX($C$6:$C$53,_xlfn.AGGREGATE(15,6,(ROW($C$6:$C$53)-ROW($C$6)+1)/($BC$6:$BC$53&gt;0),ROWS($BK$6:BK22))),"")</f>
        <v/>
      </c>
      <c r="BL22" s="1259" t="str">
        <f t="shared" si="3"/>
        <v/>
      </c>
      <c r="BM22" s="1769" t="str">
        <f t="shared" si="4"/>
        <v/>
      </c>
      <c r="BN22" s="1769" t="str">
        <f t="shared" si="5"/>
        <v/>
      </c>
      <c r="BO22" s="1769" t="str">
        <f t="shared" si="6"/>
        <v/>
      </c>
      <c r="BP22" s="1769" t="str">
        <f t="shared" si="7"/>
        <v/>
      </c>
      <c r="BQ22" s="1769" t="str">
        <f t="shared" si="8"/>
        <v/>
      </c>
      <c r="BR22" s="1769" t="str">
        <f t="shared" si="9"/>
        <v/>
      </c>
      <c r="BS22" s="1769" t="str">
        <f t="shared" si="10"/>
        <v/>
      </c>
      <c r="BT22" s="1769" t="str">
        <f t="shared" si="11"/>
        <v/>
      </c>
      <c r="BU22" s="1769" t="str">
        <f t="shared" si="12"/>
        <v/>
      </c>
      <c r="BV22" s="1769" t="str">
        <f t="shared" si="13"/>
        <v/>
      </c>
      <c r="BW22" s="1769" t="str">
        <f t="shared" si="14"/>
        <v/>
      </c>
      <c r="BX22" s="1769" t="str">
        <f t="shared" si="15"/>
        <v/>
      </c>
      <c r="BY22" s="1769" t="str">
        <f t="shared" si="16"/>
        <v/>
      </c>
      <c r="BZ22" s="1769" t="str">
        <f t="shared" si="17"/>
        <v/>
      </c>
      <c r="CA22" s="1769" t="str">
        <f t="shared" si="18"/>
        <v/>
      </c>
      <c r="CB22" s="1769" t="str">
        <f t="shared" si="19"/>
        <v/>
      </c>
      <c r="CC22" s="1769" t="str">
        <f t="shared" si="20"/>
        <v/>
      </c>
      <c r="CD22" s="1769" t="str">
        <f t="shared" si="21"/>
        <v/>
      </c>
      <c r="CE22" s="1769" t="str">
        <f t="shared" si="22"/>
        <v/>
      </c>
      <c r="CF22" s="1769" t="str">
        <f t="shared" si="23"/>
        <v/>
      </c>
      <c r="CG22" s="1769" t="str">
        <f t="shared" si="24"/>
        <v/>
      </c>
      <c r="CH22" s="1545" t="str">
        <f t="shared" si="25"/>
        <v/>
      </c>
      <c r="CI22" s="1545" t="str">
        <f t="shared" si="26"/>
        <v/>
      </c>
      <c r="CJ22" s="1545" t="str">
        <f t="shared" si="27"/>
        <v/>
      </c>
      <c r="CK22" s="1545" t="str">
        <f t="shared" si="28"/>
        <v/>
      </c>
      <c r="CL22" s="1545" t="str">
        <f t="shared" si="29"/>
        <v/>
      </c>
      <c r="CM22" s="1545" t="str">
        <f t="shared" si="30"/>
        <v/>
      </c>
      <c r="CN22" s="1545" t="str">
        <f t="shared" si="31"/>
        <v/>
      </c>
      <c r="CO22" s="1545" t="str">
        <f t="shared" si="32"/>
        <v/>
      </c>
      <c r="CP22" s="1545" t="str">
        <f t="shared" si="33"/>
        <v/>
      </c>
      <c r="CQ22" s="1545" t="str">
        <f t="shared" si="34"/>
        <v/>
      </c>
      <c r="CR22" s="1545" t="str">
        <f t="shared" si="35"/>
        <v/>
      </c>
      <c r="CS22" s="1545" t="str">
        <f t="shared" si="36"/>
        <v/>
      </c>
      <c r="CT22" s="1545" t="str">
        <f t="shared" si="37"/>
        <v/>
      </c>
      <c r="CU22" s="1545" t="str">
        <f t="shared" si="38"/>
        <v/>
      </c>
      <c r="CV22" s="1545" t="str">
        <f t="shared" si="39"/>
        <v/>
      </c>
      <c r="CW22" s="1545" t="str">
        <f t="shared" si="40"/>
        <v/>
      </c>
      <c r="CX22" s="1545" t="str">
        <f t="shared" si="41"/>
        <v/>
      </c>
      <c r="CY22" s="1545" t="str">
        <f t="shared" si="42"/>
        <v/>
      </c>
      <c r="CZ22" s="1545" t="str">
        <f t="shared" si="43"/>
        <v/>
      </c>
      <c r="DA22" s="1545" t="str">
        <f t="shared" si="44"/>
        <v/>
      </c>
      <c r="DB22" s="1545" t="str">
        <f t="shared" si="45"/>
        <v/>
      </c>
      <c r="DC22" s="1545" t="str">
        <f t="shared" si="46"/>
        <v/>
      </c>
      <c r="DD22" s="1545" t="str">
        <f t="shared" si="47"/>
        <v/>
      </c>
      <c r="DE22" s="1545" t="str">
        <f t="shared" si="48"/>
        <v/>
      </c>
      <c r="DF22" s="1545" t="str">
        <f t="shared" si="49"/>
        <v/>
      </c>
      <c r="DG22" s="1545" t="str">
        <f t="shared" si="50"/>
        <v/>
      </c>
      <c r="DH22" s="1545" t="str">
        <f t="shared" si="51"/>
        <v/>
      </c>
      <c r="DI22" s="1260" t="str">
        <f t="shared" si="52"/>
        <v/>
      </c>
      <c r="DJ22" s="1260" t="str">
        <f t="shared" si="53"/>
        <v/>
      </c>
      <c r="DK22" s="1261" t="str">
        <f t="shared" si="54"/>
        <v/>
      </c>
    </row>
    <row r="23" spans="1:115" ht="45.75">
      <c r="A23" s="2681"/>
      <c r="C23" s="1029">
        <f>+PP!B41</f>
        <v>18</v>
      </c>
      <c r="D23" s="1111" t="str">
        <f>+PP!C41</f>
        <v>FILETE C/M C/T ENTERO BLANCO 2.0-4.0 kg/pza</v>
      </c>
      <c r="E23" s="973"/>
      <c r="F23" s="619"/>
      <c r="G23" s="619"/>
      <c r="H23" s="619"/>
      <c r="I23" s="619"/>
      <c r="J23" s="619"/>
      <c r="K23" s="619"/>
      <c r="L23" s="619"/>
      <c r="M23" s="619"/>
      <c r="N23" s="619"/>
      <c r="O23" s="619"/>
      <c r="P23" s="619"/>
      <c r="Q23" s="627"/>
      <c r="R23" s="627"/>
      <c r="S23" s="620"/>
      <c r="T23" s="620"/>
      <c r="U23" s="620"/>
      <c r="V23" s="620"/>
      <c r="W23" s="620"/>
      <c r="X23" s="620"/>
      <c r="Y23" s="1099"/>
      <c r="Z23" s="1088"/>
      <c r="AA23" s="1088"/>
      <c r="AB23" s="1088"/>
      <c r="AC23" s="1088"/>
      <c r="AD23" s="1088"/>
      <c r="AE23" s="1088"/>
      <c r="AF23" s="1088"/>
      <c r="AG23" s="1088"/>
      <c r="AH23" s="1088"/>
      <c r="AI23" s="1088"/>
      <c r="AJ23" s="1088"/>
      <c r="AK23" s="1088"/>
      <c r="AL23" s="1088"/>
      <c r="AM23" s="1088"/>
      <c r="AN23" s="1088"/>
      <c r="AO23" s="1088"/>
      <c r="AP23" s="1088"/>
      <c r="AQ23" s="1088"/>
      <c r="AR23" s="1088"/>
      <c r="AS23" s="1088"/>
      <c r="AT23" s="1088"/>
      <c r="AU23" s="1088"/>
      <c r="AV23" s="620"/>
      <c r="AW23" s="620"/>
      <c r="AX23" s="620"/>
      <c r="AY23" s="620"/>
      <c r="AZ23" s="620"/>
      <c r="BA23" s="620"/>
      <c r="BB23" s="620"/>
      <c r="BC23" s="984">
        <f t="shared" si="0"/>
        <v>0</v>
      </c>
      <c r="BD23" s="985">
        <f t="shared" si="1"/>
        <v>0</v>
      </c>
      <c r="BE23" s="990">
        <f t="shared" si="2"/>
        <v>0</v>
      </c>
      <c r="BK23" s="1258" t="str">
        <f>IFERROR(INDEX($C$6:$C$53,_xlfn.AGGREGATE(15,6,(ROW($C$6:$C$53)-ROW($C$6)+1)/($BC$6:$BC$53&gt;0),ROWS($BK$6:BK23))),"")</f>
        <v/>
      </c>
      <c r="BL23" s="1259" t="str">
        <f t="shared" si="3"/>
        <v/>
      </c>
      <c r="BM23" s="1769" t="str">
        <f t="shared" si="4"/>
        <v/>
      </c>
      <c r="BN23" s="1769" t="str">
        <f t="shared" si="5"/>
        <v/>
      </c>
      <c r="BO23" s="1769" t="str">
        <f t="shared" si="6"/>
        <v/>
      </c>
      <c r="BP23" s="1769" t="str">
        <f t="shared" si="7"/>
        <v/>
      </c>
      <c r="BQ23" s="1769" t="str">
        <f t="shared" si="8"/>
        <v/>
      </c>
      <c r="BR23" s="1769" t="str">
        <f t="shared" si="9"/>
        <v/>
      </c>
      <c r="BS23" s="1769" t="str">
        <f t="shared" si="10"/>
        <v/>
      </c>
      <c r="BT23" s="1769" t="str">
        <f t="shared" si="11"/>
        <v/>
      </c>
      <c r="BU23" s="1769" t="str">
        <f t="shared" si="12"/>
        <v/>
      </c>
      <c r="BV23" s="1769" t="str">
        <f t="shared" si="13"/>
        <v/>
      </c>
      <c r="BW23" s="1769" t="str">
        <f t="shared" si="14"/>
        <v/>
      </c>
      <c r="BX23" s="1769" t="str">
        <f t="shared" si="15"/>
        <v/>
      </c>
      <c r="BY23" s="1769" t="str">
        <f t="shared" si="16"/>
        <v/>
      </c>
      <c r="BZ23" s="1769" t="str">
        <f t="shared" si="17"/>
        <v/>
      </c>
      <c r="CA23" s="1769" t="str">
        <f t="shared" si="18"/>
        <v/>
      </c>
      <c r="CB23" s="1769" t="str">
        <f t="shared" si="19"/>
        <v/>
      </c>
      <c r="CC23" s="1769" t="str">
        <f t="shared" si="20"/>
        <v/>
      </c>
      <c r="CD23" s="1769" t="str">
        <f t="shared" si="21"/>
        <v/>
      </c>
      <c r="CE23" s="1769" t="str">
        <f t="shared" si="22"/>
        <v/>
      </c>
      <c r="CF23" s="1769" t="str">
        <f t="shared" si="23"/>
        <v/>
      </c>
      <c r="CG23" s="1769" t="str">
        <f t="shared" si="24"/>
        <v/>
      </c>
      <c r="CH23" s="1545" t="str">
        <f t="shared" si="25"/>
        <v/>
      </c>
      <c r="CI23" s="1545" t="str">
        <f t="shared" si="26"/>
        <v/>
      </c>
      <c r="CJ23" s="1545" t="str">
        <f t="shared" si="27"/>
        <v/>
      </c>
      <c r="CK23" s="1545" t="str">
        <f t="shared" si="28"/>
        <v/>
      </c>
      <c r="CL23" s="1545" t="str">
        <f t="shared" si="29"/>
        <v/>
      </c>
      <c r="CM23" s="1545" t="str">
        <f t="shared" si="30"/>
        <v/>
      </c>
      <c r="CN23" s="1545" t="str">
        <f t="shared" si="31"/>
        <v/>
      </c>
      <c r="CO23" s="1545" t="str">
        <f t="shared" si="32"/>
        <v/>
      </c>
      <c r="CP23" s="1545" t="str">
        <f t="shared" si="33"/>
        <v/>
      </c>
      <c r="CQ23" s="1545" t="str">
        <f t="shared" si="34"/>
        <v/>
      </c>
      <c r="CR23" s="1545" t="str">
        <f t="shared" si="35"/>
        <v/>
      </c>
      <c r="CS23" s="1545" t="str">
        <f t="shared" si="36"/>
        <v/>
      </c>
      <c r="CT23" s="1545" t="str">
        <f t="shared" si="37"/>
        <v/>
      </c>
      <c r="CU23" s="1545" t="str">
        <f t="shared" si="38"/>
        <v/>
      </c>
      <c r="CV23" s="1545" t="str">
        <f t="shared" si="39"/>
        <v/>
      </c>
      <c r="CW23" s="1545" t="str">
        <f t="shared" si="40"/>
        <v/>
      </c>
      <c r="CX23" s="1545" t="str">
        <f t="shared" si="41"/>
        <v/>
      </c>
      <c r="CY23" s="1545" t="str">
        <f t="shared" si="42"/>
        <v/>
      </c>
      <c r="CZ23" s="1545" t="str">
        <f t="shared" si="43"/>
        <v/>
      </c>
      <c r="DA23" s="1545" t="str">
        <f t="shared" si="44"/>
        <v/>
      </c>
      <c r="DB23" s="1545" t="str">
        <f t="shared" si="45"/>
        <v/>
      </c>
      <c r="DC23" s="1545" t="str">
        <f t="shared" si="46"/>
        <v/>
      </c>
      <c r="DD23" s="1545" t="str">
        <f t="shared" si="47"/>
        <v/>
      </c>
      <c r="DE23" s="1545" t="str">
        <f t="shared" si="48"/>
        <v/>
      </c>
      <c r="DF23" s="1545" t="str">
        <f t="shared" si="49"/>
        <v/>
      </c>
      <c r="DG23" s="1545" t="str">
        <f t="shared" si="50"/>
        <v/>
      </c>
      <c r="DH23" s="1545" t="str">
        <f t="shared" si="51"/>
        <v/>
      </c>
      <c r="DI23" s="1258" t="str">
        <f t="shared" si="52"/>
        <v/>
      </c>
      <c r="DJ23" s="1258" t="str">
        <f t="shared" si="53"/>
        <v/>
      </c>
      <c r="DK23" s="1261" t="str">
        <f t="shared" si="54"/>
        <v/>
      </c>
    </row>
    <row r="24" spans="1:115" ht="46.5" thickBot="1">
      <c r="A24" s="2681"/>
      <c r="C24" s="1029">
        <f>+PP!B42</f>
        <v>19</v>
      </c>
      <c r="D24" s="1112" t="str">
        <f>+PP!C42</f>
        <v>FILETE LP C/M C/T ENTERO 2.0-4.0 kg/pza</v>
      </c>
      <c r="E24" s="975"/>
      <c r="F24" s="623"/>
      <c r="G24" s="623"/>
      <c r="H24" s="623"/>
      <c r="I24" s="623"/>
      <c r="J24" s="623"/>
      <c r="K24" s="623"/>
      <c r="L24" s="623"/>
      <c r="M24" s="623"/>
      <c r="N24" s="623"/>
      <c r="O24" s="623"/>
      <c r="P24" s="623"/>
      <c r="Q24" s="630"/>
      <c r="R24" s="630"/>
      <c r="S24" s="617"/>
      <c r="T24" s="617"/>
      <c r="U24" s="617"/>
      <c r="V24" s="617"/>
      <c r="W24" s="617"/>
      <c r="X24" s="617"/>
      <c r="Y24" s="1100"/>
      <c r="Z24" s="1089"/>
      <c r="AA24" s="1089"/>
      <c r="AB24" s="1089"/>
      <c r="AC24" s="1089"/>
      <c r="AD24" s="1089"/>
      <c r="AE24" s="1089"/>
      <c r="AF24" s="1089"/>
      <c r="AG24" s="1089"/>
      <c r="AH24" s="1089"/>
      <c r="AI24" s="1089"/>
      <c r="AJ24" s="1089"/>
      <c r="AK24" s="1089"/>
      <c r="AL24" s="1089"/>
      <c r="AM24" s="1089"/>
      <c r="AN24" s="1089"/>
      <c r="AO24" s="1089"/>
      <c r="AP24" s="1089"/>
      <c r="AQ24" s="1089"/>
      <c r="AR24" s="1089"/>
      <c r="AS24" s="1089"/>
      <c r="AT24" s="1089"/>
      <c r="AU24" s="1089"/>
      <c r="AV24" s="617"/>
      <c r="AW24" s="617"/>
      <c r="AX24" s="617"/>
      <c r="AY24" s="617"/>
      <c r="AZ24" s="617"/>
      <c r="BA24" s="617"/>
      <c r="BB24" s="617"/>
      <c r="BC24" s="992">
        <f t="shared" si="0"/>
        <v>0</v>
      </c>
      <c r="BD24" s="993">
        <f t="shared" si="1"/>
        <v>0</v>
      </c>
      <c r="BE24" s="887">
        <f t="shared" si="2"/>
        <v>0</v>
      </c>
      <c r="BK24" s="1258" t="str">
        <f>IFERROR(INDEX($C$6:$C$53,_xlfn.AGGREGATE(15,6,(ROW($C$6:$C$53)-ROW($C$6)+1)/($BC$6:$BC$53&gt;0),ROWS($BK$6:BK24))),"")</f>
        <v/>
      </c>
      <c r="BL24" s="1259" t="str">
        <f t="shared" si="3"/>
        <v/>
      </c>
      <c r="BM24" s="1769" t="str">
        <f t="shared" si="4"/>
        <v/>
      </c>
      <c r="BN24" s="1769" t="str">
        <f t="shared" si="5"/>
        <v/>
      </c>
      <c r="BO24" s="1769" t="str">
        <f t="shared" si="6"/>
        <v/>
      </c>
      <c r="BP24" s="1769" t="str">
        <f t="shared" si="7"/>
        <v/>
      </c>
      <c r="BQ24" s="1769" t="str">
        <f t="shared" si="8"/>
        <v/>
      </c>
      <c r="BR24" s="1769" t="str">
        <f t="shared" si="9"/>
        <v/>
      </c>
      <c r="BS24" s="1769" t="str">
        <f t="shared" si="10"/>
        <v/>
      </c>
      <c r="BT24" s="1769" t="str">
        <f t="shared" si="11"/>
        <v/>
      </c>
      <c r="BU24" s="1769" t="str">
        <f t="shared" si="12"/>
        <v/>
      </c>
      <c r="BV24" s="1769" t="str">
        <f t="shared" si="13"/>
        <v/>
      </c>
      <c r="BW24" s="1769" t="str">
        <f t="shared" si="14"/>
        <v/>
      </c>
      <c r="BX24" s="1769" t="str">
        <f t="shared" si="15"/>
        <v/>
      </c>
      <c r="BY24" s="1769" t="str">
        <f t="shared" si="16"/>
        <v/>
      </c>
      <c r="BZ24" s="1769" t="str">
        <f t="shared" si="17"/>
        <v/>
      </c>
      <c r="CA24" s="1769" t="str">
        <f t="shared" si="18"/>
        <v/>
      </c>
      <c r="CB24" s="1769" t="str">
        <f t="shared" si="19"/>
        <v/>
      </c>
      <c r="CC24" s="1769" t="str">
        <f t="shared" si="20"/>
        <v/>
      </c>
      <c r="CD24" s="1769" t="str">
        <f t="shared" si="21"/>
        <v/>
      </c>
      <c r="CE24" s="1769" t="str">
        <f t="shared" si="22"/>
        <v/>
      </c>
      <c r="CF24" s="1769" t="str">
        <f t="shared" si="23"/>
        <v/>
      </c>
      <c r="CG24" s="1769" t="str">
        <f t="shared" si="24"/>
        <v/>
      </c>
      <c r="CH24" s="1545" t="str">
        <f t="shared" si="25"/>
        <v/>
      </c>
      <c r="CI24" s="1545" t="str">
        <f t="shared" si="26"/>
        <v/>
      </c>
      <c r="CJ24" s="1258" t="str">
        <f t="shared" si="27"/>
        <v/>
      </c>
      <c r="CK24" s="1258" t="str">
        <f t="shared" si="28"/>
        <v/>
      </c>
      <c r="CL24" s="1258" t="str">
        <f t="shared" si="29"/>
        <v/>
      </c>
      <c r="CM24" s="1258" t="str">
        <f t="shared" si="30"/>
        <v/>
      </c>
      <c r="CN24" s="1258" t="str">
        <f t="shared" si="31"/>
        <v/>
      </c>
      <c r="CO24" s="1258" t="str">
        <f t="shared" si="32"/>
        <v/>
      </c>
      <c r="CP24" s="1258" t="str">
        <f t="shared" si="33"/>
        <v/>
      </c>
      <c r="CQ24" s="1258" t="str">
        <f t="shared" si="34"/>
        <v/>
      </c>
      <c r="CR24" s="1258" t="str">
        <f t="shared" si="35"/>
        <v/>
      </c>
      <c r="CS24" s="1258" t="str">
        <f t="shared" si="36"/>
        <v/>
      </c>
      <c r="CT24" s="1258" t="str">
        <f t="shared" si="37"/>
        <v/>
      </c>
      <c r="CU24" s="1258" t="str">
        <f t="shared" si="38"/>
        <v/>
      </c>
      <c r="CV24" s="1258" t="str">
        <f t="shared" si="39"/>
        <v/>
      </c>
      <c r="CW24" s="1258" t="str">
        <f t="shared" si="40"/>
        <v/>
      </c>
      <c r="CX24" s="1258" t="str">
        <f t="shared" si="41"/>
        <v/>
      </c>
      <c r="CY24" s="1258" t="str">
        <f t="shared" si="42"/>
        <v/>
      </c>
      <c r="CZ24" s="1258" t="str">
        <f t="shared" si="43"/>
        <v/>
      </c>
      <c r="DA24" s="1258" t="str">
        <f t="shared" si="44"/>
        <v/>
      </c>
      <c r="DB24" s="1258" t="str">
        <f t="shared" si="45"/>
        <v/>
      </c>
      <c r="DC24" s="1258" t="str">
        <f t="shared" si="46"/>
        <v/>
      </c>
      <c r="DD24" s="1258" t="str">
        <f t="shared" si="47"/>
        <v/>
      </c>
      <c r="DE24" s="1258" t="str">
        <f t="shared" si="48"/>
        <v/>
      </c>
      <c r="DF24" s="1258" t="str">
        <f t="shared" si="49"/>
        <v/>
      </c>
      <c r="DG24" s="1258" t="str">
        <f t="shared" si="50"/>
        <v/>
      </c>
      <c r="DH24" s="1258" t="str">
        <f t="shared" si="51"/>
        <v/>
      </c>
      <c r="DI24" s="1258" t="str">
        <f t="shared" si="52"/>
        <v/>
      </c>
      <c r="DJ24" s="1258" t="str">
        <f t="shared" si="53"/>
        <v/>
      </c>
      <c r="DK24" s="1261" t="str">
        <f t="shared" si="54"/>
        <v/>
      </c>
    </row>
    <row r="25" spans="1:115" ht="45.75">
      <c r="A25" s="2681"/>
      <c r="C25" s="1029">
        <f>+PP!B43</f>
        <v>20</v>
      </c>
      <c r="D25" s="1110" t="str">
        <f>+PP!C43</f>
        <v>MANTO BLANCO C/M C/T 500-1000 g/pza</v>
      </c>
      <c r="E25" s="972"/>
      <c r="F25" s="618"/>
      <c r="G25" s="618"/>
      <c r="H25" s="618"/>
      <c r="I25" s="618"/>
      <c r="J25" s="618"/>
      <c r="K25" s="618"/>
      <c r="L25" s="618"/>
      <c r="M25" s="618"/>
      <c r="N25" s="618"/>
      <c r="O25" s="618"/>
      <c r="P25" s="618"/>
      <c r="Q25" s="628"/>
      <c r="R25" s="628"/>
      <c r="S25" s="614"/>
      <c r="T25" s="614"/>
      <c r="U25" s="614"/>
      <c r="V25" s="614"/>
      <c r="W25" s="614"/>
      <c r="X25" s="614"/>
      <c r="Y25" s="1101"/>
      <c r="Z25" s="1087"/>
      <c r="AA25" s="1087"/>
      <c r="AB25" s="1087"/>
      <c r="AC25" s="1087"/>
      <c r="AD25" s="1087"/>
      <c r="AE25" s="1087"/>
      <c r="AF25" s="1087"/>
      <c r="AG25" s="1087"/>
      <c r="AH25" s="1087"/>
      <c r="AI25" s="1087"/>
      <c r="AJ25" s="1087"/>
      <c r="AK25" s="1087"/>
      <c r="AL25" s="1087"/>
      <c r="AM25" s="1087"/>
      <c r="AN25" s="1087"/>
      <c r="AO25" s="1087"/>
      <c r="AP25" s="1087"/>
      <c r="AQ25" s="1087"/>
      <c r="AR25" s="1087"/>
      <c r="AS25" s="1087"/>
      <c r="AT25" s="1087"/>
      <c r="AU25" s="1087"/>
      <c r="AV25" s="614"/>
      <c r="AW25" s="614"/>
      <c r="AX25" s="614"/>
      <c r="AY25" s="614"/>
      <c r="AZ25" s="614"/>
      <c r="BA25" s="614"/>
      <c r="BB25" s="614"/>
      <c r="BC25" s="988">
        <f t="shared" si="0"/>
        <v>0</v>
      </c>
      <c r="BD25" s="989">
        <f t="shared" si="1"/>
        <v>0</v>
      </c>
      <c r="BE25" s="886">
        <f t="shared" si="2"/>
        <v>0</v>
      </c>
      <c r="BK25" s="1258" t="str">
        <f>IFERROR(INDEX($C$6:$C$53,_xlfn.AGGREGATE(15,6,(ROW($C$6:$C$53)-ROW($C$6)+1)/($BC$6:$BC$53&gt;0),ROWS($BK$6:BK25))),"")</f>
        <v/>
      </c>
      <c r="BL25" s="1259" t="str">
        <f t="shared" si="3"/>
        <v/>
      </c>
      <c r="BM25" s="1545" t="str">
        <f t="shared" si="4"/>
        <v/>
      </c>
      <c r="BN25" s="1545" t="str">
        <f t="shared" si="5"/>
        <v/>
      </c>
      <c r="BO25" s="1545" t="str">
        <f t="shared" si="6"/>
        <v/>
      </c>
      <c r="BP25" s="1545" t="str">
        <f t="shared" si="7"/>
        <v/>
      </c>
      <c r="BQ25" s="1545" t="str">
        <f t="shared" si="8"/>
        <v/>
      </c>
      <c r="BR25" s="1545" t="str">
        <f t="shared" si="9"/>
        <v/>
      </c>
      <c r="BS25" s="1545" t="str">
        <f t="shared" si="10"/>
        <v/>
      </c>
      <c r="BT25" s="1545" t="str">
        <f t="shared" si="11"/>
        <v/>
      </c>
      <c r="BU25" s="1545" t="str">
        <f t="shared" si="12"/>
        <v/>
      </c>
      <c r="BV25" s="1545" t="str">
        <f t="shared" si="13"/>
        <v/>
      </c>
      <c r="BW25" s="1545" t="str">
        <f t="shared" si="14"/>
        <v/>
      </c>
      <c r="BX25" s="1545" t="str">
        <f t="shared" si="15"/>
        <v/>
      </c>
      <c r="BY25" s="1545" t="str">
        <f t="shared" si="16"/>
        <v/>
      </c>
      <c r="BZ25" s="1545" t="str">
        <f t="shared" si="17"/>
        <v/>
      </c>
      <c r="CA25" s="1545" t="str">
        <f t="shared" si="18"/>
        <v/>
      </c>
      <c r="CB25" s="1545" t="str">
        <f t="shared" si="19"/>
        <v/>
      </c>
      <c r="CC25" s="1545" t="str">
        <f t="shared" si="20"/>
        <v/>
      </c>
      <c r="CD25" s="1545" t="str">
        <f t="shared" si="21"/>
        <v/>
      </c>
      <c r="CE25" s="1545" t="str">
        <f t="shared" si="22"/>
        <v/>
      </c>
      <c r="CF25" s="1545" t="str">
        <f t="shared" si="23"/>
        <v/>
      </c>
      <c r="CG25" s="1545" t="str">
        <f t="shared" si="24"/>
        <v/>
      </c>
      <c r="CH25" s="1545" t="str">
        <f t="shared" si="25"/>
        <v/>
      </c>
      <c r="CI25" s="1545" t="str">
        <f t="shared" si="26"/>
        <v/>
      </c>
      <c r="CJ25" s="1258" t="str">
        <f t="shared" si="27"/>
        <v/>
      </c>
      <c r="CK25" s="1258" t="str">
        <f t="shared" si="28"/>
        <v/>
      </c>
      <c r="CL25" s="1258" t="str">
        <f t="shared" si="29"/>
        <v/>
      </c>
      <c r="CM25" s="1258" t="str">
        <f t="shared" si="30"/>
        <v/>
      </c>
      <c r="CN25" s="1258" t="str">
        <f t="shared" si="31"/>
        <v/>
      </c>
      <c r="CO25" s="1258" t="str">
        <f t="shared" si="32"/>
        <v/>
      </c>
      <c r="CP25" s="1258" t="str">
        <f t="shared" si="33"/>
        <v/>
      </c>
      <c r="CQ25" s="1258" t="str">
        <f t="shared" si="34"/>
        <v/>
      </c>
      <c r="CR25" s="1258" t="str">
        <f t="shared" si="35"/>
        <v/>
      </c>
      <c r="CS25" s="1258" t="str">
        <f t="shared" si="36"/>
        <v/>
      </c>
      <c r="CT25" s="1258" t="str">
        <f t="shared" si="37"/>
        <v/>
      </c>
      <c r="CU25" s="1258" t="str">
        <f t="shared" si="38"/>
        <v/>
      </c>
      <c r="CV25" s="1258" t="str">
        <f t="shared" si="39"/>
        <v/>
      </c>
      <c r="CW25" s="1258" t="str">
        <f t="shared" si="40"/>
        <v/>
      </c>
      <c r="CX25" s="1258" t="str">
        <f t="shared" si="41"/>
        <v/>
      </c>
      <c r="CY25" s="1258" t="str">
        <f t="shared" si="42"/>
        <v/>
      </c>
      <c r="CZ25" s="1258" t="str">
        <f t="shared" si="43"/>
        <v/>
      </c>
      <c r="DA25" s="1258" t="str">
        <f t="shared" si="44"/>
        <v/>
      </c>
      <c r="DB25" s="1258" t="str">
        <f t="shared" si="45"/>
        <v/>
      </c>
      <c r="DC25" s="1258" t="str">
        <f t="shared" si="46"/>
        <v/>
      </c>
      <c r="DD25" s="1258" t="str">
        <f t="shared" si="47"/>
        <v/>
      </c>
      <c r="DE25" s="1258" t="str">
        <f t="shared" si="48"/>
        <v/>
      </c>
      <c r="DF25" s="1258" t="str">
        <f t="shared" si="49"/>
        <v/>
      </c>
      <c r="DG25" s="1258" t="str">
        <f t="shared" si="50"/>
        <v/>
      </c>
      <c r="DH25" s="1258" t="str">
        <f t="shared" si="51"/>
        <v/>
      </c>
      <c r="DI25" s="1258" t="str">
        <f t="shared" si="52"/>
        <v/>
      </c>
      <c r="DJ25" s="1258" t="str">
        <f t="shared" si="53"/>
        <v/>
      </c>
      <c r="DK25" s="1261" t="str">
        <f t="shared" si="54"/>
        <v/>
      </c>
    </row>
    <row r="26" spans="1:115" ht="45.75">
      <c r="A26" s="2681"/>
      <c r="C26" s="1029">
        <f>+PP!B44</f>
        <v>21</v>
      </c>
      <c r="D26" s="1111" t="str">
        <f>+PP!C44</f>
        <v>MANTO BLANCO C/M C/T 1.0-2.0 kg/pza</v>
      </c>
      <c r="E26" s="973"/>
      <c r="F26" s="619"/>
      <c r="G26" s="619"/>
      <c r="H26" s="619"/>
      <c r="I26" s="619"/>
      <c r="J26" s="619"/>
      <c r="K26" s="619"/>
      <c r="L26" s="619"/>
      <c r="M26" s="619"/>
      <c r="N26" s="619"/>
      <c r="O26" s="619"/>
      <c r="P26" s="619"/>
      <c r="Q26" s="627"/>
      <c r="R26" s="627"/>
      <c r="S26" s="620"/>
      <c r="T26" s="620"/>
      <c r="U26" s="620"/>
      <c r="V26" s="620"/>
      <c r="W26" s="620"/>
      <c r="X26" s="620"/>
      <c r="Y26" s="1099"/>
      <c r="Z26" s="1088"/>
      <c r="AA26" s="1088"/>
      <c r="AB26" s="1088"/>
      <c r="AC26" s="1088"/>
      <c r="AD26" s="1088"/>
      <c r="AE26" s="1088"/>
      <c r="AF26" s="1088"/>
      <c r="AG26" s="1088"/>
      <c r="AH26" s="1088"/>
      <c r="AI26" s="1088"/>
      <c r="AJ26" s="1088"/>
      <c r="AK26" s="1088"/>
      <c r="AL26" s="1088"/>
      <c r="AM26" s="1088"/>
      <c r="AN26" s="1088"/>
      <c r="AO26" s="1088"/>
      <c r="AP26" s="1088"/>
      <c r="AQ26" s="1088"/>
      <c r="AR26" s="1088"/>
      <c r="AS26" s="1088"/>
      <c r="AT26" s="1088"/>
      <c r="AU26" s="1088"/>
      <c r="AV26" s="620"/>
      <c r="AW26" s="620"/>
      <c r="AX26" s="620"/>
      <c r="AY26" s="620"/>
      <c r="AZ26" s="620"/>
      <c r="BA26" s="620"/>
      <c r="BB26" s="620"/>
      <c r="BC26" s="984">
        <f t="shared" si="0"/>
        <v>0</v>
      </c>
      <c r="BD26" s="985">
        <f t="shared" si="1"/>
        <v>0</v>
      </c>
      <c r="BE26" s="990">
        <f t="shared" si="2"/>
        <v>0</v>
      </c>
      <c r="BK26" s="1258" t="str">
        <f>IFERROR(INDEX($C$6:$C$53,_xlfn.AGGREGATE(15,6,(ROW($C$6:$C$53)-ROW($C$6)+1)/($BC$6:$BC$53&gt;0),ROWS($BK$6:BK26))),"")</f>
        <v/>
      </c>
      <c r="BL26" s="1259" t="str">
        <f t="shared" si="3"/>
        <v/>
      </c>
      <c r="BM26" s="1545" t="str">
        <f t="shared" si="4"/>
        <v/>
      </c>
      <c r="BN26" s="1545" t="str">
        <f t="shared" si="5"/>
        <v/>
      </c>
      <c r="BO26" s="1545" t="str">
        <f t="shared" si="6"/>
        <v/>
      </c>
      <c r="BP26" s="1545" t="str">
        <f t="shared" si="7"/>
        <v/>
      </c>
      <c r="BQ26" s="1545" t="str">
        <f t="shared" si="8"/>
        <v/>
      </c>
      <c r="BR26" s="1545" t="str">
        <f t="shared" si="9"/>
        <v/>
      </c>
      <c r="BS26" s="1545" t="str">
        <f t="shared" si="10"/>
        <v/>
      </c>
      <c r="BT26" s="1545" t="str">
        <f t="shared" si="11"/>
        <v/>
      </c>
      <c r="BU26" s="1545" t="str">
        <f t="shared" si="12"/>
        <v/>
      </c>
      <c r="BV26" s="1545" t="str">
        <f t="shared" si="13"/>
        <v/>
      </c>
      <c r="BW26" s="1545" t="str">
        <f t="shared" si="14"/>
        <v/>
      </c>
      <c r="BX26" s="1545" t="str">
        <f t="shared" si="15"/>
        <v/>
      </c>
      <c r="BY26" s="1545" t="str">
        <f t="shared" si="16"/>
        <v/>
      </c>
      <c r="BZ26" s="1545" t="str">
        <f t="shared" si="17"/>
        <v/>
      </c>
      <c r="CA26" s="1545" t="str">
        <f t="shared" si="18"/>
        <v/>
      </c>
      <c r="CB26" s="1545" t="str">
        <f t="shared" si="19"/>
        <v/>
      </c>
      <c r="CC26" s="1545" t="str">
        <f t="shared" si="20"/>
        <v/>
      </c>
      <c r="CD26" s="1545" t="str">
        <f t="shared" si="21"/>
        <v/>
      </c>
      <c r="CE26" s="1545" t="str">
        <f t="shared" si="22"/>
        <v/>
      </c>
      <c r="CF26" s="1545" t="str">
        <f t="shared" si="23"/>
        <v/>
      </c>
      <c r="CG26" s="1545" t="str">
        <f t="shared" si="24"/>
        <v/>
      </c>
      <c r="CH26" s="1545" t="str">
        <f t="shared" si="25"/>
        <v/>
      </c>
      <c r="CI26" s="1545" t="str">
        <f t="shared" si="26"/>
        <v/>
      </c>
      <c r="CJ26" s="1258" t="str">
        <f t="shared" si="27"/>
        <v/>
      </c>
      <c r="CK26" s="1258" t="str">
        <f t="shared" si="28"/>
        <v/>
      </c>
      <c r="CL26" s="1258" t="str">
        <f t="shared" si="29"/>
        <v/>
      </c>
      <c r="CM26" s="1258" t="str">
        <f t="shared" si="30"/>
        <v/>
      </c>
      <c r="CN26" s="1258" t="str">
        <f t="shared" si="31"/>
        <v/>
      </c>
      <c r="CO26" s="1258" t="str">
        <f t="shared" si="32"/>
        <v/>
      </c>
      <c r="CP26" s="1258" t="str">
        <f t="shared" si="33"/>
        <v/>
      </c>
      <c r="CQ26" s="1258" t="str">
        <f t="shared" si="34"/>
        <v/>
      </c>
      <c r="CR26" s="1258" t="str">
        <f t="shared" si="35"/>
        <v/>
      </c>
      <c r="CS26" s="1258" t="str">
        <f t="shared" si="36"/>
        <v/>
      </c>
      <c r="CT26" s="1258" t="str">
        <f t="shared" si="37"/>
        <v/>
      </c>
      <c r="CU26" s="1258" t="str">
        <f t="shared" si="38"/>
        <v/>
      </c>
      <c r="CV26" s="1258" t="str">
        <f t="shared" si="39"/>
        <v/>
      </c>
      <c r="CW26" s="1258" t="str">
        <f t="shared" si="40"/>
        <v/>
      </c>
      <c r="CX26" s="1258" t="str">
        <f t="shared" si="41"/>
        <v/>
      </c>
      <c r="CY26" s="1258" t="str">
        <f t="shared" si="42"/>
        <v/>
      </c>
      <c r="CZ26" s="1258" t="str">
        <f t="shared" si="43"/>
        <v/>
      </c>
      <c r="DA26" s="1258" t="str">
        <f t="shared" si="44"/>
        <v/>
      </c>
      <c r="DB26" s="1258" t="str">
        <f t="shared" si="45"/>
        <v/>
      </c>
      <c r="DC26" s="1258" t="str">
        <f t="shared" si="46"/>
        <v/>
      </c>
      <c r="DD26" s="1258" t="str">
        <f t="shared" si="47"/>
        <v/>
      </c>
      <c r="DE26" s="1258" t="str">
        <f t="shared" si="48"/>
        <v/>
      </c>
      <c r="DF26" s="1258" t="str">
        <f t="shared" si="49"/>
        <v/>
      </c>
      <c r="DG26" s="1258" t="str">
        <f t="shared" si="50"/>
        <v/>
      </c>
      <c r="DH26" s="1258" t="str">
        <f t="shared" si="51"/>
        <v/>
      </c>
      <c r="DI26" s="1258" t="str">
        <f t="shared" si="52"/>
        <v/>
      </c>
      <c r="DJ26" s="1258" t="str">
        <f t="shared" si="53"/>
        <v/>
      </c>
      <c r="DK26" s="1261" t="str">
        <f t="shared" si="54"/>
        <v/>
      </c>
    </row>
    <row r="27" spans="1:115" ht="45.75">
      <c r="A27" s="2681"/>
      <c r="C27" s="1029">
        <f>+PP!B45</f>
        <v>22</v>
      </c>
      <c r="D27" s="1111" t="str">
        <f>+PP!C45</f>
        <v>MANTO BLANCO C/M C/T 2.0-4.0 kg/pza</v>
      </c>
      <c r="E27" s="973"/>
      <c r="F27" s="619"/>
      <c r="G27" s="619"/>
      <c r="H27" s="619"/>
      <c r="I27" s="619"/>
      <c r="J27" s="619"/>
      <c r="K27" s="619"/>
      <c r="L27" s="619"/>
      <c r="M27" s="619"/>
      <c r="N27" s="619"/>
      <c r="O27" s="619"/>
      <c r="P27" s="619"/>
      <c r="Q27" s="627"/>
      <c r="R27" s="627"/>
      <c r="S27" s="620"/>
      <c r="T27" s="620"/>
      <c r="U27" s="620"/>
      <c r="V27" s="620"/>
      <c r="W27" s="620"/>
      <c r="X27" s="620"/>
      <c r="Y27" s="1099"/>
      <c r="Z27" s="1088"/>
      <c r="AA27" s="1088"/>
      <c r="AB27" s="1088"/>
      <c r="AC27" s="1088"/>
      <c r="AD27" s="1088"/>
      <c r="AE27" s="1088"/>
      <c r="AF27" s="1088"/>
      <c r="AG27" s="1088"/>
      <c r="AH27" s="1088"/>
      <c r="AI27" s="1088"/>
      <c r="AJ27" s="1088"/>
      <c r="AK27" s="1088"/>
      <c r="AL27" s="1088"/>
      <c r="AM27" s="1088"/>
      <c r="AN27" s="1088"/>
      <c r="AO27" s="1088"/>
      <c r="AP27" s="1088"/>
      <c r="AQ27" s="1088"/>
      <c r="AR27" s="1088"/>
      <c r="AS27" s="1088"/>
      <c r="AT27" s="1088"/>
      <c r="AU27" s="1088"/>
      <c r="AV27" s="620"/>
      <c r="AW27" s="620"/>
      <c r="AX27" s="620"/>
      <c r="AY27" s="620"/>
      <c r="AZ27" s="620"/>
      <c r="BA27" s="620"/>
      <c r="BB27" s="620"/>
      <c r="BC27" s="984">
        <f t="shared" si="0"/>
        <v>0</v>
      </c>
      <c r="BD27" s="985">
        <f t="shared" si="1"/>
        <v>0</v>
      </c>
      <c r="BE27" s="990">
        <f t="shared" si="2"/>
        <v>0</v>
      </c>
      <c r="BK27" s="1258" t="str">
        <f>IFERROR(INDEX($C$6:$C$53,_xlfn.AGGREGATE(15,6,(ROW($C$6:$C$53)-ROW($C$6)+1)/($BC$6:$BC$53&gt;0),ROWS($BK$6:BK27))),"")</f>
        <v/>
      </c>
      <c r="BL27" s="1259" t="str">
        <f t="shared" si="3"/>
        <v/>
      </c>
      <c r="BM27" s="1545" t="str">
        <f t="shared" si="4"/>
        <v/>
      </c>
      <c r="BN27" s="1545" t="str">
        <f t="shared" si="5"/>
        <v/>
      </c>
      <c r="BO27" s="1545" t="str">
        <f t="shared" si="6"/>
        <v/>
      </c>
      <c r="BP27" s="1545" t="str">
        <f t="shared" si="7"/>
        <v/>
      </c>
      <c r="BQ27" s="1545" t="str">
        <f t="shared" si="8"/>
        <v/>
      </c>
      <c r="BR27" s="1545" t="str">
        <f t="shared" si="9"/>
        <v/>
      </c>
      <c r="BS27" s="1545" t="str">
        <f t="shared" si="10"/>
        <v/>
      </c>
      <c r="BT27" s="1545" t="str">
        <f t="shared" si="11"/>
        <v/>
      </c>
      <c r="BU27" s="1545" t="str">
        <f t="shared" si="12"/>
        <v/>
      </c>
      <c r="BV27" s="1545" t="str">
        <f t="shared" si="13"/>
        <v/>
      </c>
      <c r="BW27" s="1545" t="str">
        <f t="shared" si="14"/>
        <v/>
      </c>
      <c r="BX27" s="1545" t="str">
        <f t="shared" si="15"/>
        <v/>
      </c>
      <c r="BY27" s="1545" t="str">
        <f t="shared" si="16"/>
        <v/>
      </c>
      <c r="BZ27" s="1545" t="str">
        <f t="shared" si="17"/>
        <v/>
      </c>
      <c r="CA27" s="1545" t="str">
        <f t="shared" si="18"/>
        <v/>
      </c>
      <c r="CB27" s="1545" t="str">
        <f t="shared" si="19"/>
        <v/>
      </c>
      <c r="CC27" s="1545" t="str">
        <f t="shared" si="20"/>
        <v/>
      </c>
      <c r="CD27" s="1545" t="str">
        <f t="shared" si="21"/>
        <v/>
      </c>
      <c r="CE27" s="1545" t="str">
        <f t="shared" si="22"/>
        <v/>
      </c>
      <c r="CF27" s="1545" t="str">
        <f t="shared" si="23"/>
        <v/>
      </c>
      <c r="CG27" s="1545" t="str">
        <f t="shared" si="24"/>
        <v/>
      </c>
      <c r="CH27" s="1545" t="str">
        <f t="shared" si="25"/>
        <v/>
      </c>
      <c r="CI27" s="1545" t="str">
        <f t="shared" si="26"/>
        <v/>
      </c>
      <c r="CJ27" s="1258" t="str">
        <f t="shared" si="27"/>
        <v/>
      </c>
      <c r="CK27" s="1258" t="str">
        <f t="shared" si="28"/>
        <v/>
      </c>
      <c r="CL27" s="1258" t="str">
        <f t="shared" si="29"/>
        <v/>
      </c>
      <c r="CM27" s="1258" t="str">
        <f t="shared" si="30"/>
        <v/>
      </c>
      <c r="CN27" s="1258" t="str">
        <f t="shared" si="31"/>
        <v/>
      </c>
      <c r="CO27" s="1258" t="str">
        <f t="shared" si="32"/>
        <v/>
      </c>
      <c r="CP27" s="1258" t="str">
        <f t="shared" si="33"/>
        <v/>
      </c>
      <c r="CQ27" s="1258" t="str">
        <f t="shared" si="34"/>
        <v/>
      </c>
      <c r="CR27" s="1258" t="str">
        <f t="shared" si="35"/>
        <v/>
      </c>
      <c r="CS27" s="1258" t="str">
        <f t="shared" si="36"/>
        <v/>
      </c>
      <c r="CT27" s="1258" t="str">
        <f t="shared" si="37"/>
        <v/>
      </c>
      <c r="CU27" s="1258" t="str">
        <f t="shared" si="38"/>
        <v/>
      </c>
      <c r="CV27" s="1258" t="str">
        <f t="shared" si="39"/>
        <v/>
      </c>
      <c r="CW27" s="1258" t="str">
        <f t="shared" si="40"/>
        <v/>
      </c>
      <c r="CX27" s="1258" t="str">
        <f t="shared" si="41"/>
        <v/>
      </c>
      <c r="CY27" s="1258" t="str">
        <f t="shared" si="42"/>
        <v/>
      </c>
      <c r="CZ27" s="1258" t="str">
        <f t="shared" si="43"/>
        <v/>
      </c>
      <c r="DA27" s="1258" t="str">
        <f t="shared" si="44"/>
        <v/>
      </c>
      <c r="DB27" s="1258" t="str">
        <f t="shared" si="45"/>
        <v/>
      </c>
      <c r="DC27" s="1258" t="str">
        <f t="shared" si="46"/>
        <v/>
      </c>
      <c r="DD27" s="1258" t="str">
        <f t="shared" si="47"/>
        <v/>
      </c>
      <c r="DE27" s="1258" t="str">
        <f t="shared" si="48"/>
        <v/>
      </c>
      <c r="DF27" s="1258" t="str">
        <f t="shared" si="49"/>
        <v/>
      </c>
      <c r="DG27" s="1258" t="str">
        <f t="shared" si="50"/>
        <v/>
      </c>
      <c r="DH27" s="1258" t="str">
        <f t="shared" si="51"/>
        <v/>
      </c>
      <c r="DI27" s="1258" t="str">
        <f t="shared" si="52"/>
        <v/>
      </c>
      <c r="DJ27" s="1258" t="str">
        <f t="shared" si="53"/>
        <v/>
      </c>
      <c r="DK27" s="1261" t="str">
        <f t="shared" si="54"/>
        <v/>
      </c>
    </row>
    <row r="28" spans="1:115" ht="45.75">
      <c r="A28" s="2681"/>
      <c r="C28" s="1029">
        <f>+PP!B46</f>
        <v>23</v>
      </c>
      <c r="D28" s="1111" t="str">
        <f>+PP!C46</f>
        <v>MANTO LP C/M C/T 500-1000 g/pza</v>
      </c>
      <c r="E28" s="977"/>
      <c r="F28" s="619"/>
      <c r="G28" s="629"/>
      <c r="H28" s="619"/>
      <c r="I28" s="619"/>
      <c r="J28" s="619"/>
      <c r="K28" s="619"/>
      <c r="L28" s="619"/>
      <c r="M28" s="619"/>
      <c r="N28" s="874"/>
      <c r="O28" s="619"/>
      <c r="P28" s="619"/>
      <c r="Q28" s="627"/>
      <c r="R28" s="627"/>
      <c r="S28" s="620"/>
      <c r="T28" s="620"/>
      <c r="U28" s="620"/>
      <c r="V28" s="620"/>
      <c r="W28" s="620"/>
      <c r="X28" s="620"/>
      <c r="Y28" s="1099"/>
      <c r="Z28" s="1088"/>
      <c r="AA28" s="1088"/>
      <c r="AB28" s="1088"/>
      <c r="AC28" s="1088"/>
      <c r="AD28" s="1088"/>
      <c r="AE28" s="1088"/>
      <c r="AF28" s="1088"/>
      <c r="AG28" s="1088"/>
      <c r="AH28" s="1088"/>
      <c r="AI28" s="1088"/>
      <c r="AJ28" s="1088"/>
      <c r="AK28" s="1088"/>
      <c r="AL28" s="1088"/>
      <c r="AM28" s="1088"/>
      <c r="AN28" s="1088"/>
      <c r="AO28" s="1088"/>
      <c r="AP28" s="1088"/>
      <c r="AQ28" s="1088"/>
      <c r="AR28" s="1088"/>
      <c r="AS28" s="1088"/>
      <c r="AT28" s="1088"/>
      <c r="AU28" s="1088"/>
      <c r="AV28" s="620"/>
      <c r="AW28" s="620"/>
      <c r="AX28" s="620"/>
      <c r="AY28" s="620"/>
      <c r="AZ28" s="620"/>
      <c r="BA28" s="620"/>
      <c r="BB28" s="620"/>
      <c r="BC28" s="984">
        <f t="shared" si="0"/>
        <v>0</v>
      </c>
      <c r="BD28" s="985">
        <f t="shared" si="1"/>
        <v>0</v>
      </c>
      <c r="BE28" s="990">
        <f t="shared" si="2"/>
        <v>0</v>
      </c>
      <c r="BK28" s="1258" t="str">
        <f>IFERROR(INDEX($C$6:$C$53,_xlfn.AGGREGATE(15,6,(ROW($C$6:$C$53)-ROW($C$6)+1)/($BC$6:$BC$53&gt;0),ROWS($BK$6:BK28))),"")</f>
        <v/>
      </c>
      <c r="BL28" s="1259" t="str">
        <f t="shared" si="3"/>
        <v/>
      </c>
      <c r="BM28" s="1545" t="str">
        <f t="shared" si="4"/>
        <v/>
      </c>
      <c r="BN28" s="1545" t="str">
        <f t="shared" si="5"/>
        <v/>
      </c>
      <c r="BO28" s="1545" t="str">
        <f t="shared" si="6"/>
        <v/>
      </c>
      <c r="BP28" s="1545" t="str">
        <f t="shared" si="7"/>
        <v/>
      </c>
      <c r="BQ28" s="1545" t="str">
        <f t="shared" si="8"/>
        <v/>
      </c>
      <c r="BR28" s="1545" t="str">
        <f t="shared" si="9"/>
        <v/>
      </c>
      <c r="BS28" s="1545" t="str">
        <f t="shared" si="10"/>
        <v/>
      </c>
      <c r="BT28" s="1545" t="str">
        <f t="shared" si="11"/>
        <v/>
      </c>
      <c r="BU28" s="1545" t="str">
        <f t="shared" si="12"/>
        <v/>
      </c>
      <c r="BV28" s="1258" t="str">
        <f t="shared" si="13"/>
        <v/>
      </c>
      <c r="BW28" s="1258" t="str">
        <f t="shared" si="14"/>
        <v/>
      </c>
      <c r="BX28" s="1258" t="str">
        <f t="shared" si="15"/>
        <v/>
      </c>
      <c r="BY28" s="1258" t="str">
        <f t="shared" si="16"/>
        <v/>
      </c>
      <c r="BZ28" s="1258" t="str">
        <f t="shared" si="17"/>
        <v/>
      </c>
      <c r="CA28" s="1545" t="str">
        <f t="shared" si="18"/>
        <v/>
      </c>
      <c r="CB28" s="1545" t="str">
        <f t="shared" si="19"/>
        <v/>
      </c>
      <c r="CC28" s="1258" t="str">
        <f t="shared" si="20"/>
        <v/>
      </c>
      <c r="CD28" s="1545" t="str">
        <f t="shared" si="21"/>
        <v/>
      </c>
      <c r="CE28" s="1258" t="str">
        <f t="shared" si="22"/>
        <v/>
      </c>
      <c r="CF28" s="1258" t="str">
        <f t="shared" si="23"/>
        <v/>
      </c>
      <c r="CG28" s="1258" t="str">
        <f t="shared" si="24"/>
        <v/>
      </c>
      <c r="CH28" s="1258" t="str">
        <f t="shared" si="25"/>
        <v/>
      </c>
      <c r="CI28" s="1258" t="str">
        <f t="shared" si="26"/>
        <v/>
      </c>
      <c r="CJ28" s="1258" t="str">
        <f t="shared" si="27"/>
        <v/>
      </c>
      <c r="CK28" s="1258" t="str">
        <f t="shared" si="28"/>
        <v/>
      </c>
      <c r="CL28" s="1258" t="str">
        <f t="shared" si="29"/>
        <v/>
      </c>
      <c r="CM28" s="1258" t="str">
        <f t="shared" si="30"/>
        <v/>
      </c>
      <c r="CN28" s="1258" t="str">
        <f t="shared" si="31"/>
        <v/>
      </c>
      <c r="CO28" s="1258" t="str">
        <f t="shared" si="32"/>
        <v/>
      </c>
      <c r="CP28" s="1258" t="str">
        <f t="shared" si="33"/>
        <v/>
      </c>
      <c r="CQ28" s="1258" t="str">
        <f t="shared" si="34"/>
        <v/>
      </c>
      <c r="CR28" s="1258" t="str">
        <f t="shared" si="35"/>
        <v/>
      </c>
      <c r="CS28" s="1258" t="str">
        <f t="shared" si="36"/>
        <v/>
      </c>
      <c r="CT28" s="1258" t="str">
        <f t="shared" si="37"/>
        <v/>
      </c>
      <c r="CU28" s="1258" t="str">
        <f t="shared" si="38"/>
        <v/>
      </c>
      <c r="CV28" s="1258" t="str">
        <f t="shared" si="39"/>
        <v/>
      </c>
      <c r="CW28" s="1258" t="str">
        <f t="shared" si="40"/>
        <v/>
      </c>
      <c r="CX28" s="1258" t="str">
        <f t="shared" si="41"/>
        <v/>
      </c>
      <c r="CY28" s="1258" t="str">
        <f t="shared" si="42"/>
        <v/>
      </c>
      <c r="CZ28" s="1258" t="str">
        <f t="shared" si="43"/>
        <v/>
      </c>
      <c r="DA28" s="1258" t="str">
        <f t="shared" si="44"/>
        <v/>
      </c>
      <c r="DB28" s="1258" t="str">
        <f t="shared" si="45"/>
        <v/>
      </c>
      <c r="DC28" s="1258" t="str">
        <f t="shared" si="46"/>
        <v/>
      </c>
      <c r="DD28" s="1258" t="str">
        <f t="shared" si="47"/>
        <v/>
      </c>
      <c r="DE28" s="1258" t="str">
        <f t="shared" si="48"/>
        <v/>
      </c>
      <c r="DF28" s="1258" t="str">
        <f t="shared" si="49"/>
        <v/>
      </c>
      <c r="DG28" s="1258" t="str">
        <f t="shared" si="50"/>
        <v/>
      </c>
      <c r="DH28" s="1258" t="str">
        <f t="shared" si="51"/>
        <v/>
      </c>
      <c r="DI28" s="1258" t="str">
        <f t="shared" si="52"/>
        <v/>
      </c>
      <c r="DJ28" s="1258" t="str">
        <f t="shared" si="53"/>
        <v/>
      </c>
      <c r="DK28" s="1261" t="str">
        <f t="shared" si="54"/>
        <v/>
      </c>
    </row>
    <row r="29" spans="1:115" ht="45.75">
      <c r="A29" s="2681"/>
      <c r="C29" s="1029">
        <f>+PP!B47</f>
        <v>24</v>
      </c>
      <c r="D29" s="1111" t="str">
        <f>+PP!C47</f>
        <v>MANTO LP C/M C/T 1.0-2.0 Kg/pza</v>
      </c>
      <c r="E29" s="1108"/>
      <c r="F29" s="1104"/>
      <c r="G29" s="629"/>
      <c r="H29" s="1104"/>
      <c r="I29" s="1104"/>
      <c r="J29" s="619"/>
      <c r="K29" s="619"/>
      <c r="L29" s="1104"/>
      <c r="M29" s="1104"/>
      <c r="N29" s="1104"/>
      <c r="O29" s="1104"/>
      <c r="P29" s="1104"/>
      <c r="Q29" s="632"/>
      <c r="R29" s="632"/>
      <c r="S29" s="620"/>
      <c r="T29" s="620"/>
      <c r="U29" s="620"/>
      <c r="V29" s="632"/>
      <c r="W29" s="620"/>
      <c r="X29" s="632"/>
      <c r="Y29" s="1099"/>
      <c r="Z29" s="1088"/>
      <c r="AA29" s="1088"/>
      <c r="AB29" s="1088"/>
      <c r="AC29" s="1088"/>
      <c r="AD29" s="1088"/>
      <c r="AE29" s="1088"/>
      <c r="AF29" s="1088"/>
      <c r="AG29" s="1088"/>
      <c r="AH29" s="1088"/>
      <c r="AI29" s="1088"/>
      <c r="AJ29" s="1088"/>
      <c r="AK29" s="1088"/>
      <c r="AL29" s="1088"/>
      <c r="AM29" s="1088"/>
      <c r="AN29" s="1088"/>
      <c r="AO29" s="1088"/>
      <c r="AP29" s="1088"/>
      <c r="AQ29" s="1088"/>
      <c r="AR29" s="1088"/>
      <c r="AS29" s="1088"/>
      <c r="AT29" s="1088"/>
      <c r="AU29" s="1088"/>
      <c r="AV29" s="620"/>
      <c r="AW29" s="620"/>
      <c r="AX29" s="620"/>
      <c r="AY29" s="620"/>
      <c r="AZ29" s="620"/>
      <c r="BA29" s="620"/>
      <c r="BB29" s="620"/>
      <c r="BC29" s="984">
        <f t="shared" si="0"/>
        <v>0</v>
      </c>
      <c r="BD29" s="985">
        <f t="shared" si="1"/>
        <v>0</v>
      </c>
      <c r="BE29" s="990">
        <f t="shared" si="2"/>
        <v>0</v>
      </c>
      <c r="BI29" s="888"/>
      <c r="BK29" s="1258" t="str">
        <f>IFERROR(INDEX($C$6:$C$53,_xlfn.AGGREGATE(15,6,(ROW($C$6:$C$53)-ROW($C$6)+1)/($BC$6:$BC$53&gt;0),ROWS($BK$6:BK29))),"")</f>
        <v/>
      </c>
      <c r="BL29" s="1259" t="str">
        <f t="shared" si="3"/>
        <v/>
      </c>
      <c r="BM29" s="1545" t="str">
        <f t="shared" si="4"/>
        <v/>
      </c>
      <c r="BN29" s="1545" t="str">
        <f t="shared" si="5"/>
        <v/>
      </c>
      <c r="BO29" s="1545" t="str">
        <f t="shared" si="6"/>
        <v/>
      </c>
      <c r="BP29" s="1545" t="str">
        <f t="shared" si="7"/>
        <v/>
      </c>
      <c r="BQ29" s="1545" t="str">
        <f t="shared" si="8"/>
        <v/>
      </c>
      <c r="BR29" s="1545" t="str">
        <f t="shared" si="9"/>
        <v/>
      </c>
      <c r="BS29" s="1545" t="str">
        <f t="shared" si="10"/>
        <v/>
      </c>
      <c r="BT29" s="1545" t="str">
        <f t="shared" si="11"/>
        <v/>
      </c>
      <c r="BU29" s="1545" t="str">
        <f t="shared" si="12"/>
        <v/>
      </c>
      <c r="BV29" s="1258" t="str">
        <f t="shared" si="13"/>
        <v/>
      </c>
      <c r="BW29" s="1258" t="str">
        <f t="shared" si="14"/>
        <v/>
      </c>
      <c r="BX29" s="1258" t="str">
        <f t="shared" si="15"/>
        <v/>
      </c>
      <c r="BY29" s="1258" t="str">
        <f t="shared" si="16"/>
        <v/>
      </c>
      <c r="BZ29" s="1258" t="str">
        <f t="shared" si="17"/>
        <v/>
      </c>
      <c r="CA29" s="1545" t="str">
        <f t="shared" si="18"/>
        <v/>
      </c>
      <c r="CB29" s="1545" t="str">
        <f t="shared" si="19"/>
        <v/>
      </c>
      <c r="CC29" s="1258" t="str">
        <f t="shared" si="20"/>
        <v/>
      </c>
      <c r="CD29" s="1545" t="str">
        <f t="shared" si="21"/>
        <v/>
      </c>
      <c r="CE29" s="1258" t="str">
        <f t="shared" si="22"/>
        <v/>
      </c>
      <c r="CF29" s="1258" t="str">
        <f t="shared" si="23"/>
        <v/>
      </c>
      <c r="CG29" s="1258" t="str">
        <f t="shared" si="24"/>
        <v/>
      </c>
      <c r="CH29" s="1258" t="str">
        <f t="shared" si="25"/>
        <v/>
      </c>
      <c r="CI29" s="1258" t="str">
        <f t="shared" si="26"/>
        <v/>
      </c>
      <c r="CJ29" s="1258" t="str">
        <f t="shared" si="27"/>
        <v/>
      </c>
      <c r="CK29" s="1258" t="str">
        <f t="shared" si="28"/>
        <v/>
      </c>
      <c r="CL29" s="1258" t="str">
        <f t="shared" si="29"/>
        <v/>
      </c>
      <c r="CM29" s="1258" t="str">
        <f t="shared" si="30"/>
        <v/>
      </c>
      <c r="CN29" s="1258" t="str">
        <f t="shared" si="31"/>
        <v/>
      </c>
      <c r="CO29" s="1258" t="str">
        <f t="shared" si="32"/>
        <v/>
      </c>
      <c r="CP29" s="1258" t="str">
        <f t="shared" si="33"/>
        <v/>
      </c>
      <c r="CQ29" s="1258" t="str">
        <f t="shared" si="34"/>
        <v/>
      </c>
      <c r="CR29" s="1258" t="str">
        <f t="shared" si="35"/>
        <v/>
      </c>
      <c r="CS29" s="1258" t="str">
        <f t="shared" si="36"/>
        <v/>
      </c>
      <c r="CT29" s="1258" t="str">
        <f t="shared" si="37"/>
        <v/>
      </c>
      <c r="CU29" s="1258" t="str">
        <f t="shared" si="38"/>
        <v/>
      </c>
      <c r="CV29" s="1258" t="str">
        <f t="shared" si="39"/>
        <v/>
      </c>
      <c r="CW29" s="1258" t="str">
        <f t="shared" si="40"/>
        <v/>
      </c>
      <c r="CX29" s="1258" t="str">
        <f t="shared" si="41"/>
        <v/>
      </c>
      <c r="CY29" s="1258" t="str">
        <f t="shared" si="42"/>
        <v/>
      </c>
      <c r="CZ29" s="1258" t="str">
        <f t="shared" si="43"/>
        <v/>
      </c>
      <c r="DA29" s="1258" t="str">
        <f t="shared" si="44"/>
        <v/>
      </c>
      <c r="DB29" s="1258" t="str">
        <f t="shared" si="45"/>
        <v/>
      </c>
      <c r="DC29" s="1258" t="str">
        <f t="shared" si="46"/>
        <v/>
      </c>
      <c r="DD29" s="1258" t="str">
        <f t="shared" si="47"/>
        <v/>
      </c>
      <c r="DE29" s="1258" t="str">
        <f t="shared" si="48"/>
        <v/>
      </c>
      <c r="DF29" s="1258" t="str">
        <f t="shared" si="49"/>
        <v/>
      </c>
      <c r="DG29" s="1258" t="str">
        <f t="shared" si="50"/>
        <v/>
      </c>
      <c r="DH29" s="1258" t="str">
        <f t="shared" si="51"/>
        <v/>
      </c>
      <c r="DI29" s="1258" t="str">
        <f t="shared" si="52"/>
        <v/>
      </c>
      <c r="DJ29" s="1258" t="str">
        <f t="shared" si="53"/>
        <v/>
      </c>
      <c r="DK29" s="1261" t="str">
        <f t="shared" si="54"/>
        <v/>
      </c>
    </row>
    <row r="30" spans="1:115" ht="46.5" thickBot="1">
      <c r="A30" s="2681"/>
      <c r="C30" s="1029">
        <f>+PP!B48</f>
        <v>25</v>
      </c>
      <c r="D30" s="1111" t="str">
        <f>+PP!C48</f>
        <v>MANTO LP C/M C/T 2.0-4.0 Kg/pza</v>
      </c>
      <c r="E30" s="977"/>
      <c r="F30" s="619"/>
      <c r="G30" s="629"/>
      <c r="H30" s="619"/>
      <c r="I30" s="619"/>
      <c r="J30" s="1104"/>
      <c r="K30" s="619"/>
      <c r="L30" s="619"/>
      <c r="M30" s="619"/>
      <c r="N30" s="619"/>
      <c r="O30" s="619"/>
      <c r="P30" s="619"/>
      <c r="Q30" s="627"/>
      <c r="R30" s="627"/>
      <c r="S30" s="620"/>
      <c r="T30" s="620"/>
      <c r="U30" s="620"/>
      <c r="V30" s="620"/>
      <c r="W30" s="620"/>
      <c r="X30" s="632"/>
      <c r="Y30" s="1099"/>
      <c r="Z30" s="1088"/>
      <c r="AA30" s="1088"/>
      <c r="AB30" s="1088"/>
      <c r="AC30" s="1088"/>
      <c r="AD30" s="1088"/>
      <c r="AE30" s="1088"/>
      <c r="AF30" s="1088"/>
      <c r="AG30" s="1088"/>
      <c r="AH30" s="1088"/>
      <c r="AI30" s="1088"/>
      <c r="AJ30" s="1088"/>
      <c r="AK30" s="1088"/>
      <c r="AL30" s="1088"/>
      <c r="AM30" s="1088"/>
      <c r="AN30" s="1088"/>
      <c r="AO30" s="1088"/>
      <c r="AP30" s="1088"/>
      <c r="AQ30" s="1088"/>
      <c r="AR30" s="1088"/>
      <c r="AS30" s="1088"/>
      <c r="AT30" s="1088"/>
      <c r="AU30" s="1088"/>
      <c r="AV30" s="620"/>
      <c r="AW30" s="620"/>
      <c r="AX30" s="620"/>
      <c r="AY30" s="620"/>
      <c r="AZ30" s="620"/>
      <c r="BA30" s="620"/>
      <c r="BB30" s="620"/>
      <c r="BC30" s="984">
        <f t="shared" si="0"/>
        <v>0</v>
      </c>
      <c r="BD30" s="985">
        <f t="shared" si="1"/>
        <v>0</v>
      </c>
      <c r="BE30" s="990">
        <f t="shared" si="2"/>
        <v>0</v>
      </c>
      <c r="BK30" s="1258" t="str">
        <f>IFERROR(INDEX($C$6:$C$53,_xlfn.AGGREGATE(15,6,(ROW($C$6:$C$53)-ROW($C$6)+1)/($BC$6:$BC$53&gt;0),ROWS($BK$6:BK30))),"")</f>
        <v/>
      </c>
      <c r="BL30" s="1259" t="str">
        <f t="shared" si="3"/>
        <v/>
      </c>
      <c r="BM30" s="1545" t="str">
        <f t="shared" si="4"/>
        <v/>
      </c>
      <c r="BN30" s="1545" t="str">
        <f t="shared" si="5"/>
        <v/>
      </c>
      <c r="BO30" s="1545" t="str">
        <f t="shared" si="6"/>
        <v/>
      </c>
      <c r="BP30" s="1545" t="str">
        <f t="shared" si="7"/>
        <v/>
      </c>
      <c r="BQ30" s="1545" t="str">
        <f t="shared" si="8"/>
        <v/>
      </c>
      <c r="BR30" s="1545" t="str">
        <f t="shared" si="9"/>
        <v/>
      </c>
      <c r="BS30" s="1545" t="str">
        <f t="shared" si="10"/>
        <v/>
      </c>
      <c r="BT30" s="1545" t="str">
        <f t="shared" si="11"/>
        <v/>
      </c>
      <c r="BU30" s="1545" t="str">
        <f t="shared" si="12"/>
        <v/>
      </c>
      <c r="BV30" s="1258" t="str">
        <f t="shared" si="13"/>
        <v/>
      </c>
      <c r="BW30" s="1258" t="str">
        <f t="shared" si="14"/>
        <v/>
      </c>
      <c r="BX30" s="1258" t="str">
        <f t="shared" si="15"/>
        <v/>
      </c>
      <c r="BY30" s="1258" t="str">
        <f t="shared" si="16"/>
        <v/>
      </c>
      <c r="BZ30" s="1258" t="str">
        <f t="shared" si="17"/>
        <v/>
      </c>
      <c r="CA30" s="1545" t="str">
        <f t="shared" si="18"/>
        <v/>
      </c>
      <c r="CB30" s="1545" t="str">
        <f t="shared" si="19"/>
        <v/>
      </c>
      <c r="CC30" s="1258" t="str">
        <f t="shared" si="20"/>
        <v/>
      </c>
      <c r="CD30" s="1545" t="str">
        <f t="shared" si="21"/>
        <v/>
      </c>
      <c r="CE30" s="1258" t="str">
        <f t="shared" si="22"/>
        <v/>
      </c>
      <c r="CF30" s="1258" t="str">
        <f t="shared" si="23"/>
        <v/>
      </c>
      <c r="CG30" s="1258" t="str">
        <f t="shared" si="24"/>
        <v/>
      </c>
      <c r="CH30" s="1258" t="str">
        <f t="shared" si="25"/>
        <v/>
      </c>
      <c r="CI30" s="1258" t="str">
        <f t="shared" si="26"/>
        <v/>
      </c>
      <c r="CJ30" s="1258" t="str">
        <f t="shared" si="27"/>
        <v/>
      </c>
      <c r="CK30" s="1258" t="str">
        <f t="shared" si="28"/>
        <v/>
      </c>
      <c r="CL30" s="1258" t="str">
        <f t="shared" si="29"/>
        <v/>
      </c>
      <c r="CM30" s="1258" t="str">
        <f t="shared" si="30"/>
        <v/>
      </c>
      <c r="CN30" s="1258" t="str">
        <f t="shared" si="31"/>
        <v/>
      </c>
      <c r="CO30" s="1258" t="str">
        <f t="shared" si="32"/>
        <v/>
      </c>
      <c r="CP30" s="1258" t="str">
        <f t="shared" si="33"/>
        <v/>
      </c>
      <c r="CQ30" s="1258" t="str">
        <f t="shared" si="34"/>
        <v/>
      </c>
      <c r="CR30" s="1258" t="str">
        <f t="shared" si="35"/>
        <v/>
      </c>
      <c r="CS30" s="1258" t="str">
        <f t="shared" si="36"/>
        <v/>
      </c>
      <c r="CT30" s="1258" t="str">
        <f t="shared" si="37"/>
        <v/>
      </c>
      <c r="CU30" s="1258" t="str">
        <f t="shared" si="38"/>
        <v/>
      </c>
      <c r="CV30" s="1258" t="str">
        <f t="shared" si="39"/>
        <v/>
      </c>
      <c r="CW30" s="1258" t="str">
        <f t="shared" si="40"/>
        <v/>
      </c>
      <c r="CX30" s="1258" t="str">
        <f t="shared" si="41"/>
        <v/>
      </c>
      <c r="CY30" s="1258" t="str">
        <f t="shared" si="42"/>
        <v/>
      </c>
      <c r="CZ30" s="1258" t="str">
        <f t="shared" si="43"/>
        <v/>
      </c>
      <c r="DA30" s="1258" t="str">
        <f t="shared" si="44"/>
        <v/>
      </c>
      <c r="DB30" s="1258" t="str">
        <f t="shared" si="45"/>
        <v/>
      </c>
      <c r="DC30" s="1258" t="str">
        <f t="shared" si="46"/>
        <v/>
      </c>
      <c r="DD30" s="1258" t="str">
        <f t="shared" si="47"/>
        <v/>
      </c>
      <c r="DE30" s="1258" t="str">
        <f t="shared" si="48"/>
        <v/>
      </c>
      <c r="DF30" s="1258" t="str">
        <f t="shared" si="49"/>
        <v/>
      </c>
      <c r="DG30" s="1258" t="str">
        <f t="shared" si="50"/>
        <v/>
      </c>
      <c r="DH30" s="1258" t="str">
        <f t="shared" si="51"/>
        <v/>
      </c>
      <c r="DI30" s="1258" t="str">
        <f t="shared" si="52"/>
        <v/>
      </c>
      <c r="DJ30" s="1258" t="str">
        <f t="shared" si="53"/>
        <v/>
      </c>
      <c r="DK30" s="1261" t="str">
        <f t="shared" si="54"/>
        <v/>
      </c>
    </row>
    <row r="31" spans="1:115" ht="45.75">
      <c r="A31" s="2681"/>
      <c r="C31" s="1029">
        <f>+PP!B49</f>
        <v>26</v>
      </c>
      <c r="D31" s="1110" t="str">
        <f>+PP!C49</f>
        <v>NUCA C/C CERRADO 0-100 g/pza</v>
      </c>
      <c r="E31" s="972"/>
      <c r="F31" s="618"/>
      <c r="G31" s="618"/>
      <c r="H31" s="618"/>
      <c r="I31" s="618"/>
      <c r="J31" s="618"/>
      <c r="K31" s="618"/>
      <c r="L31" s="618"/>
      <c r="M31" s="618"/>
      <c r="N31" s="618"/>
      <c r="O31" s="618"/>
      <c r="P31" s="618"/>
      <c r="Q31" s="628"/>
      <c r="R31" s="628"/>
      <c r="S31" s="614"/>
      <c r="T31" s="614"/>
      <c r="U31" s="614"/>
      <c r="V31" s="614"/>
      <c r="W31" s="614"/>
      <c r="X31" s="614"/>
      <c r="Y31" s="1101"/>
      <c r="Z31" s="1087"/>
      <c r="AA31" s="1087"/>
      <c r="AB31" s="1087"/>
      <c r="AC31" s="1087"/>
      <c r="AD31" s="1087"/>
      <c r="AE31" s="1087"/>
      <c r="AF31" s="1087"/>
      <c r="AG31" s="1087"/>
      <c r="AH31" s="1087"/>
      <c r="AI31" s="1087"/>
      <c r="AJ31" s="1087"/>
      <c r="AK31" s="1087"/>
      <c r="AL31" s="1087"/>
      <c r="AM31" s="1087"/>
      <c r="AN31" s="1087"/>
      <c r="AO31" s="1087"/>
      <c r="AP31" s="1087"/>
      <c r="AQ31" s="1087"/>
      <c r="AR31" s="1087"/>
      <c r="AS31" s="1087"/>
      <c r="AT31" s="1087"/>
      <c r="AU31" s="1087"/>
      <c r="AV31" s="614"/>
      <c r="AW31" s="614"/>
      <c r="AX31" s="614"/>
      <c r="AY31" s="614"/>
      <c r="AZ31" s="614"/>
      <c r="BA31" s="614"/>
      <c r="BB31" s="614"/>
      <c r="BC31" s="988">
        <f t="shared" si="0"/>
        <v>0</v>
      </c>
      <c r="BD31" s="989">
        <f t="shared" si="1"/>
        <v>0</v>
      </c>
      <c r="BE31" s="886">
        <f t="shared" si="2"/>
        <v>0</v>
      </c>
      <c r="BG31" s="889"/>
      <c r="BK31" s="1258" t="str">
        <f>IFERROR(INDEX($C$6:$C$53,_xlfn.AGGREGATE(15,6,(ROW($C$6:$C$53)-ROW($C$6)+1)/($BC$6:$BC$53&gt;0),ROWS($BK$6:BK31))),"")</f>
        <v/>
      </c>
      <c r="BL31" s="1259" t="str">
        <f t="shared" si="3"/>
        <v/>
      </c>
      <c r="BM31" s="1545" t="str">
        <f t="shared" si="4"/>
        <v/>
      </c>
      <c r="BN31" s="1545" t="str">
        <f t="shared" si="5"/>
        <v/>
      </c>
      <c r="BO31" s="1545" t="str">
        <f t="shared" si="6"/>
        <v/>
      </c>
      <c r="BP31" s="1545" t="str">
        <f t="shared" si="7"/>
        <v/>
      </c>
      <c r="BQ31" s="1545" t="str">
        <f t="shared" si="8"/>
        <v/>
      </c>
      <c r="BR31" s="1545" t="str">
        <f t="shared" si="9"/>
        <v/>
      </c>
      <c r="BS31" s="1545" t="str">
        <f t="shared" si="10"/>
        <v/>
      </c>
      <c r="BT31" s="1545" t="str">
        <f t="shared" si="11"/>
        <v/>
      </c>
      <c r="BU31" s="1545" t="str">
        <f t="shared" si="12"/>
        <v/>
      </c>
      <c r="BV31" s="1258" t="str">
        <f t="shared" si="13"/>
        <v/>
      </c>
      <c r="BW31" s="1258" t="str">
        <f t="shared" si="14"/>
        <v/>
      </c>
      <c r="BX31" s="1258" t="str">
        <f t="shared" si="15"/>
        <v/>
      </c>
      <c r="BY31" s="1258" t="str">
        <f t="shared" si="16"/>
        <v/>
      </c>
      <c r="BZ31" s="1258" t="str">
        <f t="shared" si="17"/>
        <v/>
      </c>
      <c r="CA31" s="1545" t="str">
        <f t="shared" si="18"/>
        <v/>
      </c>
      <c r="CB31" s="1545" t="str">
        <f t="shared" si="19"/>
        <v/>
      </c>
      <c r="CC31" s="1258" t="str">
        <f t="shared" si="20"/>
        <v/>
      </c>
      <c r="CD31" s="1545" t="str">
        <f t="shared" si="21"/>
        <v/>
      </c>
      <c r="CE31" s="1258" t="str">
        <f t="shared" si="22"/>
        <v/>
      </c>
      <c r="CF31" s="1258" t="str">
        <f t="shared" si="23"/>
        <v/>
      </c>
      <c r="CG31" s="1258" t="str">
        <f t="shared" si="24"/>
        <v/>
      </c>
      <c r="CH31" s="1258" t="str">
        <f t="shared" si="25"/>
        <v/>
      </c>
      <c r="CI31" s="1258" t="str">
        <f t="shared" si="26"/>
        <v/>
      </c>
      <c r="CJ31" s="1258" t="str">
        <f t="shared" si="27"/>
        <v/>
      </c>
      <c r="CK31" s="1258" t="str">
        <f t="shared" si="28"/>
        <v/>
      </c>
      <c r="CL31" s="1258" t="str">
        <f t="shared" si="29"/>
        <v/>
      </c>
      <c r="CM31" s="1258" t="str">
        <f t="shared" si="30"/>
        <v/>
      </c>
      <c r="CN31" s="1258" t="str">
        <f t="shared" si="31"/>
        <v/>
      </c>
      <c r="CO31" s="1258" t="str">
        <f t="shared" si="32"/>
        <v/>
      </c>
      <c r="CP31" s="1258" t="str">
        <f t="shared" si="33"/>
        <v/>
      </c>
      <c r="CQ31" s="1258" t="str">
        <f t="shared" si="34"/>
        <v/>
      </c>
      <c r="CR31" s="1258" t="str">
        <f t="shared" si="35"/>
        <v/>
      </c>
      <c r="CS31" s="1258" t="str">
        <f t="shared" si="36"/>
        <v/>
      </c>
      <c r="CT31" s="1258" t="str">
        <f t="shared" si="37"/>
        <v/>
      </c>
      <c r="CU31" s="1258" t="str">
        <f t="shared" si="38"/>
        <v/>
      </c>
      <c r="CV31" s="1258" t="str">
        <f t="shared" si="39"/>
        <v/>
      </c>
      <c r="CW31" s="1258" t="str">
        <f t="shared" si="40"/>
        <v/>
      </c>
      <c r="CX31" s="1258" t="str">
        <f t="shared" si="41"/>
        <v/>
      </c>
      <c r="CY31" s="1258" t="str">
        <f t="shared" si="42"/>
        <v/>
      </c>
      <c r="CZ31" s="1258" t="str">
        <f t="shared" si="43"/>
        <v/>
      </c>
      <c r="DA31" s="1258" t="str">
        <f t="shared" si="44"/>
        <v/>
      </c>
      <c r="DB31" s="1258" t="str">
        <f t="shared" si="45"/>
        <v/>
      </c>
      <c r="DC31" s="1258" t="str">
        <f t="shared" si="46"/>
        <v/>
      </c>
      <c r="DD31" s="1258" t="str">
        <f t="shared" si="47"/>
        <v/>
      </c>
      <c r="DE31" s="1258" t="str">
        <f t="shared" si="48"/>
        <v/>
      </c>
      <c r="DF31" s="1258" t="str">
        <f t="shared" si="49"/>
        <v/>
      </c>
      <c r="DG31" s="1258" t="str">
        <f t="shared" si="50"/>
        <v/>
      </c>
      <c r="DH31" s="1258" t="str">
        <f t="shared" si="51"/>
        <v/>
      </c>
      <c r="DI31" s="1258" t="str">
        <f t="shared" si="52"/>
        <v/>
      </c>
      <c r="DJ31" s="1258" t="str">
        <f t="shared" si="53"/>
        <v/>
      </c>
      <c r="DK31" s="1261" t="str">
        <f t="shared" si="54"/>
        <v/>
      </c>
    </row>
    <row r="32" spans="1:115" ht="45.75">
      <c r="A32" s="2681"/>
      <c r="C32" s="1029">
        <f>+PP!B50</f>
        <v>27</v>
      </c>
      <c r="D32" s="1111" t="str">
        <f>+PP!C50</f>
        <v>NUCA C/C ABIERTO 100-300 g/pza</v>
      </c>
      <c r="E32" s="973"/>
      <c r="F32" s="619"/>
      <c r="G32" s="619"/>
      <c r="H32" s="619"/>
      <c r="I32" s="619"/>
      <c r="J32" s="874"/>
      <c r="K32" s="619"/>
      <c r="L32" s="619"/>
      <c r="M32" s="619"/>
      <c r="N32" s="619"/>
      <c r="O32" s="619"/>
      <c r="P32" s="619"/>
      <c r="Q32" s="627"/>
      <c r="R32" s="627"/>
      <c r="S32" s="620"/>
      <c r="T32" s="620"/>
      <c r="U32" s="620"/>
      <c r="V32" s="620"/>
      <c r="W32" s="620"/>
      <c r="X32" s="620"/>
      <c r="Y32" s="1099"/>
      <c r="Z32" s="1088"/>
      <c r="AA32" s="1088"/>
      <c r="AB32" s="1088"/>
      <c r="AC32" s="1088"/>
      <c r="AD32" s="1088"/>
      <c r="AE32" s="1088"/>
      <c r="AF32" s="1088"/>
      <c r="AG32" s="1088"/>
      <c r="AH32" s="1088"/>
      <c r="AI32" s="1088"/>
      <c r="AJ32" s="1088"/>
      <c r="AK32" s="1088"/>
      <c r="AL32" s="1088"/>
      <c r="AM32" s="1088"/>
      <c r="AN32" s="1088"/>
      <c r="AO32" s="1088"/>
      <c r="AP32" s="1088"/>
      <c r="AQ32" s="1088"/>
      <c r="AR32" s="1088"/>
      <c r="AS32" s="1088"/>
      <c r="AT32" s="1088"/>
      <c r="AU32" s="1088"/>
      <c r="AV32" s="620"/>
      <c r="AW32" s="620"/>
      <c r="AX32" s="620"/>
      <c r="AY32" s="620"/>
      <c r="AZ32" s="620"/>
      <c r="BA32" s="620"/>
      <c r="BB32" s="620"/>
      <c r="BC32" s="984">
        <f t="shared" si="0"/>
        <v>0</v>
      </c>
      <c r="BD32" s="985">
        <f t="shared" si="1"/>
        <v>0</v>
      </c>
      <c r="BE32" s="990">
        <f t="shared" si="2"/>
        <v>0</v>
      </c>
      <c r="BK32" s="1258" t="str">
        <f>IFERROR(INDEX($C$6:$C$53,_xlfn.AGGREGATE(15,6,(ROW($C$6:$C$53)-ROW($C$6)+1)/($BC$6:$BC$53&gt;0),ROWS($BK$6:BK32))),"")</f>
        <v/>
      </c>
      <c r="BL32" s="1259" t="str">
        <f t="shared" si="3"/>
        <v/>
      </c>
      <c r="BM32" s="1545" t="str">
        <f t="shared" si="4"/>
        <v/>
      </c>
      <c r="BN32" s="1545" t="str">
        <f t="shared" si="5"/>
        <v/>
      </c>
      <c r="BO32" s="1545" t="str">
        <f t="shared" si="6"/>
        <v/>
      </c>
      <c r="BP32" s="1545" t="str">
        <f t="shared" si="7"/>
        <v/>
      </c>
      <c r="BQ32" s="1545" t="str">
        <f t="shared" si="8"/>
        <v/>
      </c>
      <c r="BR32" s="1545" t="str">
        <f t="shared" si="9"/>
        <v/>
      </c>
      <c r="BS32" s="1545" t="str">
        <f t="shared" si="10"/>
        <v/>
      </c>
      <c r="BT32" s="1545" t="str">
        <f t="shared" si="11"/>
        <v/>
      </c>
      <c r="BU32" s="1545" t="str">
        <f t="shared" si="12"/>
        <v/>
      </c>
      <c r="BV32" s="1258" t="str">
        <f t="shared" si="13"/>
        <v/>
      </c>
      <c r="BW32" s="1258" t="str">
        <f t="shared" si="14"/>
        <v/>
      </c>
      <c r="BX32" s="1258" t="str">
        <f t="shared" si="15"/>
        <v/>
      </c>
      <c r="BY32" s="1258" t="str">
        <f t="shared" si="16"/>
        <v/>
      </c>
      <c r="BZ32" s="1258" t="str">
        <f t="shared" si="17"/>
        <v/>
      </c>
      <c r="CA32" s="1545" t="str">
        <f t="shared" si="18"/>
        <v/>
      </c>
      <c r="CB32" s="1545" t="str">
        <f t="shared" si="19"/>
        <v/>
      </c>
      <c r="CC32" s="1258" t="str">
        <f t="shared" si="20"/>
        <v/>
      </c>
      <c r="CD32" s="1545" t="str">
        <f t="shared" si="21"/>
        <v/>
      </c>
      <c r="CE32" s="1258" t="str">
        <f t="shared" si="22"/>
        <v/>
      </c>
      <c r="CF32" s="1258" t="str">
        <f t="shared" si="23"/>
        <v/>
      </c>
      <c r="CG32" s="1258" t="str">
        <f t="shared" si="24"/>
        <v/>
      </c>
      <c r="CH32" s="1258" t="str">
        <f t="shared" si="25"/>
        <v/>
      </c>
      <c r="CI32" s="1258" t="str">
        <f t="shared" si="26"/>
        <v/>
      </c>
      <c r="CJ32" s="1258" t="str">
        <f t="shared" si="27"/>
        <v/>
      </c>
      <c r="CK32" s="1258" t="str">
        <f t="shared" si="28"/>
        <v/>
      </c>
      <c r="CL32" s="1258" t="str">
        <f t="shared" si="29"/>
        <v/>
      </c>
      <c r="CM32" s="1258" t="str">
        <f t="shared" si="30"/>
        <v/>
      </c>
      <c r="CN32" s="1258" t="str">
        <f t="shared" si="31"/>
        <v/>
      </c>
      <c r="CO32" s="1258" t="str">
        <f t="shared" si="32"/>
        <v/>
      </c>
      <c r="CP32" s="1258" t="str">
        <f t="shared" si="33"/>
        <v/>
      </c>
      <c r="CQ32" s="1258" t="str">
        <f t="shared" si="34"/>
        <v/>
      </c>
      <c r="CR32" s="1258" t="str">
        <f t="shared" si="35"/>
        <v/>
      </c>
      <c r="CS32" s="1258" t="str">
        <f t="shared" si="36"/>
        <v/>
      </c>
      <c r="CT32" s="1258" t="str">
        <f t="shared" si="37"/>
        <v/>
      </c>
      <c r="CU32" s="1258" t="str">
        <f t="shared" si="38"/>
        <v/>
      </c>
      <c r="CV32" s="1258" t="str">
        <f t="shared" si="39"/>
        <v/>
      </c>
      <c r="CW32" s="1258" t="str">
        <f t="shared" si="40"/>
        <v/>
      </c>
      <c r="CX32" s="1258" t="str">
        <f t="shared" si="41"/>
        <v/>
      </c>
      <c r="CY32" s="1258" t="str">
        <f t="shared" si="42"/>
        <v/>
      </c>
      <c r="CZ32" s="1258" t="str">
        <f t="shared" si="43"/>
        <v/>
      </c>
      <c r="DA32" s="1258" t="str">
        <f t="shared" si="44"/>
        <v/>
      </c>
      <c r="DB32" s="1258" t="str">
        <f t="shared" si="45"/>
        <v/>
      </c>
      <c r="DC32" s="1258" t="str">
        <f t="shared" si="46"/>
        <v/>
      </c>
      <c r="DD32" s="1258" t="str">
        <f t="shared" si="47"/>
        <v/>
      </c>
      <c r="DE32" s="1258" t="str">
        <f t="shared" si="48"/>
        <v/>
      </c>
      <c r="DF32" s="1258" t="str">
        <f t="shared" si="49"/>
        <v/>
      </c>
      <c r="DG32" s="1258" t="str">
        <f t="shared" si="50"/>
        <v/>
      </c>
      <c r="DH32" s="1258" t="str">
        <f t="shared" si="51"/>
        <v/>
      </c>
      <c r="DI32" s="1258" t="str">
        <f t="shared" si="52"/>
        <v/>
      </c>
      <c r="DJ32" s="1258" t="str">
        <f t="shared" si="53"/>
        <v/>
      </c>
      <c r="DK32" s="1261" t="str">
        <f t="shared" si="54"/>
        <v/>
      </c>
    </row>
    <row r="33" spans="1:115" ht="45.75">
      <c r="A33" s="2681"/>
      <c r="C33" s="1029">
        <f>+PP!B51</f>
        <v>28</v>
      </c>
      <c r="D33" s="1111" t="str">
        <f>+PP!C51</f>
        <v>NUCA C/C ABIERTO 300-500 g/pza</v>
      </c>
      <c r="E33" s="973"/>
      <c r="F33" s="619"/>
      <c r="G33" s="619"/>
      <c r="H33" s="619"/>
      <c r="I33" s="619"/>
      <c r="J33" s="619"/>
      <c r="K33" s="619"/>
      <c r="L33" s="619"/>
      <c r="M33" s="619"/>
      <c r="N33" s="619"/>
      <c r="O33" s="619"/>
      <c r="P33" s="619"/>
      <c r="Q33" s="627"/>
      <c r="R33" s="627"/>
      <c r="S33" s="620"/>
      <c r="T33" s="620"/>
      <c r="U33" s="620"/>
      <c r="V33" s="620"/>
      <c r="W33" s="620"/>
      <c r="X33" s="620"/>
      <c r="Y33" s="1099"/>
      <c r="Z33" s="1088"/>
      <c r="AA33" s="1088"/>
      <c r="AB33" s="1088"/>
      <c r="AC33" s="1088"/>
      <c r="AD33" s="1088"/>
      <c r="AE33" s="1088"/>
      <c r="AF33" s="1088"/>
      <c r="AG33" s="1088"/>
      <c r="AH33" s="1088"/>
      <c r="AI33" s="1088"/>
      <c r="AJ33" s="1088"/>
      <c r="AK33" s="1088"/>
      <c r="AL33" s="1088"/>
      <c r="AM33" s="1088"/>
      <c r="AN33" s="1088"/>
      <c r="AO33" s="1088"/>
      <c r="AP33" s="1088"/>
      <c r="AQ33" s="1088"/>
      <c r="AR33" s="1088"/>
      <c r="AS33" s="1088"/>
      <c r="AT33" s="1088"/>
      <c r="AU33" s="1088"/>
      <c r="AV33" s="620"/>
      <c r="AW33" s="620"/>
      <c r="AX33" s="620"/>
      <c r="AY33" s="620"/>
      <c r="AZ33" s="620"/>
      <c r="BA33" s="620"/>
      <c r="BB33" s="620"/>
      <c r="BC33" s="984">
        <f t="shared" si="0"/>
        <v>0</v>
      </c>
      <c r="BD33" s="985">
        <f t="shared" si="1"/>
        <v>0</v>
      </c>
      <c r="BE33" s="990">
        <f t="shared" si="2"/>
        <v>0</v>
      </c>
      <c r="BK33" s="1114" t="str">
        <f>IFERROR(INDEX($C$6:$C$53,_xlfn.AGGREGATE(15,6,(ROW($C$6:$C$53)-ROW($C$6)+1)/($BC$6:$BC$53&gt;0),ROWS($BK$6:BK33))),"")</f>
        <v/>
      </c>
      <c r="BL33" s="1115" t="str">
        <f t="shared" si="3"/>
        <v/>
      </c>
      <c r="BM33" s="1548" t="str">
        <f t="shared" si="4"/>
        <v/>
      </c>
      <c r="BN33" s="1548" t="str">
        <f t="shared" si="5"/>
        <v/>
      </c>
      <c r="BO33" s="1548" t="str">
        <f t="shared" si="6"/>
        <v/>
      </c>
      <c r="BP33" s="1548" t="str">
        <f t="shared" si="7"/>
        <v/>
      </c>
      <c r="BQ33" s="1548" t="str">
        <f t="shared" si="8"/>
        <v/>
      </c>
      <c r="BR33" s="1548" t="str">
        <f t="shared" si="9"/>
        <v/>
      </c>
      <c r="BS33" s="1548" t="str">
        <f t="shared" si="10"/>
        <v/>
      </c>
      <c r="BT33" s="1548" t="str">
        <f t="shared" si="11"/>
        <v/>
      </c>
      <c r="BU33" s="1548" t="str">
        <f t="shared" si="12"/>
        <v/>
      </c>
      <c r="BV33" s="1114" t="str">
        <f t="shared" si="13"/>
        <v/>
      </c>
      <c r="BW33" s="1114" t="str">
        <f t="shared" si="14"/>
        <v/>
      </c>
      <c r="BX33" s="1114" t="str">
        <f t="shared" si="15"/>
        <v/>
      </c>
      <c r="BY33" s="1114" t="str">
        <f t="shared" si="16"/>
        <v/>
      </c>
      <c r="BZ33" s="1114" t="str">
        <f t="shared" si="17"/>
        <v/>
      </c>
      <c r="CA33" s="1548" t="str">
        <f t="shared" si="18"/>
        <v/>
      </c>
      <c r="CB33" s="1548" t="str">
        <f t="shared" si="19"/>
        <v/>
      </c>
      <c r="CC33" s="1114" t="str">
        <f t="shared" si="20"/>
        <v/>
      </c>
      <c r="CD33" s="1548" t="str">
        <f t="shared" si="21"/>
        <v/>
      </c>
      <c r="CE33" s="1114" t="str">
        <f t="shared" si="22"/>
        <v/>
      </c>
      <c r="CF33" s="1114" t="str">
        <f t="shared" si="23"/>
        <v/>
      </c>
      <c r="CG33" s="1114" t="str">
        <f t="shared" si="24"/>
        <v/>
      </c>
      <c r="CH33" s="1114" t="str">
        <f t="shared" si="25"/>
        <v/>
      </c>
      <c r="CI33" s="1114" t="str">
        <f t="shared" si="26"/>
        <v/>
      </c>
      <c r="CJ33" s="1114" t="str">
        <f t="shared" si="27"/>
        <v/>
      </c>
      <c r="CK33" s="1114" t="str">
        <f t="shared" si="28"/>
        <v/>
      </c>
      <c r="CL33" s="1114" t="str">
        <f t="shared" si="29"/>
        <v/>
      </c>
      <c r="CM33" s="1114" t="str">
        <f t="shared" si="30"/>
        <v/>
      </c>
      <c r="CN33" s="1114" t="str">
        <f t="shared" si="31"/>
        <v/>
      </c>
      <c r="CO33" s="1114" t="str">
        <f t="shared" si="32"/>
        <v/>
      </c>
      <c r="CP33" s="1114" t="str">
        <f t="shared" si="33"/>
        <v/>
      </c>
      <c r="CQ33" s="1114" t="str">
        <f t="shared" si="34"/>
        <v/>
      </c>
      <c r="CR33" s="1114" t="str">
        <f t="shared" si="35"/>
        <v/>
      </c>
      <c r="CS33" s="1114" t="str">
        <f t="shared" si="36"/>
        <v/>
      </c>
      <c r="CT33" s="1114" t="str">
        <f t="shared" si="37"/>
        <v/>
      </c>
      <c r="CU33" s="1114" t="str">
        <f t="shared" si="38"/>
        <v/>
      </c>
      <c r="CV33" s="1114" t="str">
        <f t="shared" si="39"/>
        <v/>
      </c>
      <c r="CW33" s="1114" t="str">
        <f t="shared" si="40"/>
        <v/>
      </c>
      <c r="CX33" s="1114" t="str">
        <f t="shared" si="41"/>
        <v/>
      </c>
      <c r="CY33" s="1114" t="str">
        <f t="shared" si="42"/>
        <v/>
      </c>
      <c r="CZ33" s="1114" t="str">
        <f t="shared" si="43"/>
        <v/>
      </c>
      <c r="DA33" s="1114" t="str">
        <f t="shared" si="44"/>
        <v/>
      </c>
      <c r="DB33" s="1114" t="str">
        <f t="shared" si="45"/>
        <v/>
      </c>
      <c r="DC33" s="1114" t="str">
        <f t="shared" si="46"/>
        <v/>
      </c>
      <c r="DD33" s="1114" t="str">
        <f t="shared" si="47"/>
        <v/>
      </c>
      <c r="DE33" s="1114" t="str">
        <f t="shared" si="48"/>
        <v/>
      </c>
      <c r="DF33" s="1114" t="str">
        <f t="shared" si="49"/>
        <v/>
      </c>
      <c r="DG33" s="1114" t="str">
        <f t="shared" si="50"/>
        <v/>
      </c>
      <c r="DH33" s="1114" t="str">
        <f t="shared" si="51"/>
        <v/>
      </c>
      <c r="DI33" s="1114" t="str">
        <f t="shared" si="52"/>
        <v/>
      </c>
      <c r="DJ33" s="1114" t="str">
        <f t="shared" si="53"/>
        <v/>
      </c>
      <c r="DK33" s="1116" t="str">
        <f t="shared" si="54"/>
        <v/>
      </c>
    </row>
    <row r="34" spans="1:115" ht="45.75">
      <c r="A34" s="2681"/>
      <c r="C34" s="1029">
        <f>+PP!B52</f>
        <v>29</v>
      </c>
      <c r="D34" s="1111" t="str">
        <f>+PP!C52</f>
        <v>NUCA C/C ABIERTO 500-1000 g/pza</v>
      </c>
      <c r="E34" s="973"/>
      <c r="F34" s="619"/>
      <c r="G34" s="619"/>
      <c r="H34" s="619"/>
      <c r="I34" s="619"/>
      <c r="J34" s="619"/>
      <c r="K34" s="619"/>
      <c r="L34" s="619"/>
      <c r="M34" s="619"/>
      <c r="N34" s="619"/>
      <c r="O34" s="619"/>
      <c r="P34" s="619"/>
      <c r="Q34" s="627"/>
      <c r="R34" s="627"/>
      <c r="S34" s="620"/>
      <c r="T34" s="620"/>
      <c r="U34" s="620"/>
      <c r="V34" s="620"/>
      <c r="W34" s="620"/>
      <c r="X34" s="620"/>
      <c r="Y34" s="1099"/>
      <c r="Z34" s="1088"/>
      <c r="AA34" s="1088"/>
      <c r="AB34" s="1088"/>
      <c r="AC34" s="1088"/>
      <c r="AD34" s="1088"/>
      <c r="AE34" s="1088"/>
      <c r="AF34" s="1088"/>
      <c r="AG34" s="1088"/>
      <c r="AH34" s="1088"/>
      <c r="AI34" s="1088"/>
      <c r="AJ34" s="1088"/>
      <c r="AK34" s="1088"/>
      <c r="AL34" s="1088"/>
      <c r="AM34" s="1088"/>
      <c r="AN34" s="1088"/>
      <c r="AO34" s="1088"/>
      <c r="AP34" s="1088"/>
      <c r="AQ34" s="1088"/>
      <c r="AR34" s="1088"/>
      <c r="AS34" s="1088"/>
      <c r="AT34" s="1088"/>
      <c r="AU34" s="1088"/>
      <c r="AV34" s="620"/>
      <c r="AW34" s="620"/>
      <c r="AX34" s="620"/>
      <c r="AY34" s="620"/>
      <c r="AZ34" s="620"/>
      <c r="BA34" s="620"/>
      <c r="BB34" s="620"/>
      <c r="BC34" s="984">
        <f t="shared" si="0"/>
        <v>0</v>
      </c>
      <c r="BD34" s="985">
        <f t="shared" si="1"/>
        <v>0</v>
      </c>
      <c r="BE34" s="990">
        <f t="shared" si="2"/>
        <v>0</v>
      </c>
      <c r="BK34" s="1114" t="str">
        <f>IFERROR(INDEX($C$6:$C$53,_xlfn.AGGREGATE(15,6,(ROW($C$6:$C$53)-ROW($C$6)+1)/($BC$6:$BC$53&gt;0),ROWS($BK$6:BK34))),"")</f>
        <v/>
      </c>
      <c r="BL34" s="1115" t="str">
        <f t="shared" si="3"/>
        <v/>
      </c>
      <c r="BM34" s="1548" t="str">
        <f t="shared" si="4"/>
        <v/>
      </c>
      <c r="BN34" s="1548" t="str">
        <f t="shared" si="5"/>
        <v/>
      </c>
      <c r="BO34" s="1548" t="str">
        <f t="shared" si="6"/>
        <v/>
      </c>
      <c r="BP34" s="1548" t="str">
        <f t="shared" si="7"/>
        <v/>
      </c>
      <c r="BQ34" s="1548" t="str">
        <f t="shared" si="8"/>
        <v/>
      </c>
      <c r="BR34" s="1548" t="str">
        <f t="shared" si="9"/>
        <v/>
      </c>
      <c r="BS34" s="1548" t="str">
        <f t="shared" si="10"/>
        <v/>
      </c>
      <c r="BT34" s="1548" t="str">
        <f t="shared" si="11"/>
        <v/>
      </c>
      <c r="BU34" s="1548" t="str">
        <f t="shared" si="12"/>
        <v/>
      </c>
      <c r="BV34" s="1114" t="str">
        <f t="shared" si="13"/>
        <v/>
      </c>
      <c r="BW34" s="1114" t="str">
        <f t="shared" si="14"/>
        <v/>
      </c>
      <c r="BX34" s="1114" t="str">
        <f t="shared" si="15"/>
        <v/>
      </c>
      <c r="BY34" s="1114" t="str">
        <f t="shared" si="16"/>
        <v/>
      </c>
      <c r="BZ34" s="1114" t="str">
        <f t="shared" si="17"/>
        <v/>
      </c>
      <c r="CA34" s="1548" t="str">
        <f t="shared" si="18"/>
        <v/>
      </c>
      <c r="CB34" s="1548" t="str">
        <f t="shared" si="19"/>
        <v/>
      </c>
      <c r="CC34" s="1114" t="str">
        <f t="shared" si="20"/>
        <v/>
      </c>
      <c r="CD34" s="1548" t="str">
        <f t="shared" si="21"/>
        <v/>
      </c>
      <c r="CE34" s="1114" t="str">
        <f t="shared" si="22"/>
        <v/>
      </c>
      <c r="CF34" s="1114" t="str">
        <f t="shared" si="23"/>
        <v/>
      </c>
      <c r="CG34" s="1114" t="str">
        <f t="shared" si="24"/>
        <v/>
      </c>
      <c r="CH34" s="1114" t="str">
        <f t="shared" si="25"/>
        <v/>
      </c>
      <c r="CI34" s="1114" t="str">
        <f t="shared" si="26"/>
        <v/>
      </c>
      <c r="CJ34" s="1114" t="str">
        <f t="shared" si="27"/>
        <v/>
      </c>
      <c r="CK34" s="1114" t="str">
        <f t="shared" si="28"/>
        <v/>
      </c>
      <c r="CL34" s="1114" t="str">
        <f t="shared" si="29"/>
        <v/>
      </c>
      <c r="CM34" s="1114" t="str">
        <f t="shared" si="30"/>
        <v/>
      </c>
      <c r="CN34" s="1114" t="str">
        <f t="shared" si="31"/>
        <v/>
      </c>
      <c r="CO34" s="1114" t="str">
        <f t="shared" si="32"/>
        <v/>
      </c>
      <c r="CP34" s="1114" t="str">
        <f t="shared" si="33"/>
        <v/>
      </c>
      <c r="CQ34" s="1114" t="str">
        <f t="shared" si="34"/>
        <v/>
      </c>
      <c r="CR34" s="1114" t="str">
        <f t="shared" si="35"/>
        <v/>
      </c>
      <c r="CS34" s="1114" t="str">
        <f t="shared" si="36"/>
        <v/>
      </c>
      <c r="CT34" s="1114" t="str">
        <f t="shared" si="37"/>
        <v/>
      </c>
      <c r="CU34" s="1114" t="str">
        <f t="shared" si="38"/>
        <v/>
      </c>
      <c r="CV34" s="1114" t="str">
        <f t="shared" si="39"/>
        <v/>
      </c>
      <c r="CW34" s="1114" t="str">
        <f t="shared" si="40"/>
        <v/>
      </c>
      <c r="CX34" s="1114" t="str">
        <f t="shared" si="41"/>
        <v/>
      </c>
      <c r="CY34" s="1114" t="str">
        <f t="shared" si="42"/>
        <v/>
      </c>
      <c r="CZ34" s="1114" t="str">
        <f t="shared" si="43"/>
        <v/>
      </c>
      <c r="DA34" s="1114" t="str">
        <f t="shared" si="44"/>
        <v/>
      </c>
      <c r="DB34" s="1114" t="str">
        <f t="shared" si="45"/>
        <v/>
      </c>
      <c r="DC34" s="1114" t="str">
        <f t="shared" si="46"/>
        <v/>
      </c>
      <c r="DD34" s="1114" t="str">
        <f t="shared" si="47"/>
        <v/>
      </c>
      <c r="DE34" s="1114" t="str">
        <f t="shared" si="48"/>
        <v/>
      </c>
      <c r="DF34" s="1114" t="str">
        <f t="shared" si="49"/>
        <v/>
      </c>
      <c r="DG34" s="1114" t="str">
        <f t="shared" si="50"/>
        <v/>
      </c>
      <c r="DH34" s="1114" t="str">
        <f t="shared" si="51"/>
        <v/>
      </c>
      <c r="DI34" s="1114" t="str">
        <f t="shared" si="52"/>
        <v/>
      </c>
      <c r="DJ34" s="1114" t="str">
        <f t="shared" si="53"/>
        <v/>
      </c>
      <c r="DK34" s="1116" t="str">
        <f t="shared" si="54"/>
        <v/>
      </c>
    </row>
    <row r="35" spans="1:115" ht="46.5" thickBot="1">
      <c r="A35" s="2681"/>
      <c r="C35" s="1029">
        <f>+PP!B53</f>
        <v>30</v>
      </c>
      <c r="D35" s="1112" t="str">
        <f>+PP!C53</f>
        <v>NUCA C/C ABIERTO 1.0 - UP kg/pza</v>
      </c>
      <c r="E35" s="971"/>
      <c r="F35" s="616"/>
      <c r="G35" s="616"/>
      <c r="H35" s="616"/>
      <c r="I35" s="616"/>
      <c r="J35" s="616"/>
      <c r="K35" s="616"/>
      <c r="L35" s="616"/>
      <c r="M35" s="616"/>
      <c r="N35" s="616"/>
      <c r="O35" s="616"/>
      <c r="P35" s="623"/>
      <c r="Q35" s="630"/>
      <c r="R35" s="630"/>
      <c r="S35" s="617"/>
      <c r="T35" s="617"/>
      <c r="U35" s="617"/>
      <c r="V35" s="617"/>
      <c r="W35" s="617"/>
      <c r="X35" s="617"/>
      <c r="Y35" s="1100"/>
      <c r="Z35" s="1089"/>
      <c r="AA35" s="1089"/>
      <c r="AB35" s="1089"/>
      <c r="AC35" s="1089"/>
      <c r="AD35" s="1089"/>
      <c r="AE35" s="1089"/>
      <c r="AF35" s="1089"/>
      <c r="AG35" s="1089"/>
      <c r="AH35" s="1089"/>
      <c r="AI35" s="1089"/>
      <c r="AJ35" s="1089"/>
      <c r="AK35" s="1089"/>
      <c r="AL35" s="1089"/>
      <c r="AM35" s="1089"/>
      <c r="AN35" s="1089"/>
      <c r="AO35" s="1089"/>
      <c r="AP35" s="1089"/>
      <c r="AQ35" s="1089"/>
      <c r="AR35" s="1089"/>
      <c r="AS35" s="1089"/>
      <c r="AT35" s="1089"/>
      <c r="AU35" s="1089"/>
      <c r="AV35" s="617"/>
      <c r="AW35" s="617"/>
      <c r="AX35" s="617"/>
      <c r="AY35" s="617"/>
      <c r="AZ35" s="617"/>
      <c r="BA35" s="617"/>
      <c r="BB35" s="617"/>
      <c r="BC35" s="992">
        <f t="shared" si="0"/>
        <v>0</v>
      </c>
      <c r="BD35" s="993">
        <f t="shared" si="1"/>
        <v>0</v>
      </c>
      <c r="BE35" s="887">
        <f t="shared" si="2"/>
        <v>0</v>
      </c>
      <c r="BG35" s="890"/>
      <c r="BH35" s="890"/>
      <c r="BI35" s="890"/>
      <c r="BJ35" s="890"/>
      <c r="BK35" s="1114" t="str">
        <f>IFERROR(INDEX($C$6:$C$53,_xlfn.AGGREGATE(15,6,(ROW($C$6:$C$53)-ROW($C$6)+1)/($BC$6:$BC$53&gt;0),ROWS($BK$6:BK35))),"")</f>
        <v/>
      </c>
      <c r="BL35" s="1115" t="str">
        <f t="shared" si="3"/>
        <v/>
      </c>
      <c r="BM35" s="1548" t="str">
        <f t="shared" si="4"/>
        <v/>
      </c>
      <c r="BN35" s="1548" t="str">
        <f t="shared" si="5"/>
        <v/>
      </c>
      <c r="BO35" s="1548" t="str">
        <f t="shared" si="6"/>
        <v/>
      </c>
      <c r="BP35" s="1548" t="str">
        <f t="shared" si="7"/>
        <v/>
      </c>
      <c r="BQ35" s="1548" t="str">
        <f t="shared" si="8"/>
        <v/>
      </c>
      <c r="BR35" s="1548" t="str">
        <f t="shared" si="9"/>
        <v/>
      </c>
      <c r="BS35" s="1548" t="str">
        <f t="shared" si="10"/>
        <v/>
      </c>
      <c r="BT35" s="1548" t="str">
        <f t="shared" si="11"/>
        <v/>
      </c>
      <c r="BU35" s="1548" t="str">
        <f t="shared" si="12"/>
        <v/>
      </c>
      <c r="BV35" s="1114" t="str">
        <f t="shared" si="13"/>
        <v/>
      </c>
      <c r="BW35" s="1114" t="str">
        <f t="shared" si="14"/>
        <v/>
      </c>
      <c r="BX35" s="1114" t="str">
        <f t="shared" si="15"/>
        <v/>
      </c>
      <c r="BY35" s="1114" t="str">
        <f t="shared" si="16"/>
        <v/>
      </c>
      <c r="BZ35" s="1114" t="str">
        <f t="shared" si="17"/>
        <v/>
      </c>
      <c r="CA35" s="1548" t="str">
        <f t="shared" si="18"/>
        <v/>
      </c>
      <c r="CB35" s="1548" t="str">
        <f t="shared" si="19"/>
        <v/>
      </c>
      <c r="CC35" s="1114" t="str">
        <f t="shared" si="20"/>
        <v/>
      </c>
      <c r="CD35" s="1548" t="str">
        <f t="shared" si="21"/>
        <v/>
      </c>
      <c r="CE35" s="1114" t="str">
        <f t="shared" si="22"/>
        <v/>
      </c>
      <c r="CF35" s="1114" t="str">
        <f t="shared" si="23"/>
        <v/>
      </c>
      <c r="CG35" s="1114" t="str">
        <f t="shared" si="24"/>
        <v/>
      </c>
      <c r="CH35" s="1114" t="str">
        <f t="shared" si="25"/>
        <v/>
      </c>
      <c r="CI35" s="1114" t="str">
        <f t="shared" si="26"/>
        <v/>
      </c>
      <c r="CJ35" s="1114" t="str">
        <f t="shared" si="27"/>
        <v/>
      </c>
      <c r="CK35" s="1114" t="str">
        <f t="shared" si="28"/>
        <v/>
      </c>
      <c r="CL35" s="1114" t="str">
        <f t="shared" si="29"/>
        <v/>
      </c>
      <c r="CM35" s="1114" t="str">
        <f t="shared" si="30"/>
        <v/>
      </c>
      <c r="CN35" s="1114" t="str">
        <f t="shared" si="31"/>
        <v/>
      </c>
      <c r="CO35" s="1114" t="str">
        <f t="shared" si="32"/>
        <v/>
      </c>
      <c r="CP35" s="1114" t="str">
        <f t="shared" si="33"/>
        <v/>
      </c>
      <c r="CQ35" s="1114" t="str">
        <f t="shared" si="34"/>
        <v/>
      </c>
      <c r="CR35" s="1114" t="str">
        <f t="shared" si="35"/>
        <v/>
      </c>
      <c r="CS35" s="1114" t="str">
        <f t="shared" si="36"/>
        <v/>
      </c>
      <c r="CT35" s="1114" t="str">
        <f t="shared" si="37"/>
        <v/>
      </c>
      <c r="CU35" s="1114" t="str">
        <f t="shared" si="38"/>
        <v/>
      </c>
      <c r="CV35" s="1114" t="str">
        <f t="shared" si="39"/>
        <v/>
      </c>
      <c r="CW35" s="1114" t="str">
        <f t="shared" si="40"/>
        <v/>
      </c>
      <c r="CX35" s="1114" t="str">
        <f t="shared" si="41"/>
        <v/>
      </c>
      <c r="CY35" s="1114" t="str">
        <f t="shared" si="42"/>
        <v/>
      </c>
      <c r="CZ35" s="1114" t="str">
        <f t="shared" si="43"/>
        <v/>
      </c>
      <c r="DA35" s="1114" t="str">
        <f t="shared" si="44"/>
        <v/>
      </c>
      <c r="DB35" s="1114" t="str">
        <f t="shared" si="45"/>
        <v/>
      </c>
      <c r="DC35" s="1114" t="str">
        <f t="shared" si="46"/>
        <v/>
      </c>
      <c r="DD35" s="1114" t="str">
        <f t="shared" si="47"/>
        <v/>
      </c>
      <c r="DE35" s="1114" t="str">
        <f t="shared" si="48"/>
        <v/>
      </c>
      <c r="DF35" s="1114" t="str">
        <f t="shared" si="49"/>
        <v/>
      </c>
      <c r="DG35" s="1114" t="str">
        <f t="shared" si="50"/>
        <v/>
      </c>
      <c r="DH35" s="1114" t="str">
        <f t="shared" si="51"/>
        <v/>
      </c>
      <c r="DI35" s="1114" t="str">
        <f t="shared" si="52"/>
        <v/>
      </c>
      <c r="DJ35" s="1114" t="str">
        <f t="shared" si="53"/>
        <v/>
      </c>
      <c r="DK35" s="1116" t="str">
        <f t="shared" si="54"/>
        <v/>
      </c>
    </row>
    <row r="36" spans="1:115" ht="43.5" customHeight="1">
      <c r="A36" s="2681"/>
      <c r="C36" s="1029">
        <f>+PP!B54</f>
        <v>31</v>
      </c>
      <c r="D36" s="1110" t="str">
        <f>+PP!C54</f>
        <v>RECORTE BLANCO SM ST</v>
      </c>
      <c r="E36" s="1109"/>
      <c r="F36" s="1095"/>
      <c r="G36" s="1095"/>
      <c r="H36" s="1095"/>
      <c r="I36" s="1095"/>
      <c r="J36" s="1095"/>
      <c r="K36" s="1105"/>
      <c r="L36" s="1095"/>
      <c r="M36" s="1095"/>
      <c r="N36" s="1095"/>
      <c r="O36" s="1095"/>
      <c r="P36" s="1096"/>
      <c r="Q36" s="1097"/>
      <c r="R36" s="1097"/>
      <c r="S36" s="1098"/>
      <c r="T36" s="1098"/>
      <c r="U36" s="1106"/>
      <c r="V36" s="1098"/>
      <c r="W36" s="1098"/>
      <c r="X36" s="1098"/>
      <c r="Y36" s="1103"/>
      <c r="Z36" s="1087"/>
      <c r="AA36" s="1087"/>
      <c r="AB36" s="1087"/>
      <c r="AC36" s="1087"/>
      <c r="AD36" s="1087"/>
      <c r="AE36" s="1087"/>
      <c r="AF36" s="1087"/>
      <c r="AG36" s="1087"/>
      <c r="AH36" s="1087"/>
      <c r="AI36" s="1087"/>
      <c r="AJ36" s="1087"/>
      <c r="AK36" s="1087"/>
      <c r="AL36" s="1087"/>
      <c r="AM36" s="1087"/>
      <c r="AN36" s="1087"/>
      <c r="AO36" s="1087"/>
      <c r="AP36" s="1087"/>
      <c r="AQ36" s="1087"/>
      <c r="AR36" s="1087"/>
      <c r="AS36" s="1087"/>
      <c r="AT36" s="1087"/>
      <c r="AU36" s="1087"/>
      <c r="AV36" s="614"/>
      <c r="AW36" s="614"/>
      <c r="AX36" s="614"/>
      <c r="AY36" s="614"/>
      <c r="AZ36" s="614"/>
      <c r="BA36" s="614"/>
      <c r="BB36" s="614"/>
      <c r="BC36" s="988">
        <f t="shared" si="0"/>
        <v>0</v>
      </c>
      <c r="BD36" s="989">
        <f t="shared" si="1"/>
        <v>0</v>
      </c>
      <c r="BE36" s="886">
        <f t="shared" si="2"/>
        <v>0</v>
      </c>
      <c r="BG36" s="890"/>
      <c r="BH36" s="890"/>
      <c r="BI36" s="890"/>
      <c r="BJ36" s="890"/>
      <c r="BK36" s="1114" t="str">
        <f>IFERROR(INDEX($C$6:$C$53,_xlfn.AGGREGATE(15,6,(ROW($C$6:$C$53)-ROW($C$6)+1)/($BC$6:$BC$53&gt;0),ROWS($BK$6:BK36))),"")</f>
        <v/>
      </c>
      <c r="BL36" s="1115" t="str">
        <f t="shared" si="3"/>
        <v/>
      </c>
      <c r="BM36" s="1548" t="str">
        <f t="shared" si="4"/>
        <v/>
      </c>
      <c r="BN36" s="1548" t="str">
        <f t="shared" si="5"/>
        <v/>
      </c>
      <c r="BO36" s="1548" t="str">
        <f t="shared" si="6"/>
        <v/>
      </c>
      <c r="BP36" s="1548" t="str">
        <f t="shared" si="7"/>
        <v/>
      </c>
      <c r="BQ36" s="1548" t="str">
        <f t="shared" si="8"/>
        <v/>
      </c>
      <c r="BR36" s="1548" t="str">
        <f t="shared" si="9"/>
        <v/>
      </c>
      <c r="BS36" s="1548" t="str">
        <f t="shared" si="10"/>
        <v/>
      </c>
      <c r="BT36" s="1548" t="str">
        <f t="shared" si="11"/>
        <v/>
      </c>
      <c r="BU36" s="1548" t="str">
        <f t="shared" si="12"/>
        <v/>
      </c>
      <c r="BV36" s="1114" t="str">
        <f t="shared" si="13"/>
        <v/>
      </c>
      <c r="BW36" s="1114" t="str">
        <f t="shared" si="14"/>
        <v/>
      </c>
      <c r="BX36" s="1114" t="str">
        <f t="shared" si="15"/>
        <v/>
      </c>
      <c r="BY36" s="1114" t="str">
        <f t="shared" si="16"/>
        <v/>
      </c>
      <c r="BZ36" s="1114" t="str">
        <f t="shared" si="17"/>
        <v/>
      </c>
      <c r="CA36" s="1548" t="str">
        <f t="shared" si="18"/>
        <v/>
      </c>
      <c r="CB36" s="1548" t="str">
        <f t="shared" si="19"/>
        <v/>
      </c>
      <c r="CC36" s="1114" t="str">
        <f t="shared" si="20"/>
        <v/>
      </c>
      <c r="CD36" s="1548" t="str">
        <f t="shared" si="21"/>
        <v/>
      </c>
      <c r="CE36" s="1114" t="str">
        <f t="shared" si="22"/>
        <v/>
      </c>
      <c r="CF36" s="1114" t="str">
        <f t="shared" si="23"/>
        <v/>
      </c>
      <c r="CG36" s="1114" t="str">
        <f t="shared" si="24"/>
        <v/>
      </c>
      <c r="CH36" s="1114" t="str">
        <f t="shared" si="25"/>
        <v/>
      </c>
      <c r="CI36" s="1114" t="str">
        <f t="shared" si="26"/>
        <v/>
      </c>
      <c r="CJ36" s="1114" t="str">
        <f t="shared" si="27"/>
        <v/>
      </c>
      <c r="CK36" s="1114" t="str">
        <f t="shared" si="28"/>
        <v/>
      </c>
      <c r="CL36" s="1114" t="str">
        <f t="shared" si="29"/>
        <v/>
      </c>
      <c r="CM36" s="1114" t="str">
        <f t="shared" si="30"/>
        <v/>
      </c>
      <c r="CN36" s="1114" t="str">
        <f t="shared" si="31"/>
        <v/>
      </c>
      <c r="CO36" s="1114" t="str">
        <f t="shared" si="32"/>
        <v/>
      </c>
      <c r="CP36" s="1114" t="str">
        <f t="shared" si="33"/>
        <v/>
      </c>
      <c r="CQ36" s="1114" t="str">
        <f t="shared" si="34"/>
        <v/>
      </c>
      <c r="CR36" s="1114" t="str">
        <f t="shared" si="35"/>
        <v/>
      </c>
      <c r="CS36" s="1114" t="str">
        <f t="shared" si="36"/>
        <v/>
      </c>
      <c r="CT36" s="1114" t="str">
        <f t="shared" si="37"/>
        <v/>
      </c>
      <c r="CU36" s="1114" t="str">
        <f t="shared" si="38"/>
        <v/>
      </c>
      <c r="CV36" s="1114" t="str">
        <f t="shared" si="39"/>
        <v/>
      </c>
      <c r="CW36" s="1114" t="str">
        <f t="shared" si="40"/>
        <v/>
      </c>
      <c r="CX36" s="1114" t="str">
        <f t="shared" si="41"/>
        <v/>
      </c>
      <c r="CY36" s="1114" t="str">
        <f t="shared" si="42"/>
        <v/>
      </c>
      <c r="CZ36" s="1114" t="str">
        <f t="shared" si="43"/>
        <v/>
      </c>
      <c r="DA36" s="1114" t="str">
        <f t="shared" si="44"/>
        <v/>
      </c>
      <c r="DB36" s="1114" t="str">
        <f t="shared" si="45"/>
        <v/>
      </c>
      <c r="DC36" s="1114" t="str">
        <f t="shared" si="46"/>
        <v/>
      </c>
      <c r="DD36" s="1114" t="str">
        <f t="shared" si="47"/>
        <v/>
      </c>
      <c r="DE36" s="1114" t="str">
        <f t="shared" si="48"/>
        <v/>
      </c>
      <c r="DF36" s="1114" t="str">
        <f t="shared" si="49"/>
        <v/>
      </c>
      <c r="DG36" s="1114" t="str">
        <f t="shared" si="50"/>
        <v/>
      </c>
      <c r="DH36" s="1114" t="str">
        <f t="shared" si="51"/>
        <v/>
      </c>
      <c r="DI36" s="1114" t="str">
        <f t="shared" si="52"/>
        <v/>
      </c>
      <c r="DJ36" s="1114" t="str">
        <f t="shared" si="53"/>
        <v/>
      </c>
      <c r="DK36" s="1116" t="str">
        <f t="shared" si="54"/>
        <v/>
      </c>
    </row>
    <row r="37" spans="1:115" ht="45.75">
      <c r="A37" s="2681"/>
      <c r="C37" s="1029">
        <f>+PP!B55</f>
        <v>32</v>
      </c>
      <c r="D37" s="1111" t="str">
        <f>+PP!C55</f>
        <v>RECORTE AMARILLO SM ST</v>
      </c>
      <c r="E37" s="1091"/>
      <c r="F37" s="1092"/>
      <c r="G37" s="1092"/>
      <c r="H37" s="1092"/>
      <c r="I37" s="1092"/>
      <c r="J37" s="1092"/>
      <c r="K37" s="1092"/>
      <c r="L37" s="1092"/>
      <c r="M37" s="1092"/>
      <c r="N37" s="1092"/>
      <c r="O37" s="1092"/>
      <c r="P37" s="1092"/>
      <c r="Q37" s="1093"/>
      <c r="R37" s="1093"/>
      <c r="S37" s="1094"/>
      <c r="T37" s="1094"/>
      <c r="U37" s="1094"/>
      <c r="V37" s="1094"/>
      <c r="W37" s="1094"/>
      <c r="X37" s="1094"/>
      <c r="Y37" s="1094"/>
      <c r="Z37" s="620"/>
      <c r="AA37" s="620"/>
      <c r="AB37" s="620"/>
      <c r="AC37" s="620"/>
      <c r="AD37" s="620"/>
      <c r="AE37" s="620"/>
      <c r="AF37" s="620"/>
      <c r="AG37" s="620"/>
      <c r="AH37" s="620"/>
      <c r="AI37" s="620"/>
      <c r="AJ37" s="620"/>
      <c r="AK37" s="620"/>
      <c r="AL37" s="620"/>
      <c r="AM37" s="620"/>
      <c r="AN37" s="620"/>
      <c r="AO37" s="620"/>
      <c r="AP37" s="620"/>
      <c r="AQ37" s="620"/>
      <c r="AR37" s="620"/>
      <c r="AS37" s="620"/>
      <c r="AT37" s="620"/>
      <c r="AU37" s="620"/>
      <c r="AV37" s="620"/>
      <c r="AW37" s="620"/>
      <c r="AX37" s="620"/>
      <c r="AY37" s="620"/>
      <c r="AZ37" s="620"/>
      <c r="BA37" s="620"/>
      <c r="BB37" s="620"/>
      <c r="BC37" s="984">
        <f t="shared" si="0"/>
        <v>0</v>
      </c>
      <c r="BD37" s="985">
        <f t="shared" si="1"/>
        <v>0</v>
      </c>
      <c r="BE37" s="990">
        <f t="shared" si="2"/>
        <v>0</v>
      </c>
      <c r="BG37" s="890"/>
      <c r="BH37" s="890"/>
      <c r="BI37" s="890"/>
      <c r="BJ37" s="890"/>
      <c r="BK37" s="1117" t="str">
        <f>IFERROR(INDEX($C$6:$C$53,_xlfn.AGGREGATE(15,6,(ROW($C$6:$C$53)-ROW($C$6)+1)/($BC$6:$BC$53&gt;0),ROWS($BK$6:BK37))),"")</f>
        <v/>
      </c>
      <c r="BL37" s="1118" t="str">
        <f t="shared" si="3"/>
        <v/>
      </c>
      <c r="BM37" s="1548" t="str">
        <f t="shared" si="4"/>
        <v/>
      </c>
      <c r="BN37" s="1548" t="str">
        <f t="shared" si="5"/>
        <v/>
      </c>
      <c r="BO37" s="1548" t="str">
        <f t="shared" si="6"/>
        <v/>
      </c>
      <c r="BP37" s="1548" t="str">
        <f t="shared" si="7"/>
        <v/>
      </c>
      <c r="BQ37" s="1548" t="str">
        <f t="shared" si="8"/>
        <v/>
      </c>
      <c r="BR37" s="1548" t="str">
        <f t="shared" si="9"/>
        <v/>
      </c>
      <c r="BS37" s="1548" t="str">
        <f t="shared" si="10"/>
        <v/>
      </c>
      <c r="BT37" s="1548" t="str">
        <f t="shared" si="11"/>
        <v/>
      </c>
      <c r="BU37" s="1548" t="str">
        <f t="shared" si="12"/>
        <v/>
      </c>
      <c r="BV37" s="1114" t="str">
        <f t="shared" si="13"/>
        <v/>
      </c>
      <c r="BW37" s="1114" t="str">
        <f t="shared" si="14"/>
        <v/>
      </c>
      <c r="BX37" s="1114" t="str">
        <f t="shared" si="15"/>
        <v/>
      </c>
      <c r="BY37" s="1114" t="str">
        <f t="shared" si="16"/>
        <v/>
      </c>
      <c r="BZ37" s="1114" t="str">
        <f t="shared" si="17"/>
        <v/>
      </c>
      <c r="CA37" s="1548" t="str">
        <f t="shared" si="18"/>
        <v/>
      </c>
      <c r="CB37" s="1548" t="str">
        <f t="shared" si="19"/>
        <v/>
      </c>
      <c r="CC37" s="1114" t="str">
        <f t="shared" si="20"/>
        <v/>
      </c>
      <c r="CD37" s="1548" t="str">
        <f t="shared" si="21"/>
        <v/>
      </c>
      <c r="CE37" s="1114" t="str">
        <f t="shared" si="22"/>
        <v/>
      </c>
      <c r="CF37" s="1114" t="str">
        <f t="shared" si="23"/>
        <v/>
      </c>
      <c r="CG37" s="1114" t="str">
        <f t="shared" si="24"/>
        <v/>
      </c>
      <c r="CH37" s="1114" t="str">
        <f t="shared" si="25"/>
        <v/>
      </c>
      <c r="CI37" s="1114" t="str">
        <f t="shared" si="26"/>
        <v/>
      </c>
      <c r="CJ37" s="1114" t="str">
        <f t="shared" si="27"/>
        <v/>
      </c>
      <c r="CK37" s="1114" t="str">
        <f t="shared" si="28"/>
        <v/>
      </c>
      <c r="CL37" s="1114" t="str">
        <f t="shared" si="29"/>
        <v/>
      </c>
      <c r="CM37" s="1114" t="str">
        <f t="shared" si="30"/>
        <v/>
      </c>
      <c r="CN37" s="1114" t="str">
        <f t="shared" si="31"/>
        <v/>
      </c>
      <c r="CO37" s="1114" t="str">
        <f t="shared" si="32"/>
        <v/>
      </c>
      <c r="CP37" s="1114" t="str">
        <f t="shared" si="33"/>
        <v/>
      </c>
      <c r="CQ37" s="1114" t="str">
        <f t="shared" si="34"/>
        <v/>
      </c>
      <c r="CR37" s="1114" t="str">
        <f t="shared" si="35"/>
        <v/>
      </c>
      <c r="CS37" s="1114" t="str">
        <f t="shared" si="36"/>
        <v/>
      </c>
      <c r="CT37" s="1114" t="str">
        <f t="shared" si="37"/>
        <v/>
      </c>
      <c r="CU37" s="1114" t="str">
        <f t="shared" si="38"/>
        <v/>
      </c>
      <c r="CV37" s="1114" t="str">
        <f t="shared" si="39"/>
        <v/>
      </c>
      <c r="CW37" s="1114" t="str">
        <f t="shared" si="40"/>
        <v/>
      </c>
      <c r="CX37" s="1114" t="str">
        <f t="shared" si="41"/>
        <v/>
      </c>
      <c r="CY37" s="1114" t="str">
        <f t="shared" si="42"/>
        <v/>
      </c>
      <c r="CZ37" s="1114" t="str">
        <f t="shared" si="43"/>
        <v/>
      </c>
      <c r="DA37" s="1114" t="str">
        <f t="shared" si="44"/>
        <v/>
      </c>
      <c r="DB37" s="1114" t="str">
        <f t="shared" si="45"/>
        <v/>
      </c>
      <c r="DC37" s="1114" t="str">
        <f t="shared" si="46"/>
        <v/>
      </c>
      <c r="DD37" s="1114" t="str">
        <f t="shared" si="47"/>
        <v/>
      </c>
      <c r="DE37" s="1114" t="str">
        <f t="shared" si="48"/>
        <v/>
      </c>
      <c r="DF37" s="1114" t="str">
        <f t="shared" si="49"/>
        <v/>
      </c>
      <c r="DG37" s="1114" t="str">
        <f t="shared" si="50"/>
        <v/>
      </c>
      <c r="DH37" s="1114" t="str">
        <f t="shared" si="51"/>
        <v/>
      </c>
      <c r="DI37" s="1114" t="str">
        <f t="shared" si="52"/>
        <v/>
      </c>
      <c r="DJ37" s="1114" t="str">
        <f t="shared" si="53"/>
        <v/>
      </c>
      <c r="DK37" s="1116" t="str">
        <f t="shared" si="54"/>
        <v/>
      </c>
    </row>
    <row r="38" spans="1:115" ht="46.5" thickBot="1">
      <c r="A38" s="2681"/>
      <c r="C38" s="1029">
        <f>+PP!B56</f>
        <v>33</v>
      </c>
      <c r="D38" s="1112" t="str">
        <f>+PP!C56</f>
        <v>RECORTE PRECOCIDO</v>
      </c>
      <c r="E38" s="975"/>
      <c r="F38" s="623"/>
      <c r="G38" s="623"/>
      <c r="H38" s="623"/>
      <c r="I38" s="623"/>
      <c r="J38" s="623"/>
      <c r="K38" s="623"/>
      <c r="L38" s="623"/>
      <c r="M38" s="623"/>
      <c r="N38" s="623"/>
      <c r="O38" s="623"/>
      <c r="P38" s="623"/>
      <c r="Q38" s="630"/>
      <c r="R38" s="630"/>
      <c r="S38" s="617"/>
      <c r="T38" s="617"/>
      <c r="U38" s="617"/>
      <c r="V38" s="617"/>
      <c r="W38" s="617"/>
      <c r="X38" s="617"/>
      <c r="Y38" s="617"/>
      <c r="Z38" s="617"/>
      <c r="AA38" s="617"/>
      <c r="AB38" s="617"/>
      <c r="AC38" s="617"/>
      <c r="AD38" s="617"/>
      <c r="AE38" s="617"/>
      <c r="AF38" s="617"/>
      <c r="AG38" s="617"/>
      <c r="AH38" s="617"/>
      <c r="AI38" s="617"/>
      <c r="AJ38" s="617"/>
      <c r="AK38" s="617"/>
      <c r="AL38" s="617"/>
      <c r="AM38" s="617"/>
      <c r="AN38" s="617"/>
      <c r="AO38" s="617"/>
      <c r="AP38" s="617"/>
      <c r="AQ38" s="617"/>
      <c r="AR38" s="617"/>
      <c r="AS38" s="617"/>
      <c r="AT38" s="617"/>
      <c r="AU38" s="617"/>
      <c r="AV38" s="617"/>
      <c r="AW38" s="617"/>
      <c r="AX38" s="617"/>
      <c r="AY38" s="617"/>
      <c r="AZ38" s="617"/>
      <c r="BA38" s="617"/>
      <c r="BB38" s="617"/>
      <c r="BC38" s="992">
        <f t="shared" si="0"/>
        <v>0</v>
      </c>
      <c r="BD38" s="993">
        <f t="shared" si="1"/>
        <v>0</v>
      </c>
      <c r="BE38" s="887">
        <f t="shared" si="2"/>
        <v>0</v>
      </c>
      <c r="BG38" s="890"/>
      <c r="BH38" s="890"/>
      <c r="BI38" s="890"/>
      <c r="BJ38" s="890"/>
      <c r="BK38" s="1117" t="str">
        <f>IFERROR(INDEX($C$6:$C$53,_xlfn.AGGREGATE(15,6,(ROW($C$6:$C$53)-ROW($C$6)+1)/($BC$6:$BC$53&gt;0),ROWS($BK$6:BK38))),"")</f>
        <v/>
      </c>
      <c r="BL38" s="1118" t="str">
        <f t="shared" si="3"/>
        <v/>
      </c>
      <c r="BM38" s="1548" t="str">
        <f t="shared" si="4"/>
        <v/>
      </c>
      <c r="BN38" s="1548" t="str">
        <f t="shared" si="5"/>
        <v/>
      </c>
      <c r="BO38" s="1548" t="str">
        <f t="shared" si="6"/>
        <v/>
      </c>
      <c r="BP38" s="1548" t="str">
        <f t="shared" si="7"/>
        <v/>
      </c>
      <c r="BQ38" s="1548" t="str">
        <f t="shared" si="8"/>
        <v/>
      </c>
      <c r="BR38" s="1548" t="str">
        <f t="shared" si="9"/>
        <v/>
      </c>
      <c r="BS38" s="1548" t="str">
        <f t="shared" si="10"/>
        <v/>
      </c>
      <c r="BT38" s="1548" t="str">
        <f t="shared" si="11"/>
        <v/>
      </c>
      <c r="BU38" s="1548" t="str">
        <f t="shared" si="12"/>
        <v/>
      </c>
      <c r="BV38" s="1114" t="str">
        <f t="shared" si="13"/>
        <v/>
      </c>
      <c r="BW38" s="1114" t="str">
        <f t="shared" si="14"/>
        <v/>
      </c>
      <c r="BX38" s="1114" t="str">
        <f t="shared" si="15"/>
        <v/>
      </c>
      <c r="BY38" s="1114" t="str">
        <f t="shared" si="16"/>
        <v/>
      </c>
      <c r="BZ38" s="1114" t="str">
        <f t="shared" si="17"/>
        <v/>
      </c>
      <c r="CA38" s="1548" t="str">
        <f t="shared" si="18"/>
        <v/>
      </c>
      <c r="CB38" s="1548" t="str">
        <f t="shared" si="19"/>
        <v/>
      </c>
      <c r="CC38" s="1114" t="str">
        <f t="shared" si="20"/>
        <v/>
      </c>
      <c r="CD38" s="1548" t="str">
        <f t="shared" si="21"/>
        <v/>
      </c>
      <c r="CE38" s="1114" t="str">
        <f t="shared" si="22"/>
        <v/>
      </c>
      <c r="CF38" s="1114" t="str">
        <f t="shared" si="23"/>
        <v/>
      </c>
      <c r="CG38" s="1114" t="str">
        <f t="shared" si="24"/>
        <v/>
      </c>
      <c r="CH38" s="1114" t="str">
        <f t="shared" si="25"/>
        <v/>
      </c>
      <c r="CI38" s="1114" t="str">
        <f t="shared" si="26"/>
        <v/>
      </c>
      <c r="CJ38" s="1114" t="str">
        <f t="shared" si="27"/>
        <v/>
      </c>
      <c r="CK38" s="1114" t="str">
        <f t="shared" si="28"/>
        <v/>
      </c>
      <c r="CL38" s="1114" t="str">
        <f t="shared" si="29"/>
        <v/>
      </c>
      <c r="CM38" s="1114" t="str">
        <f t="shared" si="30"/>
        <v/>
      </c>
      <c r="CN38" s="1114" t="str">
        <f t="shared" si="31"/>
        <v/>
      </c>
      <c r="CO38" s="1114" t="str">
        <f t="shared" si="32"/>
        <v/>
      </c>
      <c r="CP38" s="1114" t="str">
        <f t="shared" si="33"/>
        <v/>
      </c>
      <c r="CQ38" s="1114" t="str">
        <f t="shared" si="34"/>
        <v/>
      </c>
      <c r="CR38" s="1114" t="str">
        <f t="shared" si="35"/>
        <v/>
      </c>
      <c r="CS38" s="1114" t="str">
        <f t="shared" si="36"/>
        <v/>
      </c>
      <c r="CT38" s="1114" t="str">
        <f t="shared" si="37"/>
        <v/>
      </c>
      <c r="CU38" s="1114" t="str">
        <f t="shared" si="38"/>
        <v/>
      </c>
      <c r="CV38" s="1114" t="str">
        <f t="shared" si="39"/>
        <v/>
      </c>
      <c r="CW38" s="1114" t="str">
        <f t="shared" si="40"/>
        <v/>
      </c>
      <c r="CX38" s="1114" t="str">
        <f t="shared" si="41"/>
        <v/>
      </c>
      <c r="CY38" s="1114" t="str">
        <f t="shared" si="42"/>
        <v/>
      </c>
      <c r="CZ38" s="1114" t="str">
        <f t="shared" si="43"/>
        <v/>
      </c>
      <c r="DA38" s="1114" t="str">
        <f t="shared" si="44"/>
        <v/>
      </c>
      <c r="DB38" s="1114" t="str">
        <f t="shared" si="45"/>
        <v/>
      </c>
      <c r="DC38" s="1114" t="str">
        <f t="shared" si="46"/>
        <v/>
      </c>
      <c r="DD38" s="1114" t="str">
        <f t="shared" si="47"/>
        <v/>
      </c>
      <c r="DE38" s="1114" t="str">
        <f t="shared" si="48"/>
        <v/>
      </c>
      <c r="DF38" s="1114" t="str">
        <f t="shared" si="49"/>
        <v/>
      </c>
      <c r="DG38" s="1114" t="str">
        <f t="shared" si="50"/>
        <v/>
      </c>
      <c r="DH38" s="1114" t="str">
        <f t="shared" si="51"/>
        <v/>
      </c>
      <c r="DI38" s="1114" t="str">
        <f t="shared" si="52"/>
        <v/>
      </c>
      <c r="DJ38" s="1114" t="str">
        <f t="shared" si="53"/>
        <v/>
      </c>
      <c r="DK38" s="1116" t="str">
        <f t="shared" si="54"/>
        <v/>
      </c>
    </row>
    <row r="39" spans="1:115" ht="45.75">
      <c r="A39" s="2681"/>
      <c r="C39" s="1029">
        <f>+PP!B57</f>
        <v>34</v>
      </c>
      <c r="D39" s="1110" t="str">
        <f>+PP!C57</f>
        <v>REPRODUCTORES SV, PEQUEÑO</v>
      </c>
      <c r="E39" s="972"/>
      <c r="F39" s="618"/>
      <c r="G39" s="618"/>
      <c r="H39" s="618"/>
      <c r="I39" s="618"/>
      <c r="J39" s="618"/>
      <c r="K39" s="618"/>
      <c r="L39" s="618"/>
      <c r="M39" s="618"/>
      <c r="N39" s="618"/>
      <c r="O39" s="618"/>
      <c r="P39" s="618"/>
      <c r="Q39" s="628"/>
      <c r="R39" s="628"/>
      <c r="S39" s="614"/>
      <c r="T39" s="614"/>
      <c r="U39" s="614"/>
      <c r="V39" s="614"/>
      <c r="W39" s="614"/>
      <c r="X39" s="614"/>
      <c r="Y39" s="614"/>
      <c r="Z39" s="614"/>
      <c r="AA39" s="614"/>
      <c r="AB39" s="614"/>
      <c r="AC39" s="614"/>
      <c r="AD39" s="614"/>
      <c r="AE39" s="614"/>
      <c r="AF39" s="614"/>
      <c r="AG39" s="614"/>
      <c r="AH39" s="614"/>
      <c r="AI39" s="614"/>
      <c r="AJ39" s="614"/>
      <c r="AK39" s="614"/>
      <c r="AL39" s="614"/>
      <c r="AM39" s="614"/>
      <c r="AN39" s="614"/>
      <c r="AO39" s="614"/>
      <c r="AP39" s="614"/>
      <c r="AQ39" s="614"/>
      <c r="AR39" s="614"/>
      <c r="AS39" s="614"/>
      <c r="AT39" s="614"/>
      <c r="AU39" s="614"/>
      <c r="AV39" s="614"/>
      <c r="AW39" s="614"/>
      <c r="AX39" s="614"/>
      <c r="AY39" s="614"/>
      <c r="AZ39" s="614"/>
      <c r="BA39" s="614"/>
      <c r="BB39" s="614"/>
      <c r="BC39" s="988">
        <f t="shared" si="0"/>
        <v>0</v>
      </c>
      <c r="BD39" s="989">
        <f t="shared" si="1"/>
        <v>0</v>
      </c>
      <c r="BE39" s="886">
        <f t="shared" si="2"/>
        <v>0</v>
      </c>
      <c r="BG39" s="890"/>
      <c r="BH39" s="890"/>
      <c r="BI39" s="890"/>
      <c r="BJ39" s="890"/>
      <c r="BK39" s="1117" t="str">
        <f>IFERROR(INDEX($C$6:$C$53,_xlfn.AGGREGATE(15,6,(ROW($C$6:$C$53)-ROW($C$6)+1)/($BC$6:$BC$53&gt;0),ROWS($BK$6:BK39))),"")</f>
        <v/>
      </c>
      <c r="BL39" s="1118" t="str">
        <f t="shared" si="3"/>
        <v/>
      </c>
      <c r="BM39" s="1548" t="str">
        <f t="shared" si="4"/>
        <v/>
      </c>
      <c r="BN39" s="1548" t="str">
        <f t="shared" si="5"/>
        <v/>
      </c>
      <c r="BO39" s="1548" t="str">
        <f t="shared" si="6"/>
        <v/>
      </c>
      <c r="BP39" s="1548" t="str">
        <f t="shared" si="7"/>
        <v/>
      </c>
      <c r="BQ39" s="1548" t="str">
        <f t="shared" si="8"/>
        <v/>
      </c>
      <c r="BR39" s="1548" t="str">
        <f t="shared" si="9"/>
        <v/>
      </c>
      <c r="BS39" s="1548" t="str">
        <f t="shared" si="10"/>
        <v/>
      </c>
      <c r="BT39" s="1548" t="str">
        <f t="shared" si="11"/>
        <v/>
      </c>
      <c r="BU39" s="1548" t="str">
        <f t="shared" si="12"/>
        <v/>
      </c>
      <c r="BV39" s="1114" t="str">
        <f t="shared" si="13"/>
        <v/>
      </c>
      <c r="BW39" s="1114" t="str">
        <f t="shared" si="14"/>
        <v/>
      </c>
      <c r="BX39" s="1114" t="str">
        <f t="shared" si="15"/>
        <v/>
      </c>
      <c r="BY39" s="1114" t="str">
        <f t="shared" si="16"/>
        <v/>
      </c>
      <c r="BZ39" s="1114" t="str">
        <f t="shared" si="17"/>
        <v/>
      </c>
      <c r="CA39" s="1548" t="str">
        <f t="shared" si="18"/>
        <v/>
      </c>
      <c r="CB39" s="1548" t="str">
        <f t="shared" si="19"/>
        <v/>
      </c>
      <c r="CC39" s="1114" t="str">
        <f t="shared" si="20"/>
        <v/>
      </c>
      <c r="CD39" s="1548" t="str">
        <f t="shared" si="21"/>
        <v/>
      </c>
      <c r="CE39" s="1114" t="str">
        <f t="shared" si="22"/>
        <v/>
      </c>
      <c r="CF39" s="1114" t="str">
        <f t="shared" si="23"/>
        <v/>
      </c>
      <c r="CG39" s="1114" t="str">
        <f t="shared" si="24"/>
        <v/>
      </c>
      <c r="CH39" s="1114" t="str">
        <f t="shared" si="25"/>
        <v/>
      </c>
      <c r="CI39" s="1114" t="str">
        <f t="shared" si="26"/>
        <v/>
      </c>
      <c r="CJ39" s="1114" t="str">
        <f t="shared" si="27"/>
        <v/>
      </c>
      <c r="CK39" s="1114" t="str">
        <f t="shared" si="28"/>
        <v/>
      </c>
      <c r="CL39" s="1114" t="str">
        <f t="shared" si="29"/>
        <v/>
      </c>
      <c r="CM39" s="1114" t="str">
        <f t="shared" si="30"/>
        <v/>
      </c>
      <c r="CN39" s="1114" t="str">
        <f t="shared" si="31"/>
        <v/>
      </c>
      <c r="CO39" s="1114" t="str">
        <f t="shared" si="32"/>
        <v/>
      </c>
      <c r="CP39" s="1114" t="str">
        <f t="shared" si="33"/>
        <v/>
      </c>
      <c r="CQ39" s="1114" t="str">
        <f t="shared" si="34"/>
        <v/>
      </c>
      <c r="CR39" s="1114" t="str">
        <f t="shared" si="35"/>
        <v/>
      </c>
      <c r="CS39" s="1114" t="str">
        <f t="shared" si="36"/>
        <v/>
      </c>
      <c r="CT39" s="1114" t="str">
        <f t="shared" si="37"/>
        <v/>
      </c>
      <c r="CU39" s="1114" t="str">
        <f t="shared" si="38"/>
        <v/>
      </c>
      <c r="CV39" s="1114" t="str">
        <f t="shared" si="39"/>
        <v/>
      </c>
      <c r="CW39" s="1114" t="str">
        <f t="shared" si="40"/>
        <v/>
      </c>
      <c r="CX39" s="1114" t="str">
        <f t="shared" si="41"/>
        <v/>
      </c>
      <c r="CY39" s="1114" t="str">
        <f t="shared" si="42"/>
        <v/>
      </c>
      <c r="CZ39" s="1114" t="str">
        <f t="shared" si="43"/>
        <v/>
      </c>
      <c r="DA39" s="1114" t="str">
        <f t="shared" si="44"/>
        <v/>
      </c>
      <c r="DB39" s="1114" t="str">
        <f t="shared" si="45"/>
        <v/>
      </c>
      <c r="DC39" s="1114" t="str">
        <f t="shared" si="46"/>
        <v/>
      </c>
      <c r="DD39" s="1114" t="str">
        <f t="shared" si="47"/>
        <v/>
      </c>
      <c r="DE39" s="1114" t="str">
        <f t="shared" si="48"/>
        <v/>
      </c>
      <c r="DF39" s="1114" t="str">
        <f t="shared" si="49"/>
        <v/>
      </c>
      <c r="DG39" s="1114" t="str">
        <f t="shared" si="50"/>
        <v/>
      </c>
      <c r="DH39" s="1114" t="str">
        <f t="shared" si="51"/>
        <v/>
      </c>
      <c r="DI39" s="1114" t="str">
        <f t="shared" si="52"/>
        <v/>
      </c>
      <c r="DJ39" s="1114" t="str">
        <f t="shared" si="53"/>
        <v/>
      </c>
      <c r="DK39" s="1116" t="str">
        <f t="shared" si="54"/>
        <v/>
      </c>
    </row>
    <row r="40" spans="1:115" ht="46.5" thickBot="1">
      <c r="A40" s="2681"/>
      <c r="C40" s="1029">
        <f>+PP!B58</f>
        <v>35</v>
      </c>
      <c r="D40" s="1112" t="str">
        <f>+PP!C58</f>
        <v>REPRODUCTOR SV GRANDE</v>
      </c>
      <c r="E40" s="1004"/>
      <c r="F40" s="991"/>
      <c r="G40" s="991"/>
      <c r="H40" s="991"/>
      <c r="I40" s="991"/>
      <c r="J40" s="997"/>
      <c r="K40" s="997"/>
      <c r="L40" s="605"/>
      <c r="M40" s="605"/>
      <c r="N40" s="605"/>
      <c r="O40" s="605"/>
      <c r="P40" s="605"/>
      <c r="Q40" s="605"/>
      <c r="R40" s="605"/>
      <c r="S40" s="997"/>
      <c r="T40" s="997"/>
      <c r="U40" s="997"/>
      <c r="V40" s="997"/>
      <c r="W40" s="997"/>
      <c r="X40" s="997"/>
      <c r="Y40" s="997"/>
      <c r="Z40" s="997"/>
      <c r="AA40" s="997"/>
      <c r="AB40" s="997"/>
      <c r="AC40" s="997"/>
      <c r="AD40" s="997"/>
      <c r="AE40" s="997"/>
      <c r="AF40" s="997"/>
      <c r="AG40" s="997"/>
      <c r="AH40" s="997"/>
      <c r="AI40" s="997"/>
      <c r="AJ40" s="997"/>
      <c r="AK40" s="997"/>
      <c r="AL40" s="997"/>
      <c r="AM40" s="997"/>
      <c r="AN40" s="997"/>
      <c r="AO40" s="997"/>
      <c r="AP40" s="997"/>
      <c r="AQ40" s="997"/>
      <c r="AR40" s="997"/>
      <c r="AS40" s="997"/>
      <c r="AT40" s="997"/>
      <c r="AU40" s="997"/>
      <c r="AV40" s="997"/>
      <c r="AW40" s="997"/>
      <c r="AX40" s="997"/>
      <c r="AY40" s="997"/>
      <c r="AZ40" s="997"/>
      <c r="BA40" s="997"/>
      <c r="BB40" s="997"/>
      <c r="BC40" s="992">
        <f t="shared" si="0"/>
        <v>0</v>
      </c>
      <c r="BD40" s="993">
        <f t="shared" si="1"/>
        <v>0</v>
      </c>
      <c r="BE40" s="887">
        <f t="shared" si="2"/>
        <v>0</v>
      </c>
      <c r="BK40" s="1117" t="str">
        <f>IFERROR(INDEX($C$6:$C$53,_xlfn.AGGREGATE(15,6,(ROW($C$6:$C$53)-ROW($C$6)+1)/($BC$6:$BC$53&gt;0),ROWS($BK$6:BK40))),"")</f>
        <v/>
      </c>
      <c r="BL40" s="1118" t="str">
        <f t="shared" si="3"/>
        <v/>
      </c>
      <c r="BM40" s="1548" t="str">
        <f t="shared" si="4"/>
        <v/>
      </c>
      <c r="BN40" s="1548" t="str">
        <f t="shared" si="5"/>
        <v/>
      </c>
      <c r="BO40" s="1548" t="str">
        <f t="shared" si="6"/>
        <v/>
      </c>
      <c r="BP40" s="1548" t="str">
        <f t="shared" si="7"/>
        <v/>
      </c>
      <c r="BQ40" s="1548" t="str">
        <f t="shared" si="8"/>
        <v/>
      </c>
      <c r="BR40" s="1548" t="str">
        <f t="shared" si="9"/>
        <v/>
      </c>
      <c r="BS40" s="1548" t="str">
        <f t="shared" si="10"/>
        <v/>
      </c>
      <c r="BT40" s="1548" t="str">
        <f t="shared" si="11"/>
        <v/>
      </c>
      <c r="BU40" s="1548" t="str">
        <f t="shared" si="12"/>
        <v/>
      </c>
      <c r="BV40" s="1114" t="str">
        <f t="shared" si="13"/>
        <v/>
      </c>
      <c r="BW40" s="1114" t="str">
        <f t="shared" si="14"/>
        <v/>
      </c>
      <c r="BX40" s="1114" t="str">
        <f t="shared" si="15"/>
        <v/>
      </c>
      <c r="BY40" s="1114" t="str">
        <f t="shared" si="16"/>
        <v/>
      </c>
      <c r="BZ40" s="1114" t="str">
        <f t="shared" si="17"/>
        <v/>
      </c>
      <c r="CA40" s="1548" t="str">
        <f t="shared" si="18"/>
        <v/>
      </c>
      <c r="CB40" s="1548" t="str">
        <f t="shared" si="19"/>
        <v/>
      </c>
      <c r="CC40" s="1114" t="str">
        <f t="shared" si="20"/>
        <v/>
      </c>
      <c r="CD40" s="1548" t="str">
        <f t="shared" si="21"/>
        <v/>
      </c>
      <c r="CE40" s="1114" t="str">
        <f t="shared" si="22"/>
        <v/>
      </c>
      <c r="CF40" s="1114" t="str">
        <f t="shared" si="23"/>
        <v/>
      </c>
      <c r="CG40" s="1114" t="str">
        <f t="shared" si="24"/>
        <v/>
      </c>
      <c r="CH40" s="1114" t="str">
        <f t="shared" si="25"/>
        <v/>
      </c>
      <c r="CI40" s="1114" t="str">
        <f t="shared" si="26"/>
        <v/>
      </c>
      <c r="CJ40" s="1114" t="str">
        <f t="shared" si="27"/>
        <v/>
      </c>
      <c r="CK40" s="1114" t="str">
        <f t="shared" si="28"/>
        <v/>
      </c>
      <c r="CL40" s="1114" t="str">
        <f t="shared" si="29"/>
        <v/>
      </c>
      <c r="CM40" s="1114" t="str">
        <f t="shared" si="30"/>
        <v/>
      </c>
      <c r="CN40" s="1114" t="str">
        <f t="shared" si="31"/>
        <v/>
      </c>
      <c r="CO40" s="1114" t="str">
        <f t="shared" si="32"/>
        <v/>
      </c>
      <c r="CP40" s="1114" t="str">
        <f t="shared" si="33"/>
        <v/>
      </c>
      <c r="CQ40" s="1114" t="str">
        <f t="shared" si="34"/>
        <v/>
      </c>
      <c r="CR40" s="1114" t="str">
        <f t="shared" si="35"/>
        <v/>
      </c>
      <c r="CS40" s="1114" t="str">
        <f t="shared" si="36"/>
        <v/>
      </c>
      <c r="CT40" s="1114" t="str">
        <f t="shared" si="37"/>
        <v/>
      </c>
      <c r="CU40" s="1114" t="str">
        <f t="shared" si="38"/>
        <v/>
      </c>
      <c r="CV40" s="1114" t="str">
        <f t="shared" si="39"/>
        <v/>
      </c>
      <c r="CW40" s="1114" t="str">
        <f t="shared" si="40"/>
        <v/>
      </c>
      <c r="CX40" s="1114" t="str">
        <f t="shared" si="41"/>
        <v/>
      </c>
      <c r="CY40" s="1114" t="str">
        <f t="shared" si="42"/>
        <v/>
      </c>
      <c r="CZ40" s="1114" t="str">
        <f t="shared" si="43"/>
        <v/>
      </c>
      <c r="DA40" s="1114" t="str">
        <f t="shared" si="44"/>
        <v/>
      </c>
      <c r="DB40" s="1114" t="str">
        <f t="shared" si="45"/>
        <v/>
      </c>
      <c r="DC40" s="1114" t="str">
        <f t="shared" si="46"/>
        <v/>
      </c>
      <c r="DD40" s="1114" t="str">
        <f t="shared" si="47"/>
        <v/>
      </c>
      <c r="DE40" s="1114" t="str">
        <f t="shared" si="48"/>
        <v/>
      </c>
      <c r="DF40" s="1114" t="str">
        <f t="shared" si="49"/>
        <v/>
      </c>
      <c r="DG40" s="1114" t="str">
        <f t="shared" si="50"/>
        <v/>
      </c>
      <c r="DH40" s="1114" t="str">
        <f t="shared" si="51"/>
        <v/>
      </c>
      <c r="DI40" s="1114" t="str">
        <f t="shared" si="52"/>
        <v/>
      </c>
      <c r="DJ40" s="1114" t="str">
        <f t="shared" si="53"/>
        <v/>
      </c>
      <c r="DK40" s="1116" t="str">
        <f t="shared" si="54"/>
        <v/>
      </c>
    </row>
    <row r="41" spans="1:115" ht="46.5" thickBot="1">
      <c r="A41" s="2681"/>
      <c r="C41" s="1029">
        <f>+PP!B59</f>
        <v>36</v>
      </c>
      <c r="D41" s="1113" t="str">
        <f>+PP!C59</f>
        <v>TUBO ALETA 1.0-2.0 Kg/pza</v>
      </c>
      <c r="E41" s="979"/>
      <c r="F41" s="631"/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1"/>
      <c r="R41" s="631"/>
      <c r="S41" s="631"/>
      <c r="T41" s="631"/>
      <c r="U41" s="631"/>
      <c r="V41" s="631"/>
      <c r="W41" s="631"/>
      <c r="X41" s="631"/>
      <c r="Y41" s="631"/>
      <c r="Z41" s="631"/>
      <c r="AA41" s="631"/>
      <c r="AB41" s="631"/>
      <c r="AC41" s="631"/>
      <c r="AD41" s="631"/>
      <c r="AE41" s="631"/>
      <c r="AF41" s="631"/>
      <c r="AG41" s="631"/>
      <c r="AH41" s="631"/>
      <c r="AI41" s="631"/>
      <c r="AJ41" s="631"/>
      <c r="AK41" s="631"/>
      <c r="AL41" s="631"/>
      <c r="AM41" s="631"/>
      <c r="AN41" s="631"/>
      <c r="AO41" s="631"/>
      <c r="AP41" s="631"/>
      <c r="AQ41" s="631"/>
      <c r="AR41" s="631"/>
      <c r="AS41" s="631"/>
      <c r="AT41" s="631"/>
      <c r="AU41" s="631"/>
      <c r="AV41" s="631"/>
      <c r="AW41" s="631"/>
      <c r="AX41" s="631"/>
      <c r="AY41" s="631"/>
      <c r="AZ41" s="631"/>
      <c r="BA41" s="631"/>
      <c r="BB41" s="631"/>
      <c r="BC41" s="994">
        <f t="shared" si="0"/>
        <v>0</v>
      </c>
      <c r="BD41" s="995">
        <f t="shared" si="1"/>
        <v>0</v>
      </c>
      <c r="BE41" s="996">
        <f t="shared" si="2"/>
        <v>0</v>
      </c>
      <c r="BK41" s="1117" t="str">
        <f>IFERROR(INDEX($C$6:$C$53,_xlfn.AGGREGATE(15,6,(ROW($C$6:$C$53)-ROW($C$6)+1)/($BC$6:$BC$53&gt;0),ROWS($BK$6:BK41))),"")</f>
        <v/>
      </c>
      <c r="BL41" s="1118" t="str">
        <f t="shared" si="3"/>
        <v/>
      </c>
      <c r="BM41" s="1548" t="str">
        <f t="shared" si="4"/>
        <v/>
      </c>
      <c r="BN41" s="1548" t="str">
        <f t="shared" si="5"/>
        <v/>
      </c>
      <c r="BO41" s="1548" t="str">
        <f t="shared" si="6"/>
        <v/>
      </c>
      <c r="BP41" s="1548" t="str">
        <f t="shared" si="7"/>
        <v/>
      </c>
      <c r="BQ41" s="1548" t="str">
        <f t="shared" si="8"/>
        <v/>
      </c>
      <c r="BR41" s="1548" t="str">
        <f t="shared" si="9"/>
        <v/>
      </c>
      <c r="BS41" s="1548" t="str">
        <f t="shared" si="10"/>
        <v/>
      </c>
      <c r="BT41" s="1548" t="str">
        <f t="shared" si="11"/>
        <v/>
      </c>
      <c r="BU41" s="1548" t="str">
        <f t="shared" si="12"/>
        <v/>
      </c>
      <c r="BV41" s="1114" t="str">
        <f t="shared" si="13"/>
        <v/>
      </c>
      <c r="BW41" s="1114" t="str">
        <f t="shared" si="14"/>
        <v/>
      </c>
      <c r="BX41" s="1114" t="str">
        <f t="shared" si="15"/>
        <v/>
      </c>
      <c r="BY41" s="1114" t="str">
        <f t="shared" si="16"/>
        <v/>
      </c>
      <c r="BZ41" s="1114" t="str">
        <f t="shared" si="17"/>
        <v/>
      </c>
      <c r="CA41" s="1548" t="str">
        <f t="shared" si="18"/>
        <v/>
      </c>
      <c r="CB41" s="1548" t="str">
        <f t="shared" si="19"/>
        <v/>
      </c>
      <c r="CC41" s="1114" t="str">
        <f t="shared" si="20"/>
        <v/>
      </c>
      <c r="CD41" s="1548" t="str">
        <f t="shared" si="21"/>
        <v/>
      </c>
      <c r="CE41" s="1114" t="str">
        <f t="shared" si="22"/>
        <v/>
      </c>
      <c r="CF41" s="1114" t="str">
        <f t="shared" si="23"/>
        <v/>
      </c>
      <c r="CG41" s="1114" t="str">
        <f t="shared" si="24"/>
        <v/>
      </c>
      <c r="CH41" s="1114" t="str">
        <f t="shared" si="25"/>
        <v/>
      </c>
      <c r="CI41" s="1114" t="str">
        <f t="shared" si="26"/>
        <v/>
      </c>
      <c r="CJ41" s="1114" t="str">
        <f t="shared" si="27"/>
        <v/>
      </c>
      <c r="CK41" s="1114" t="str">
        <f t="shared" si="28"/>
        <v/>
      </c>
      <c r="CL41" s="1114" t="str">
        <f t="shared" si="29"/>
        <v/>
      </c>
      <c r="CM41" s="1114" t="str">
        <f t="shared" si="30"/>
        <v/>
      </c>
      <c r="CN41" s="1114" t="str">
        <f t="shared" si="31"/>
        <v/>
      </c>
      <c r="CO41" s="1114" t="str">
        <f t="shared" si="32"/>
        <v/>
      </c>
      <c r="CP41" s="1114" t="str">
        <f t="shared" si="33"/>
        <v/>
      </c>
      <c r="CQ41" s="1114" t="str">
        <f t="shared" si="34"/>
        <v/>
      </c>
      <c r="CR41" s="1114" t="str">
        <f t="shared" si="35"/>
        <v/>
      </c>
      <c r="CS41" s="1114" t="str">
        <f t="shared" si="36"/>
        <v/>
      </c>
      <c r="CT41" s="1114" t="str">
        <f t="shared" si="37"/>
        <v/>
      </c>
      <c r="CU41" s="1114" t="str">
        <f t="shared" si="38"/>
        <v/>
      </c>
      <c r="CV41" s="1114" t="str">
        <f t="shared" si="39"/>
        <v/>
      </c>
      <c r="CW41" s="1114" t="str">
        <f t="shared" si="40"/>
        <v/>
      </c>
      <c r="CX41" s="1114" t="str">
        <f t="shared" si="41"/>
        <v/>
      </c>
      <c r="CY41" s="1114" t="str">
        <f t="shared" si="42"/>
        <v/>
      </c>
      <c r="CZ41" s="1114" t="str">
        <f t="shared" si="43"/>
        <v/>
      </c>
      <c r="DA41" s="1114" t="str">
        <f t="shared" si="44"/>
        <v/>
      </c>
      <c r="DB41" s="1114" t="str">
        <f t="shared" si="45"/>
        <v/>
      </c>
      <c r="DC41" s="1114" t="str">
        <f t="shared" si="46"/>
        <v/>
      </c>
      <c r="DD41" s="1114" t="str">
        <f t="shared" si="47"/>
        <v/>
      </c>
      <c r="DE41" s="1114" t="str">
        <f t="shared" si="48"/>
        <v/>
      </c>
      <c r="DF41" s="1114" t="str">
        <f t="shared" si="49"/>
        <v/>
      </c>
      <c r="DG41" s="1114" t="str">
        <f t="shared" si="50"/>
        <v/>
      </c>
      <c r="DH41" s="1114" t="str">
        <f t="shared" si="51"/>
        <v/>
      </c>
      <c r="DI41" s="1114" t="str">
        <f t="shared" si="52"/>
        <v/>
      </c>
      <c r="DJ41" s="1114" t="str">
        <f t="shared" si="53"/>
        <v/>
      </c>
      <c r="DK41" s="1116" t="str">
        <f t="shared" si="54"/>
        <v/>
      </c>
    </row>
    <row r="42" spans="1:115" ht="45.75">
      <c r="A42" s="2681"/>
      <c r="C42" s="1029">
        <f>+PP!B60</f>
        <v>37</v>
      </c>
      <c r="D42" s="1110" t="str">
        <f>+PP!C60</f>
        <v>TENTACULO C/B C/V SR 100-300 g/pza (SUCIO)</v>
      </c>
      <c r="E42" s="1005"/>
      <c r="F42" s="998"/>
      <c r="G42" s="998"/>
      <c r="H42" s="998"/>
      <c r="I42" s="998"/>
      <c r="J42" s="998"/>
      <c r="K42" s="998"/>
      <c r="L42" s="998"/>
      <c r="M42" s="998"/>
      <c r="N42" s="998"/>
      <c r="O42" s="998"/>
      <c r="P42" s="998"/>
      <c r="Q42" s="998"/>
      <c r="R42" s="998"/>
      <c r="S42" s="998"/>
      <c r="T42" s="998"/>
      <c r="U42" s="998"/>
      <c r="V42" s="998"/>
      <c r="W42" s="998"/>
      <c r="X42" s="998"/>
      <c r="Y42" s="998"/>
      <c r="Z42" s="998"/>
      <c r="AA42" s="998"/>
      <c r="AB42" s="998"/>
      <c r="AC42" s="998"/>
      <c r="AD42" s="998"/>
      <c r="AE42" s="998"/>
      <c r="AF42" s="998"/>
      <c r="AG42" s="998"/>
      <c r="AH42" s="998"/>
      <c r="AI42" s="998"/>
      <c r="AJ42" s="998"/>
      <c r="AK42" s="998"/>
      <c r="AL42" s="998"/>
      <c r="AM42" s="998"/>
      <c r="AN42" s="998"/>
      <c r="AO42" s="998"/>
      <c r="AP42" s="998"/>
      <c r="AQ42" s="998"/>
      <c r="AR42" s="998"/>
      <c r="AS42" s="998"/>
      <c r="AT42" s="998"/>
      <c r="AU42" s="998"/>
      <c r="AV42" s="998"/>
      <c r="AW42" s="998"/>
      <c r="AX42" s="998"/>
      <c r="AY42" s="998"/>
      <c r="AZ42" s="998"/>
      <c r="BA42" s="998"/>
      <c r="BB42" s="998"/>
      <c r="BC42" s="988">
        <f t="shared" si="0"/>
        <v>0</v>
      </c>
      <c r="BD42" s="989">
        <f t="shared" si="1"/>
        <v>0</v>
      </c>
      <c r="BE42" s="886">
        <f t="shared" si="2"/>
        <v>0</v>
      </c>
      <c r="BK42" s="1117" t="str">
        <f>IFERROR(INDEX($C$6:$C$53,_xlfn.AGGREGATE(15,6,(ROW($C$6:$C$53)-ROW($C$6)+1)/($BC$6:$BC$53&gt;0),ROWS($BK$6:BK42))),"")</f>
        <v/>
      </c>
      <c r="BL42" s="1118" t="str">
        <f t="shared" si="3"/>
        <v/>
      </c>
      <c r="BM42" s="1548" t="str">
        <f t="shared" si="4"/>
        <v/>
      </c>
      <c r="BN42" s="1548" t="str">
        <f t="shared" si="5"/>
        <v/>
      </c>
      <c r="BO42" s="1548" t="str">
        <f t="shared" si="6"/>
        <v/>
      </c>
      <c r="BP42" s="1548" t="str">
        <f t="shared" si="7"/>
        <v/>
      </c>
      <c r="BQ42" s="1548" t="str">
        <f t="shared" si="8"/>
        <v/>
      </c>
      <c r="BR42" s="1548" t="str">
        <f t="shared" si="9"/>
        <v/>
      </c>
      <c r="BS42" s="1548" t="str">
        <f t="shared" si="10"/>
        <v/>
      </c>
      <c r="BT42" s="1548" t="str">
        <f t="shared" si="11"/>
        <v/>
      </c>
      <c r="BU42" s="1548" t="str">
        <f t="shared" si="12"/>
        <v/>
      </c>
      <c r="BV42" s="1114" t="str">
        <f t="shared" si="13"/>
        <v/>
      </c>
      <c r="BW42" s="1114" t="str">
        <f t="shared" si="14"/>
        <v/>
      </c>
      <c r="BX42" s="1114" t="str">
        <f t="shared" si="15"/>
        <v/>
      </c>
      <c r="BY42" s="1114" t="str">
        <f t="shared" si="16"/>
        <v/>
      </c>
      <c r="BZ42" s="1114" t="str">
        <f t="shared" si="17"/>
        <v/>
      </c>
      <c r="CA42" s="1548" t="str">
        <f t="shared" si="18"/>
        <v/>
      </c>
      <c r="CB42" s="1548" t="str">
        <f t="shared" si="19"/>
        <v/>
      </c>
      <c r="CC42" s="1114" t="str">
        <f t="shared" si="20"/>
        <v/>
      </c>
      <c r="CD42" s="1548" t="str">
        <f t="shared" si="21"/>
        <v/>
      </c>
      <c r="CE42" s="1114" t="str">
        <f t="shared" si="22"/>
        <v/>
      </c>
      <c r="CF42" s="1114" t="str">
        <f t="shared" si="23"/>
        <v/>
      </c>
      <c r="CG42" s="1114" t="str">
        <f t="shared" si="24"/>
        <v/>
      </c>
      <c r="CH42" s="1114" t="str">
        <f t="shared" si="25"/>
        <v/>
      </c>
      <c r="CI42" s="1114" t="str">
        <f t="shared" si="26"/>
        <v/>
      </c>
      <c r="CJ42" s="1114" t="str">
        <f t="shared" si="27"/>
        <v/>
      </c>
      <c r="CK42" s="1114" t="str">
        <f t="shared" si="28"/>
        <v/>
      </c>
      <c r="CL42" s="1114" t="str">
        <f t="shared" si="29"/>
        <v/>
      </c>
      <c r="CM42" s="1114" t="str">
        <f t="shared" si="30"/>
        <v/>
      </c>
      <c r="CN42" s="1114" t="str">
        <f t="shared" si="31"/>
        <v/>
      </c>
      <c r="CO42" s="1114" t="str">
        <f t="shared" si="32"/>
        <v/>
      </c>
      <c r="CP42" s="1114" t="str">
        <f t="shared" si="33"/>
        <v/>
      </c>
      <c r="CQ42" s="1114" t="str">
        <f t="shared" si="34"/>
        <v/>
      </c>
      <c r="CR42" s="1114" t="str">
        <f t="shared" si="35"/>
        <v/>
      </c>
      <c r="CS42" s="1114" t="str">
        <f t="shared" si="36"/>
        <v/>
      </c>
      <c r="CT42" s="1114" t="str">
        <f t="shared" si="37"/>
        <v/>
      </c>
      <c r="CU42" s="1114" t="str">
        <f t="shared" si="38"/>
        <v/>
      </c>
      <c r="CV42" s="1114" t="str">
        <f t="shared" si="39"/>
        <v/>
      </c>
      <c r="CW42" s="1114" t="str">
        <f t="shared" si="40"/>
        <v/>
      </c>
      <c r="CX42" s="1114" t="str">
        <f t="shared" si="41"/>
        <v/>
      </c>
      <c r="CY42" s="1114" t="str">
        <f t="shared" si="42"/>
        <v/>
      </c>
      <c r="CZ42" s="1114" t="str">
        <f t="shared" si="43"/>
        <v/>
      </c>
      <c r="DA42" s="1114" t="str">
        <f t="shared" si="44"/>
        <v/>
      </c>
      <c r="DB42" s="1114" t="str">
        <f t="shared" si="45"/>
        <v/>
      </c>
      <c r="DC42" s="1114" t="str">
        <f t="shared" si="46"/>
        <v/>
      </c>
      <c r="DD42" s="1114" t="str">
        <f t="shared" si="47"/>
        <v/>
      </c>
      <c r="DE42" s="1114" t="str">
        <f t="shared" si="48"/>
        <v/>
      </c>
      <c r="DF42" s="1114" t="str">
        <f t="shared" si="49"/>
        <v/>
      </c>
      <c r="DG42" s="1114" t="str">
        <f t="shared" si="50"/>
        <v/>
      </c>
      <c r="DH42" s="1114" t="str">
        <f t="shared" si="51"/>
        <v/>
      </c>
      <c r="DI42" s="1114" t="str">
        <f t="shared" si="52"/>
        <v/>
      </c>
      <c r="DJ42" s="1114" t="str">
        <f t="shared" si="53"/>
        <v/>
      </c>
      <c r="DK42" s="1116" t="str">
        <f t="shared" si="54"/>
        <v/>
      </c>
    </row>
    <row r="43" spans="1:115" ht="45.75">
      <c r="A43" s="2681"/>
      <c r="C43" s="1029">
        <f>+PP!B61</f>
        <v>38</v>
      </c>
      <c r="D43" s="1111" t="str">
        <f>+PP!C61</f>
        <v>TENTACULO C/B C/V SR 300-500 g/pza (SUCIO)</v>
      </c>
      <c r="E43" s="978"/>
      <c r="F43" s="632"/>
      <c r="G43" s="632"/>
      <c r="H43" s="632"/>
      <c r="I43" s="632"/>
      <c r="J43" s="632"/>
      <c r="K43" s="632"/>
      <c r="L43" s="632"/>
      <c r="M43" s="632"/>
      <c r="N43" s="632"/>
      <c r="O43" s="632"/>
      <c r="P43" s="632"/>
      <c r="Q43" s="632"/>
      <c r="R43" s="632"/>
      <c r="S43" s="632"/>
      <c r="T43" s="632"/>
      <c r="U43" s="632"/>
      <c r="V43" s="632"/>
      <c r="W43" s="632"/>
      <c r="X43" s="632"/>
      <c r="Y43" s="632"/>
      <c r="Z43" s="632"/>
      <c r="AA43" s="632"/>
      <c r="AB43" s="632"/>
      <c r="AC43" s="632"/>
      <c r="AD43" s="632"/>
      <c r="AE43" s="632"/>
      <c r="AF43" s="632"/>
      <c r="AG43" s="632"/>
      <c r="AH43" s="632"/>
      <c r="AI43" s="632"/>
      <c r="AJ43" s="632"/>
      <c r="AK43" s="632"/>
      <c r="AL43" s="632"/>
      <c r="AM43" s="632"/>
      <c r="AN43" s="632"/>
      <c r="AO43" s="632"/>
      <c r="AP43" s="632"/>
      <c r="AQ43" s="632"/>
      <c r="AR43" s="632"/>
      <c r="AS43" s="632"/>
      <c r="AT43" s="632"/>
      <c r="AU43" s="632"/>
      <c r="AV43" s="632"/>
      <c r="AW43" s="632"/>
      <c r="AX43" s="632"/>
      <c r="AY43" s="632"/>
      <c r="AZ43" s="632"/>
      <c r="BA43" s="632"/>
      <c r="BB43" s="632"/>
      <c r="BC43" s="984">
        <f t="shared" si="0"/>
        <v>0</v>
      </c>
      <c r="BD43" s="985">
        <f t="shared" si="1"/>
        <v>0</v>
      </c>
      <c r="BE43" s="990">
        <f t="shared" si="2"/>
        <v>0</v>
      </c>
      <c r="BK43" s="1117" t="str">
        <f>IFERROR(INDEX($C$6:$C$53,_xlfn.AGGREGATE(15,6,(ROW($C$6:$C$53)-ROW($C$6)+1)/($BC$6:$BC$53&gt;0),ROWS($BK$6:BK43))),"")</f>
        <v/>
      </c>
      <c r="BL43" s="1118" t="str">
        <f t="shared" si="3"/>
        <v/>
      </c>
      <c r="BM43" s="1548" t="str">
        <f t="shared" si="4"/>
        <v/>
      </c>
      <c r="BN43" s="1548" t="str">
        <f t="shared" si="5"/>
        <v/>
      </c>
      <c r="BO43" s="1548" t="str">
        <f t="shared" si="6"/>
        <v/>
      </c>
      <c r="BP43" s="1548" t="str">
        <f t="shared" si="7"/>
        <v/>
      </c>
      <c r="BQ43" s="1548" t="str">
        <f t="shared" si="8"/>
        <v/>
      </c>
      <c r="BR43" s="1548" t="str">
        <f t="shared" si="9"/>
        <v/>
      </c>
      <c r="BS43" s="1548" t="str">
        <f t="shared" si="10"/>
        <v/>
      </c>
      <c r="BT43" s="1548" t="str">
        <f t="shared" si="11"/>
        <v/>
      </c>
      <c r="BU43" s="1548" t="str">
        <f t="shared" si="12"/>
        <v/>
      </c>
      <c r="BV43" s="1114" t="str">
        <f t="shared" si="13"/>
        <v/>
      </c>
      <c r="BW43" s="1114" t="str">
        <f t="shared" si="14"/>
        <v/>
      </c>
      <c r="BX43" s="1114" t="str">
        <f t="shared" si="15"/>
        <v/>
      </c>
      <c r="BY43" s="1114" t="str">
        <f t="shared" si="16"/>
        <v/>
      </c>
      <c r="BZ43" s="1114" t="str">
        <f t="shared" si="17"/>
        <v/>
      </c>
      <c r="CA43" s="1548" t="str">
        <f t="shared" si="18"/>
        <v/>
      </c>
      <c r="CB43" s="1548" t="str">
        <f t="shared" si="19"/>
        <v/>
      </c>
      <c r="CC43" s="1114" t="str">
        <f t="shared" si="20"/>
        <v/>
      </c>
      <c r="CD43" s="1548" t="str">
        <f t="shared" si="21"/>
        <v/>
      </c>
      <c r="CE43" s="1114" t="str">
        <f t="shared" si="22"/>
        <v/>
      </c>
      <c r="CF43" s="1114" t="str">
        <f t="shared" si="23"/>
        <v/>
      </c>
      <c r="CG43" s="1114" t="str">
        <f t="shared" si="24"/>
        <v/>
      </c>
      <c r="CH43" s="1114" t="str">
        <f t="shared" si="25"/>
        <v/>
      </c>
      <c r="CI43" s="1114" t="str">
        <f t="shared" si="26"/>
        <v/>
      </c>
      <c r="CJ43" s="1114" t="str">
        <f t="shared" si="27"/>
        <v/>
      </c>
      <c r="CK43" s="1114" t="str">
        <f t="shared" si="28"/>
        <v/>
      </c>
      <c r="CL43" s="1114" t="str">
        <f t="shared" si="29"/>
        <v/>
      </c>
      <c r="CM43" s="1114" t="str">
        <f t="shared" si="30"/>
        <v/>
      </c>
      <c r="CN43" s="1114" t="str">
        <f t="shared" si="31"/>
        <v/>
      </c>
      <c r="CO43" s="1114" t="str">
        <f t="shared" si="32"/>
        <v/>
      </c>
      <c r="CP43" s="1114" t="str">
        <f t="shared" si="33"/>
        <v/>
      </c>
      <c r="CQ43" s="1114" t="str">
        <f t="shared" si="34"/>
        <v/>
      </c>
      <c r="CR43" s="1114" t="str">
        <f t="shared" si="35"/>
        <v/>
      </c>
      <c r="CS43" s="1114" t="str">
        <f t="shared" si="36"/>
        <v/>
      </c>
      <c r="CT43" s="1114" t="str">
        <f t="shared" si="37"/>
        <v/>
      </c>
      <c r="CU43" s="1114" t="str">
        <f t="shared" si="38"/>
        <v/>
      </c>
      <c r="CV43" s="1114" t="str">
        <f t="shared" si="39"/>
        <v/>
      </c>
      <c r="CW43" s="1114" t="str">
        <f t="shared" si="40"/>
        <v/>
      </c>
      <c r="CX43" s="1114" t="str">
        <f t="shared" si="41"/>
        <v/>
      </c>
      <c r="CY43" s="1114" t="str">
        <f t="shared" si="42"/>
        <v/>
      </c>
      <c r="CZ43" s="1114" t="str">
        <f t="shared" si="43"/>
        <v/>
      </c>
      <c r="DA43" s="1114" t="str">
        <f t="shared" si="44"/>
        <v/>
      </c>
      <c r="DB43" s="1114" t="str">
        <f t="shared" si="45"/>
        <v/>
      </c>
      <c r="DC43" s="1114" t="str">
        <f t="shared" si="46"/>
        <v/>
      </c>
      <c r="DD43" s="1114" t="str">
        <f t="shared" si="47"/>
        <v/>
      </c>
      <c r="DE43" s="1114" t="str">
        <f t="shared" si="48"/>
        <v/>
      </c>
      <c r="DF43" s="1114" t="str">
        <f t="shared" si="49"/>
        <v/>
      </c>
      <c r="DG43" s="1114" t="str">
        <f t="shared" si="50"/>
        <v/>
      </c>
      <c r="DH43" s="1114" t="str">
        <f t="shared" si="51"/>
        <v/>
      </c>
      <c r="DI43" s="1114" t="str">
        <f t="shared" si="52"/>
        <v/>
      </c>
      <c r="DJ43" s="1114" t="str">
        <f t="shared" si="53"/>
        <v/>
      </c>
      <c r="DK43" s="1116" t="str">
        <f t="shared" si="54"/>
        <v/>
      </c>
    </row>
    <row r="44" spans="1:115" ht="45.75">
      <c r="A44" s="2681"/>
      <c r="C44" s="1029">
        <f>+PP!B62</f>
        <v>39</v>
      </c>
      <c r="D44" s="1111" t="str">
        <f>+PP!C62</f>
        <v>TENTACULO C/B S/V SR 100-300 g/pza</v>
      </c>
      <c r="E44" s="978"/>
      <c r="F44" s="632"/>
      <c r="G44" s="632"/>
      <c r="H44" s="632"/>
      <c r="I44" s="632"/>
      <c r="J44" s="632"/>
      <c r="K44" s="632"/>
      <c r="L44" s="632"/>
      <c r="M44" s="632"/>
      <c r="N44" s="632"/>
      <c r="O44" s="632"/>
      <c r="P44" s="632"/>
      <c r="Q44" s="632"/>
      <c r="R44" s="632"/>
      <c r="S44" s="632"/>
      <c r="T44" s="632"/>
      <c r="U44" s="632"/>
      <c r="V44" s="632"/>
      <c r="W44" s="632"/>
      <c r="X44" s="632"/>
      <c r="Y44" s="632"/>
      <c r="Z44" s="632"/>
      <c r="AA44" s="632"/>
      <c r="AB44" s="632"/>
      <c r="AC44" s="632"/>
      <c r="AD44" s="632"/>
      <c r="AE44" s="632"/>
      <c r="AF44" s="632"/>
      <c r="AG44" s="632"/>
      <c r="AH44" s="632"/>
      <c r="AI44" s="632"/>
      <c r="AJ44" s="632"/>
      <c r="AK44" s="632"/>
      <c r="AL44" s="632"/>
      <c r="AM44" s="632"/>
      <c r="AN44" s="632"/>
      <c r="AO44" s="632"/>
      <c r="AP44" s="632"/>
      <c r="AQ44" s="632"/>
      <c r="AR44" s="632"/>
      <c r="AS44" s="632"/>
      <c r="AT44" s="632"/>
      <c r="AU44" s="632"/>
      <c r="AV44" s="632"/>
      <c r="AW44" s="632"/>
      <c r="AX44" s="632"/>
      <c r="AY44" s="632"/>
      <c r="AZ44" s="632"/>
      <c r="BA44" s="632"/>
      <c r="BB44" s="632"/>
      <c r="BC44" s="984">
        <f t="shared" si="0"/>
        <v>0</v>
      </c>
      <c r="BD44" s="985">
        <f t="shared" si="1"/>
        <v>0</v>
      </c>
      <c r="BE44" s="990">
        <f t="shared" si="2"/>
        <v>0</v>
      </c>
      <c r="BK44" s="1117" t="str">
        <f>IFERROR(INDEX($C$6:$C$53,_xlfn.AGGREGATE(15,6,(ROW($C$6:$C$53)-ROW($C$6)+1)/($BC$6:$BC$53&gt;0),ROWS($BK$6:BK44))),"")</f>
        <v/>
      </c>
      <c r="BL44" s="1118" t="str">
        <f t="shared" si="3"/>
        <v/>
      </c>
      <c r="BM44" s="1548" t="str">
        <f t="shared" si="4"/>
        <v/>
      </c>
      <c r="BN44" s="1548" t="str">
        <f t="shared" si="5"/>
        <v/>
      </c>
      <c r="BO44" s="1548" t="str">
        <f t="shared" si="6"/>
        <v/>
      </c>
      <c r="BP44" s="1548" t="str">
        <f t="shared" si="7"/>
        <v/>
      </c>
      <c r="BQ44" s="1548" t="str">
        <f t="shared" si="8"/>
        <v/>
      </c>
      <c r="BR44" s="1548" t="str">
        <f t="shared" si="9"/>
        <v/>
      </c>
      <c r="BS44" s="1548" t="str">
        <f t="shared" si="10"/>
        <v/>
      </c>
      <c r="BT44" s="1548" t="str">
        <f t="shared" si="11"/>
        <v/>
      </c>
      <c r="BU44" s="1548" t="str">
        <f t="shared" si="12"/>
        <v/>
      </c>
      <c r="BV44" s="1114" t="str">
        <f t="shared" si="13"/>
        <v/>
      </c>
      <c r="BW44" s="1114" t="str">
        <f t="shared" si="14"/>
        <v/>
      </c>
      <c r="BX44" s="1114" t="str">
        <f t="shared" si="15"/>
        <v/>
      </c>
      <c r="BY44" s="1114" t="str">
        <f t="shared" si="16"/>
        <v/>
      </c>
      <c r="BZ44" s="1114" t="str">
        <f t="shared" si="17"/>
        <v/>
      </c>
      <c r="CA44" s="1548" t="str">
        <f t="shared" si="18"/>
        <v/>
      </c>
      <c r="CB44" s="1548" t="str">
        <f t="shared" si="19"/>
        <v/>
      </c>
      <c r="CC44" s="1114" t="str">
        <f t="shared" si="20"/>
        <v/>
      </c>
      <c r="CD44" s="1548" t="str">
        <f t="shared" si="21"/>
        <v/>
      </c>
      <c r="CE44" s="1114" t="str">
        <f t="shared" si="22"/>
        <v/>
      </c>
      <c r="CF44" s="1114" t="str">
        <f t="shared" si="23"/>
        <v/>
      </c>
      <c r="CG44" s="1114" t="str">
        <f t="shared" si="24"/>
        <v/>
      </c>
      <c r="CH44" s="1114" t="str">
        <f t="shared" si="25"/>
        <v/>
      </c>
      <c r="CI44" s="1114" t="str">
        <f t="shared" si="26"/>
        <v/>
      </c>
      <c r="CJ44" s="1114" t="str">
        <f t="shared" si="27"/>
        <v/>
      </c>
      <c r="CK44" s="1114" t="str">
        <f t="shared" si="28"/>
        <v/>
      </c>
      <c r="CL44" s="1114" t="str">
        <f t="shared" si="29"/>
        <v/>
      </c>
      <c r="CM44" s="1114" t="str">
        <f t="shared" si="30"/>
        <v/>
      </c>
      <c r="CN44" s="1114" t="str">
        <f t="shared" si="31"/>
        <v/>
      </c>
      <c r="CO44" s="1114" t="str">
        <f t="shared" si="32"/>
        <v/>
      </c>
      <c r="CP44" s="1114" t="str">
        <f t="shared" si="33"/>
        <v/>
      </c>
      <c r="CQ44" s="1114" t="str">
        <f t="shared" si="34"/>
        <v/>
      </c>
      <c r="CR44" s="1114" t="str">
        <f t="shared" si="35"/>
        <v/>
      </c>
      <c r="CS44" s="1114" t="str">
        <f t="shared" si="36"/>
        <v/>
      </c>
      <c r="CT44" s="1114" t="str">
        <f t="shared" si="37"/>
        <v/>
      </c>
      <c r="CU44" s="1114" t="str">
        <f t="shared" si="38"/>
        <v/>
      </c>
      <c r="CV44" s="1114" t="str">
        <f t="shared" si="39"/>
        <v/>
      </c>
      <c r="CW44" s="1114" t="str">
        <f t="shared" si="40"/>
        <v/>
      </c>
      <c r="CX44" s="1114" t="str">
        <f t="shared" si="41"/>
        <v/>
      </c>
      <c r="CY44" s="1114" t="str">
        <f t="shared" si="42"/>
        <v/>
      </c>
      <c r="CZ44" s="1114" t="str">
        <f t="shared" si="43"/>
        <v/>
      </c>
      <c r="DA44" s="1114" t="str">
        <f t="shared" si="44"/>
        <v/>
      </c>
      <c r="DB44" s="1114" t="str">
        <f t="shared" si="45"/>
        <v/>
      </c>
      <c r="DC44" s="1114" t="str">
        <f t="shared" si="46"/>
        <v/>
      </c>
      <c r="DD44" s="1114" t="str">
        <f t="shared" si="47"/>
        <v/>
      </c>
      <c r="DE44" s="1114" t="str">
        <f t="shared" si="48"/>
        <v/>
      </c>
      <c r="DF44" s="1114" t="str">
        <f t="shared" si="49"/>
        <v/>
      </c>
      <c r="DG44" s="1114" t="str">
        <f t="shared" si="50"/>
        <v/>
      </c>
      <c r="DH44" s="1114" t="str">
        <f t="shared" si="51"/>
        <v/>
      </c>
      <c r="DI44" s="1114" t="str">
        <f t="shared" si="52"/>
        <v/>
      </c>
      <c r="DJ44" s="1114" t="str">
        <f t="shared" si="53"/>
        <v/>
      </c>
      <c r="DK44" s="1116" t="str">
        <f t="shared" si="54"/>
        <v/>
      </c>
    </row>
    <row r="45" spans="1:115" ht="45.75">
      <c r="A45" s="2681"/>
      <c r="C45" s="1029">
        <f>+PP!B63</f>
        <v>40</v>
      </c>
      <c r="D45" s="1111" t="str">
        <f>+PP!C63</f>
        <v>TENTACULO C/B C/V SR 100-500 g/pza (SUCIO)</v>
      </c>
      <c r="E45" s="978"/>
      <c r="F45" s="632"/>
      <c r="G45" s="632"/>
      <c r="H45" s="632"/>
      <c r="I45" s="632"/>
      <c r="J45" s="632"/>
      <c r="K45" s="632"/>
      <c r="L45" s="632"/>
      <c r="M45" s="632"/>
      <c r="N45" s="632"/>
      <c r="O45" s="632"/>
      <c r="P45" s="632"/>
      <c r="Q45" s="632"/>
      <c r="R45" s="632"/>
      <c r="S45" s="632"/>
      <c r="T45" s="632"/>
      <c r="U45" s="632"/>
      <c r="V45" s="632"/>
      <c r="W45" s="632"/>
      <c r="X45" s="632"/>
      <c r="Y45" s="632"/>
      <c r="Z45" s="632"/>
      <c r="AA45" s="632"/>
      <c r="AB45" s="632"/>
      <c r="AC45" s="632"/>
      <c r="AD45" s="632"/>
      <c r="AE45" s="632"/>
      <c r="AF45" s="632"/>
      <c r="AG45" s="632"/>
      <c r="AH45" s="632"/>
      <c r="AI45" s="632"/>
      <c r="AJ45" s="632"/>
      <c r="AK45" s="632"/>
      <c r="AL45" s="632"/>
      <c r="AM45" s="632"/>
      <c r="AN45" s="632"/>
      <c r="AO45" s="632"/>
      <c r="AP45" s="632"/>
      <c r="AQ45" s="632"/>
      <c r="AR45" s="632"/>
      <c r="AS45" s="632"/>
      <c r="AT45" s="632"/>
      <c r="AU45" s="632"/>
      <c r="AV45" s="632"/>
      <c r="AW45" s="632"/>
      <c r="AX45" s="632"/>
      <c r="AY45" s="632"/>
      <c r="AZ45" s="632"/>
      <c r="BA45" s="632"/>
      <c r="BB45" s="632"/>
      <c r="BC45" s="984">
        <f t="shared" si="0"/>
        <v>0</v>
      </c>
      <c r="BD45" s="985">
        <f t="shared" si="1"/>
        <v>0</v>
      </c>
      <c r="BE45" s="990">
        <f t="shared" si="2"/>
        <v>0</v>
      </c>
      <c r="BK45" s="1117" t="str">
        <f>IFERROR(INDEX($C$6:$C$53,_xlfn.AGGREGATE(15,6,(ROW($C$6:$C$53)-ROW($C$6)+1)/($BC$6:$BC$53&gt;0),ROWS($BK$6:BK45))),"")</f>
        <v/>
      </c>
      <c r="BL45" s="1118" t="str">
        <f t="shared" si="3"/>
        <v/>
      </c>
      <c r="BM45" s="1548" t="str">
        <f t="shared" si="4"/>
        <v/>
      </c>
      <c r="BN45" s="1548" t="str">
        <f t="shared" si="5"/>
        <v/>
      </c>
      <c r="BO45" s="1548" t="str">
        <f t="shared" si="6"/>
        <v/>
      </c>
      <c r="BP45" s="1548" t="str">
        <f t="shared" si="7"/>
        <v/>
      </c>
      <c r="BQ45" s="1548" t="str">
        <f t="shared" si="8"/>
        <v/>
      </c>
      <c r="BR45" s="1548" t="str">
        <f t="shared" si="9"/>
        <v/>
      </c>
      <c r="BS45" s="1548" t="str">
        <f t="shared" si="10"/>
        <v/>
      </c>
      <c r="BT45" s="1548" t="str">
        <f t="shared" si="11"/>
        <v/>
      </c>
      <c r="BU45" s="1548" t="str">
        <f t="shared" si="12"/>
        <v/>
      </c>
      <c r="BV45" s="1114" t="str">
        <f t="shared" si="13"/>
        <v/>
      </c>
      <c r="BW45" s="1114" t="str">
        <f t="shared" si="14"/>
        <v/>
      </c>
      <c r="BX45" s="1114" t="str">
        <f t="shared" si="15"/>
        <v/>
      </c>
      <c r="BY45" s="1114" t="str">
        <f t="shared" si="16"/>
        <v/>
      </c>
      <c r="BZ45" s="1114" t="str">
        <f t="shared" si="17"/>
        <v/>
      </c>
      <c r="CA45" s="1548" t="str">
        <f t="shared" si="18"/>
        <v/>
      </c>
      <c r="CB45" s="1548" t="str">
        <f t="shared" si="19"/>
        <v/>
      </c>
      <c r="CC45" s="1114" t="str">
        <f t="shared" si="20"/>
        <v/>
      </c>
      <c r="CD45" s="1548" t="str">
        <f t="shared" si="21"/>
        <v/>
      </c>
      <c r="CE45" s="1114" t="str">
        <f t="shared" si="22"/>
        <v/>
      </c>
      <c r="CF45" s="1114" t="str">
        <f t="shared" si="23"/>
        <v/>
      </c>
      <c r="CG45" s="1114" t="str">
        <f t="shared" si="24"/>
        <v/>
      </c>
      <c r="CH45" s="1114" t="str">
        <f t="shared" si="25"/>
        <v/>
      </c>
      <c r="CI45" s="1114" t="str">
        <f t="shared" si="26"/>
        <v/>
      </c>
      <c r="CJ45" s="1114" t="str">
        <f t="shared" si="27"/>
        <v/>
      </c>
      <c r="CK45" s="1114" t="str">
        <f t="shared" si="28"/>
        <v/>
      </c>
      <c r="CL45" s="1114" t="str">
        <f t="shared" si="29"/>
        <v/>
      </c>
      <c r="CM45" s="1114" t="str">
        <f t="shared" si="30"/>
        <v/>
      </c>
      <c r="CN45" s="1114" t="str">
        <f t="shared" si="31"/>
        <v/>
      </c>
      <c r="CO45" s="1114" t="str">
        <f t="shared" si="32"/>
        <v/>
      </c>
      <c r="CP45" s="1114" t="str">
        <f t="shared" si="33"/>
        <v/>
      </c>
      <c r="CQ45" s="1114" t="str">
        <f t="shared" si="34"/>
        <v/>
      </c>
      <c r="CR45" s="1114" t="str">
        <f t="shared" si="35"/>
        <v/>
      </c>
      <c r="CS45" s="1114" t="str">
        <f t="shared" si="36"/>
        <v/>
      </c>
      <c r="CT45" s="1114" t="str">
        <f t="shared" si="37"/>
        <v/>
      </c>
      <c r="CU45" s="1114" t="str">
        <f t="shared" si="38"/>
        <v/>
      </c>
      <c r="CV45" s="1114" t="str">
        <f t="shared" si="39"/>
        <v/>
      </c>
      <c r="CW45" s="1114" t="str">
        <f t="shared" si="40"/>
        <v/>
      </c>
      <c r="CX45" s="1114" t="str">
        <f t="shared" si="41"/>
        <v/>
      </c>
      <c r="CY45" s="1114" t="str">
        <f t="shared" si="42"/>
        <v/>
      </c>
      <c r="CZ45" s="1114" t="str">
        <f t="shared" si="43"/>
        <v/>
      </c>
      <c r="DA45" s="1114" t="str">
        <f t="shared" si="44"/>
        <v/>
      </c>
      <c r="DB45" s="1114" t="str">
        <f t="shared" si="45"/>
        <v/>
      </c>
      <c r="DC45" s="1114" t="str">
        <f t="shared" si="46"/>
        <v/>
      </c>
      <c r="DD45" s="1114" t="str">
        <f t="shared" si="47"/>
        <v/>
      </c>
      <c r="DE45" s="1114" t="str">
        <f t="shared" si="48"/>
        <v/>
      </c>
      <c r="DF45" s="1114" t="str">
        <f t="shared" si="49"/>
        <v/>
      </c>
      <c r="DG45" s="1114" t="str">
        <f t="shared" si="50"/>
        <v/>
      </c>
      <c r="DH45" s="1114" t="str">
        <f t="shared" si="51"/>
        <v/>
      </c>
      <c r="DI45" s="1114" t="str">
        <f t="shared" si="52"/>
        <v/>
      </c>
      <c r="DJ45" s="1114" t="str">
        <f t="shared" si="53"/>
        <v/>
      </c>
      <c r="DK45" s="1116" t="str">
        <f t="shared" si="54"/>
        <v/>
      </c>
    </row>
    <row r="46" spans="1:115" ht="45.75">
      <c r="A46" s="2681"/>
      <c r="C46" s="1029">
        <f>+PP!B64</f>
        <v>41</v>
      </c>
      <c r="D46" s="1111" t="str">
        <f>+PP!C64</f>
        <v>TENTACULO C/B S/V SR 100-500 g/pza</v>
      </c>
      <c r="E46" s="978"/>
      <c r="F46" s="632"/>
      <c r="G46" s="632"/>
      <c r="H46" s="632"/>
      <c r="I46" s="632"/>
      <c r="J46" s="632"/>
      <c r="K46" s="632"/>
      <c r="L46" s="632"/>
      <c r="M46" s="632"/>
      <c r="N46" s="632"/>
      <c r="O46" s="632"/>
      <c r="P46" s="632"/>
      <c r="Q46" s="632"/>
      <c r="R46" s="632"/>
      <c r="S46" s="632"/>
      <c r="T46" s="632"/>
      <c r="U46" s="632"/>
      <c r="V46" s="632"/>
      <c r="W46" s="632"/>
      <c r="X46" s="632"/>
      <c r="Y46" s="632"/>
      <c r="Z46" s="632"/>
      <c r="AA46" s="632"/>
      <c r="AB46" s="632"/>
      <c r="AC46" s="632"/>
      <c r="AD46" s="632"/>
      <c r="AE46" s="632"/>
      <c r="AF46" s="632"/>
      <c r="AG46" s="632"/>
      <c r="AH46" s="632"/>
      <c r="AI46" s="632"/>
      <c r="AJ46" s="632"/>
      <c r="AK46" s="632"/>
      <c r="AL46" s="632"/>
      <c r="AM46" s="632"/>
      <c r="AN46" s="632"/>
      <c r="AO46" s="632"/>
      <c r="AP46" s="632"/>
      <c r="AQ46" s="632"/>
      <c r="AR46" s="632"/>
      <c r="AS46" s="632"/>
      <c r="AT46" s="632"/>
      <c r="AU46" s="632"/>
      <c r="AV46" s="632"/>
      <c r="AW46" s="632"/>
      <c r="AX46" s="632"/>
      <c r="AY46" s="632"/>
      <c r="AZ46" s="632"/>
      <c r="BA46" s="632"/>
      <c r="BB46" s="632"/>
      <c r="BC46" s="984">
        <f t="shared" si="0"/>
        <v>0</v>
      </c>
      <c r="BD46" s="985">
        <f t="shared" si="1"/>
        <v>0</v>
      </c>
      <c r="BE46" s="990">
        <f t="shared" si="2"/>
        <v>0</v>
      </c>
      <c r="BK46" s="1117" t="str">
        <f>IFERROR(INDEX($C$6:$C$53,_xlfn.AGGREGATE(15,6,(ROW($C$6:$C$53)-ROW($C$6)+1)/($BC$6:$BC$53&gt;0),ROWS($BK$6:BK46))),"")</f>
        <v/>
      </c>
      <c r="BL46" s="1118" t="str">
        <f t="shared" si="3"/>
        <v/>
      </c>
      <c r="BM46" s="1548" t="str">
        <f t="shared" si="4"/>
        <v/>
      </c>
      <c r="BN46" s="1548" t="str">
        <f t="shared" si="5"/>
        <v/>
      </c>
      <c r="BO46" s="1548" t="str">
        <f t="shared" si="6"/>
        <v/>
      </c>
      <c r="BP46" s="1548" t="str">
        <f t="shared" si="7"/>
        <v/>
      </c>
      <c r="BQ46" s="1548" t="str">
        <f t="shared" si="8"/>
        <v/>
      </c>
      <c r="BR46" s="1548" t="str">
        <f t="shared" si="9"/>
        <v/>
      </c>
      <c r="BS46" s="1548" t="str">
        <f t="shared" si="10"/>
        <v/>
      </c>
      <c r="BT46" s="1548" t="str">
        <f t="shared" si="11"/>
        <v/>
      </c>
      <c r="BU46" s="1548" t="str">
        <f t="shared" si="12"/>
        <v/>
      </c>
      <c r="BV46" s="1114" t="str">
        <f t="shared" si="13"/>
        <v/>
      </c>
      <c r="BW46" s="1114" t="str">
        <f t="shared" si="14"/>
        <v/>
      </c>
      <c r="BX46" s="1114" t="str">
        <f t="shared" si="15"/>
        <v/>
      </c>
      <c r="BY46" s="1114" t="str">
        <f t="shared" si="16"/>
        <v/>
      </c>
      <c r="BZ46" s="1114" t="str">
        <f t="shared" si="17"/>
        <v/>
      </c>
      <c r="CA46" s="1548" t="str">
        <f t="shared" si="18"/>
        <v/>
      </c>
      <c r="CB46" s="1548" t="str">
        <f t="shared" si="19"/>
        <v/>
      </c>
      <c r="CC46" s="1114" t="str">
        <f t="shared" si="20"/>
        <v/>
      </c>
      <c r="CD46" s="1548" t="str">
        <f t="shared" si="21"/>
        <v/>
      </c>
      <c r="CE46" s="1114" t="str">
        <f t="shared" si="22"/>
        <v/>
      </c>
      <c r="CF46" s="1114" t="str">
        <f t="shared" si="23"/>
        <v/>
      </c>
      <c r="CG46" s="1114" t="str">
        <f t="shared" si="24"/>
        <v/>
      </c>
      <c r="CH46" s="1114" t="str">
        <f t="shared" si="25"/>
        <v/>
      </c>
      <c r="CI46" s="1114" t="str">
        <f t="shared" si="26"/>
        <v/>
      </c>
      <c r="CJ46" s="1114" t="str">
        <f t="shared" si="27"/>
        <v/>
      </c>
      <c r="CK46" s="1114" t="str">
        <f t="shared" si="28"/>
        <v/>
      </c>
      <c r="CL46" s="1114" t="str">
        <f t="shared" si="29"/>
        <v/>
      </c>
      <c r="CM46" s="1114" t="str">
        <f t="shared" si="30"/>
        <v/>
      </c>
      <c r="CN46" s="1114" t="str">
        <f t="shared" si="31"/>
        <v/>
      </c>
      <c r="CO46" s="1114" t="str">
        <f t="shared" si="32"/>
        <v/>
      </c>
      <c r="CP46" s="1114" t="str">
        <f t="shared" si="33"/>
        <v/>
      </c>
      <c r="CQ46" s="1114" t="str">
        <f t="shared" si="34"/>
        <v/>
      </c>
      <c r="CR46" s="1114" t="str">
        <f t="shared" si="35"/>
        <v/>
      </c>
      <c r="CS46" s="1114" t="str">
        <f t="shared" si="36"/>
        <v/>
      </c>
      <c r="CT46" s="1114" t="str">
        <f t="shared" si="37"/>
        <v/>
      </c>
      <c r="CU46" s="1114" t="str">
        <f t="shared" si="38"/>
        <v/>
      </c>
      <c r="CV46" s="1114" t="str">
        <f t="shared" si="39"/>
        <v/>
      </c>
      <c r="CW46" s="1114" t="str">
        <f t="shared" si="40"/>
        <v/>
      </c>
      <c r="CX46" s="1114" t="str">
        <f t="shared" si="41"/>
        <v/>
      </c>
      <c r="CY46" s="1114" t="str">
        <f t="shared" si="42"/>
        <v/>
      </c>
      <c r="CZ46" s="1114" t="str">
        <f t="shared" si="43"/>
        <v/>
      </c>
      <c r="DA46" s="1114" t="str">
        <f t="shared" si="44"/>
        <v/>
      </c>
      <c r="DB46" s="1114" t="str">
        <f t="shared" si="45"/>
        <v/>
      </c>
      <c r="DC46" s="1114" t="str">
        <f t="shared" si="46"/>
        <v/>
      </c>
      <c r="DD46" s="1114" t="str">
        <f t="shared" si="47"/>
        <v/>
      </c>
      <c r="DE46" s="1114" t="str">
        <f t="shared" si="48"/>
        <v/>
      </c>
      <c r="DF46" s="1114" t="str">
        <f t="shared" si="49"/>
        <v/>
      </c>
      <c r="DG46" s="1114" t="str">
        <f t="shared" si="50"/>
        <v/>
      </c>
      <c r="DH46" s="1114" t="str">
        <f t="shared" si="51"/>
        <v/>
      </c>
      <c r="DI46" s="1114" t="str">
        <f t="shared" si="52"/>
        <v/>
      </c>
      <c r="DJ46" s="1114" t="str">
        <f t="shared" si="53"/>
        <v/>
      </c>
      <c r="DK46" s="1116" t="str">
        <f t="shared" si="54"/>
        <v/>
      </c>
    </row>
    <row r="47" spans="1:115" ht="45.75">
      <c r="A47" s="2681"/>
      <c r="C47" s="1029">
        <f>+PP!B65</f>
        <v>42</v>
      </c>
      <c r="D47" s="1111" t="str">
        <f>+PP!C65</f>
        <v>TENTACULO C/B S/V SR 300-500 g/pza</v>
      </c>
      <c r="E47" s="978"/>
      <c r="F47" s="632"/>
      <c r="G47" s="632"/>
      <c r="H47" s="632"/>
      <c r="I47" s="632"/>
      <c r="J47" s="632"/>
      <c r="K47" s="632"/>
      <c r="L47" s="632"/>
      <c r="M47" s="632"/>
      <c r="N47" s="632"/>
      <c r="O47" s="632"/>
      <c r="P47" s="632"/>
      <c r="Q47" s="632"/>
      <c r="R47" s="632"/>
      <c r="S47" s="632"/>
      <c r="T47" s="632"/>
      <c r="U47" s="632"/>
      <c r="V47" s="632"/>
      <c r="W47" s="632"/>
      <c r="X47" s="632"/>
      <c r="Y47" s="632"/>
      <c r="Z47" s="632"/>
      <c r="AA47" s="632"/>
      <c r="AB47" s="632"/>
      <c r="AC47" s="632"/>
      <c r="AD47" s="632"/>
      <c r="AE47" s="632"/>
      <c r="AF47" s="632"/>
      <c r="AG47" s="632"/>
      <c r="AH47" s="632"/>
      <c r="AI47" s="632"/>
      <c r="AJ47" s="632"/>
      <c r="AK47" s="632"/>
      <c r="AL47" s="632"/>
      <c r="AM47" s="632"/>
      <c r="AN47" s="632"/>
      <c r="AO47" s="632"/>
      <c r="AP47" s="632"/>
      <c r="AQ47" s="632"/>
      <c r="AR47" s="632"/>
      <c r="AS47" s="632"/>
      <c r="AT47" s="632"/>
      <c r="AU47" s="632"/>
      <c r="AV47" s="632"/>
      <c r="AW47" s="632"/>
      <c r="AX47" s="632"/>
      <c r="AY47" s="632"/>
      <c r="AZ47" s="632"/>
      <c r="BA47" s="632"/>
      <c r="BB47" s="632"/>
      <c r="BC47" s="984">
        <f t="shared" si="0"/>
        <v>0</v>
      </c>
      <c r="BD47" s="985">
        <f t="shared" si="1"/>
        <v>0</v>
      </c>
      <c r="BE47" s="990">
        <f t="shared" si="2"/>
        <v>0</v>
      </c>
      <c r="BK47" s="1117" t="str">
        <f>IFERROR(INDEX($C$6:$C$53,_xlfn.AGGREGATE(15,6,(ROW($C$6:$C$53)-ROW($C$6)+1)/($BC$6:$BC$53&gt;0),ROWS($BK$6:BK47))),"")</f>
        <v/>
      </c>
      <c r="BL47" s="1118" t="str">
        <f t="shared" si="3"/>
        <v/>
      </c>
      <c r="BM47" s="1548" t="str">
        <f t="shared" si="4"/>
        <v/>
      </c>
      <c r="BN47" s="1548" t="str">
        <f t="shared" si="5"/>
        <v/>
      </c>
      <c r="BO47" s="1548" t="str">
        <f t="shared" si="6"/>
        <v/>
      </c>
      <c r="BP47" s="1548" t="str">
        <f t="shared" si="7"/>
        <v/>
      </c>
      <c r="BQ47" s="1548" t="str">
        <f t="shared" si="8"/>
        <v/>
      </c>
      <c r="BR47" s="1548" t="str">
        <f t="shared" si="9"/>
        <v/>
      </c>
      <c r="BS47" s="1548" t="str">
        <f t="shared" si="10"/>
        <v/>
      </c>
      <c r="BT47" s="1548" t="str">
        <f t="shared" si="11"/>
        <v/>
      </c>
      <c r="BU47" s="1548" t="str">
        <f t="shared" si="12"/>
        <v/>
      </c>
      <c r="BV47" s="1114" t="str">
        <f t="shared" si="13"/>
        <v/>
      </c>
      <c r="BW47" s="1114" t="str">
        <f t="shared" si="14"/>
        <v/>
      </c>
      <c r="BX47" s="1114" t="str">
        <f t="shared" si="15"/>
        <v/>
      </c>
      <c r="BY47" s="1114" t="str">
        <f t="shared" si="16"/>
        <v/>
      </c>
      <c r="BZ47" s="1114" t="str">
        <f t="shared" si="17"/>
        <v/>
      </c>
      <c r="CA47" s="1548" t="str">
        <f t="shared" si="18"/>
        <v/>
      </c>
      <c r="CB47" s="1548" t="str">
        <f t="shared" si="19"/>
        <v/>
      </c>
      <c r="CC47" s="1114" t="str">
        <f t="shared" si="20"/>
        <v/>
      </c>
      <c r="CD47" s="1548" t="str">
        <f t="shared" si="21"/>
        <v/>
      </c>
      <c r="CE47" s="1114" t="str">
        <f t="shared" si="22"/>
        <v/>
      </c>
      <c r="CF47" s="1114" t="str">
        <f t="shared" si="23"/>
        <v/>
      </c>
      <c r="CG47" s="1114" t="str">
        <f t="shared" si="24"/>
        <v/>
      </c>
      <c r="CH47" s="1114" t="str">
        <f t="shared" si="25"/>
        <v/>
      </c>
      <c r="CI47" s="1114" t="str">
        <f t="shared" si="26"/>
        <v/>
      </c>
      <c r="CJ47" s="1114" t="str">
        <f t="shared" si="27"/>
        <v/>
      </c>
      <c r="CK47" s="1114" t="str">
        <f t="shared" si="28"/>
        <v/>
      </c>
      <c r="CL47" s="1114" t="str">
        <f t="shared" si="29"/>
        <v/>
      </c>
      <c r="CM47" s="1114" t="str">
        <f t="shared" si="30"/>
        <v/>
      </c>
      <c r="CN47" s="1114" t="str">
        <f t="shared" si="31"/>
        <v/>
      </c>
      <c r="CO47" s="1114" t="str">
        <f t="shared" si="32"/>
        <v/>
      </c>
      <c r="CP47" s="1114" t="str">
        <f t="shared" si="33"/>
        <v/>
      </c>
      <c r="CQ47" s="1114" t="str">
        <f t="shared" si="34"/>
        <v/>
      </c>
      <c r="CR47" s="1114" t="str">
        <f t="shared" si="35"/>
        <v/>
      </c>
      <c r="CS47" s="1114" t="str">
        <f t="shared" si="36"/>
        <v/>
      </c>
      <c r="CT47" s="1114" t="str">
        <f t="shared" si="37"/>
        <v/>
      </c>
      <c r="CU47" s="1114" t="str">
        <f t="shared" si="38"/>
        <v/>
      </c>
      <c r="CV47" s="1114" t="str">
        <f t="shared" si="39"/>
        <v/>
      </c>
      <c r="CW47" s="1114" t="str">
        <f t="shared" si="40"/>
        <v/>
      </c>
      <c r="CX47" s="1114" t="str">
        <f t="shared" si="41"/>
        <v/>
      </c>
      <c r="CY47" s="1114" t="str">
        <f t="shared" si="42"/>
        <v/>
      </c>
      <c r="CZ47" s="1114" t="str">
        <f t="shared" si="43"/>
        <v/>
      </c>
      <c r="DA47" s="1114" t="str">
        <f t="shared" si="44"/>
        <v/>
      </c>
      <c r="DB47" s="1114" t="str">
        <f t="shared" si="45"/>
        <v/>
      </c>
      <c r="DC47" s="1114" t="str">
        <f t="shared" si="46"/>
        <v/>
      </c>
      <c r="DD47" s="1114" t="str">
        <f t="shared" si="47"/>
        <v/>
      </c>
      <c r="DE47" s="1114" t="str">
        <f t="shared" si="48"/>
        <v/>
      </c>
      <c r="DF47" s="1114" t="str">
        <f t="shared" si="49"/>
        <v/>
      </c>
      <c r="DG47" s="1114" t="str">
        <f t="shared" si="50"/>
        <v/>
      </c>
      <c r="DH47" s="1114" t="str">
        <f t="shared" si="51"/>
        <v/>
      </c>
      <c r="DI47" s="1114" t="str">
        <f t="shared" si="52"/>
        <v/>
      </c>
      <c r="DJ47" s="1114" t="str">
        <f t="shared" si="53"/>
        <v/>
      </c>
      <c r="DK47" s="1116" t="str">
        <f t="shared" si="54"/>
        <v/>
      </c>
    </row>
    <row r="48" spans="1:115" ht="45.75">
      <c r="A48" s="2681"/>
      <c r="C48" s="1029">
        <f>+PP!B66</f>
        <v>43</v>
      </c>
      <c r="D48" s="1111" t="str">
        <f>+PP!C66</f>
        <v>TENTACULO C/B C/V SR 500-1000 g/pza (SUCIO)</v>
      </c>
      <c r="E48" s="978"/>
      <c r="F48" s="632"/>
      <c r="G48" s="632"/>
      <c r="H48" s="632"/>
      <c r="I48" s="632"/>
      <c r="J48" s="632"/>
      <c r="K48" s="632"/>
      <c r="L48" s="632"/>
      <c r="M48" s="632"/>
      <c r="N48" s="632"/>
      <c r="O48" s="632"/>
      <c r="P48" s="632"/>
      <c r="Q48" s="632"/>
      <c r="R48" s="632"/>
      <c r="S48" s="632"/>
      <c r="T48" s="632"/>
      <c r="U48" s="632"/>
      <c r="V48" s="632"/>
      <c r="W48" s="632"/>
      <c r="X48" s="632"/>
      <c r="Y48" s="632"/>
      <c r="Z48" s="632"/>
      <c r="AA48" s="632"/>
      <c r="AB48" s="632"/>
      <c r="AC48" s="632"/>
      <c r="AD48" s="632"/>
      <c r="AE48" s="632"/>
      <c r="AF48" s="632"/>
      <c r="AG48" s="632"/>
      <c r="AH48" s="632"/>
      <c r="AI48" s="632"/>
      <c r="AJ48" s="632"/>
      <c r="AK48" s="632"/>
      <c r="AL48" s="632"/>
      <c r="AM48" s="632"/>
      <c r="AN48" s="632"/>
      <c r="AO48" s="632"/>
      <c r="AP48" s="632"/>
      <c r="AQ48" s="632"/>
      <c r="AR48" s="632"/>
      <c r="AS48" s="632"/>
      <c r="AT48" s="632"/>
      <c r="AU48" s="632"/>
      <c r="AV48" s="632"/>
      <c r="AW48" s="632"/>
      <c r="AX48" s="632"/>
      <c r="AY48" s="632"/>
      <c r="AZ48" s="632"/>
      <c r="BA48" s="632"/>
      <c r="BB48" s="632"/>
      <c r="BC48" s="984">
        <f t="shared" si="0"/>
        <v>0</v>
      </c>
      <c r="BD48" s="985">
        <f t="shared" si="1"/>
        <v>0</v>
      </c>
      <c r="BE48" s="990">
        <f t="shared" si="2"/>
        <v>0</v>
      </c>
      <c r="BK48" s="1117" t="str">
        <f>IFERROR(INDEX($C$6:$C$53,_xlfn.AGGREGATE(15,6,(ROW($C$6:$C$53)-ROW($C$6)+1)/($BC$6:$BC$53&gt;0),ROWS($BK$6:BK48))),"")</f>
        <v/>
      </c>
      <c r="BL48" s="1118" t="str">
        <f t="shared" si="3"/>
        <v/>
      </c>
      <c r="BM48" s="1548" t="str">
        <f t="shared" si="4"/>
        <v/>
      </c>
      <c r="BN48" s="1548" t="str">
        <f t="shared" si="5"/>
        <v/>
      </c>
      <c r="BO48" s="1548" t="str">
        <f t="shared" si="6"/>
        <v/>
      </c>
      <c r="BP48" s="1548" t="str">
        <f t="shared" si="7"/>
        <v/>
      </c>
      <c r="BQ48" s="1548" t="str">
        <f t="shared" si="8"/>
        <v/>
      </c>
      <c r="BR48" s="1548" t="str">
        <f t="shared" si="9"/>
        <v/>
      </c>
      <c r="BS48" s="1548" t="str">
        <f t="shared" si="10"/>
        <v/>
      </c>
      <c r="BT48" s="1548" t="str">
        <f t="shared" si="11"/>
        <v/>
      </c>
      <c r="BU48" s="1548" t="str">
        <f t="shared" si="12"/>
        <v/>
      </c>
      <c r="BV48" s="1114" t="str">
        <f t="shared" si="13"/>
        <v/>
      </c>
      <c r="BW48" s="1114" t="str">
        <f t="shared" si="14"/>
        <v/>
      </c>
      <c r="BX48" s="1114" t="str">
        <f t="shared" si="15"/>
        <v/>
      </c>
      <c r="BY48" s="1114" t="str">
        <f t="shared" si="16"/>
        <v/>
      </c>
      <c r="BZ48" s="1114" t="str">
        <f t="shared" si="17"/>
        <v/>
      </c>
      <c r="CA48" s="1548" t="str">
        <f t="shared" si="18"/>
        <v/>
      </c>
      <c r="CB48" s="1548" t="str">
        <f t="shared" si="19"/>
        <v/>
      </c>
      <c r="CC48" s="1114" t="str">
        <f t="shared" si="20"/>
        <v/>
      </c>
      <c r="CD48" s="1548" t="str">
        <f t="shared" si="21"/>
        <v/>
      </c>
      <c r="CE48" s="1114" t="str">
        <f t="shared" si="22"/>
        <v/>
      </c>
      <c r="CF48" s="1114" t="str">
        <f t="shared" si="23"/>
        <v/>
      </c>
      <c r="CG48" s="1114" t="str">
        <f t="shared" si="24"/>
        <v/>
      </c>
      <c r="CH48" s="1114" t="str">
        <f t="shared" si="25"/>
        <v/>
      </c>
      <c r="CI48" s="1114" t="str">
        <f t="shared" si="26"/>
        <v/>
      </c>
      <c r="CJ48" s="1114" t="str">
        <f t="shared" si="27"/>
        <v/>
      </c>
      <c r="CK48" s="1114" t="str">
        <f t="shared" si="28"/>
        <v/>
      </c>
      <c r="CL48" s="1114" t="str">
        <f t="shared" si="29"/>
        <v/>
      </c>
      <c r="CM48" s="1114" t="str">
        <f t="shared" si="30"/>
        <v/>
      </c>
      <c r="CN48" s="1114" t="str">
        <f t="shared" si="31"/>
        <v/>
      </c>
      <c r="CO48" s="1114" t="str">
        <f t="shared" si="32"/>
        <v/>
      </c>
      <c r="CP48" s="1114" t="str">
        <f t="shared" si="33"/>
        <v/>
      </c>
      <c r="CQ48" s="1114" t="str">
        <f t="shared" si="34"/>
        <v/>
      </c>
      <c r="CR48" s="1114" t="str">
        <f t="shared" si="35"/>
        <v/>
      </c>
      <c r="CS48" s="1114" t="str">
        <f t="shared" si="36"/>
        <v/>
      </c>
      <c r="CT48" s="1114" t="str">
        <f t="shared" si="37"/>
        <v/>
      </c>
      <c r="CU48" s="1114" t="str">
        <f t="shared" si="38"/>
        <v/>
      </c>
      <c r="CV48" s="1114" t="str">
        <f t="shared" si="39"/>
        <v/>
      </c>
      <c r="CW48" s="1114" t="str">
        <f t="shared" si="40"/>
        <v/>
      </c>
      <c r="CX48" s="1114" t="str">
        <f t="shared" si="41"/>
        <v/>
      </c>
      <c r="CY48" s="1114" t="str">
        <f t="shared" si="42"/>
        <v/>
      </c>
      <c r="CZ48" s="1114" t="str">
        <f t="shared" si="43"/>
        <v/>
      </c>
      <c r="DA48" s="1114" t="str">
        <f t="shared" si="44"/>
        <v/>
      </c>
      <c r="DB48" s="1114" t="str">
        <f t="shared" si="45"/>
        <v/>
      </c>
      <c r="DC48" s="1114" t="str">
        <f t="shared" si="46"/>
        <v/>
      </c>
      <c r="DD48" s="1114" t="str">
        <f t="shared" si="47"/>
        <v/>
      </c>
      <c r="DE48" s="1114" t="str">
        <f t="shared" si="48"/>
        <v/>
      </c>
      <c r="DF48" s="1114" t="str">
        <f t="shared" si="49"/>
        <v/>
      </c>
      <c r="DG48" s="1114" t="str">
        <f t="shared" si="50"/>
        <v/>
      </c>
      <c r="DH48" s="1114" t="str">
        <f t="shared" si="51"/>
        <v/>
      </c>
      <c r="DI48" s="1114" t="str">
        <f t="shared" si="52"/>
        <v/>
      </c>
      <c r="DJ48" s="1114" t="str">
        <f t="shared" si="53"/>
        <v/>
      </c>
      <c r="DK48" s="1116" t="str">
        <f t="shared" si="54"/>
        <v/>
      </c>
    </row>
    <row r="49" spans="1:115" ht="45.75">
      <c r="A49" s="2681"/>
      <c r="C49" s="1029">
        <f>+PP!B67</f>
        <v>44</v>
      </c>
      <c r="D49" s="1111" t="str">
        <f>+PP!C67</f>
        <v>TENTACULO C/B S/V SR 500-1000 g/pza</v>
      </c>
      <c r="E49" s="978"/>
      <c r="F49" s="632"/>
      <c r="G49" s="632"/>
      <c r="H49" s="632"/>
      <c r="I49" s="632"/>
      <c r="J49" s="632"/>
      <c r="K49" s="632"/>
      <c r="L49" s="632"/>
      <c r="M49" s="632"/>
      <c r="N49" s="632"/>
      <c r="O49" s="632"/>
      <c r="P49" s="632"/>
      <c r="Q49" s="632"/>
      <c r="R49" s="632"/>
      <c r="S49" s="632"/>
      <c r="T49" s="632"/>
      <c r="U49" s="632"/>
      <c r="V49" s="632"/>
      <c r="W49" s="632"/>
      <c r="X49" s="632"/>
      <c r="Y49" s="632"/>
      <c r="Z49" s="632"/>
      <c r="AA49" s="632"/>
      <c r="AB49" s="632"/>
      <c r="AC49" s="632"/>
      <c r="AD49" s="632"/>
      <c r="AE49" s="632"/>
      <c r="AF49" s="632"/>
      <c r="AG49" s="632"/>
      <c r="AH49" s="632"/>
      <c r="AI49" s="632"/>
      <c r="AJ49" s="632"/>
      <c r="AK49" s="632"/>
      <c r="AL49" s="632"/>
      <c r="AM49" s="632"/>
      <c r="AN49" s="632"/>
      <c r="AO49" s="632"/>
      <c r="AP49" s="632"/>
      <c r="AQ49" s="632"/>
      <c r="AR49" s="632"/>
      <c r="AS49" s="632"/>
      <c r="AT49" s="632"/>
      <c r="AU49" s="632"/>
      <c r="AV49" s="632"/>
      <c r="AW49" s="632"/>
      <c r="AX49" s="632"/>
      <c r="AY49" s="632"/>
      <c r="AZ49" s="632"/>
      <c r="BA49" s="632"/>
      <c r="BB49" s="632"/>
      <c r="BC49" s="984">
        <f t="shared" si="0"/>
        <v>0</v>
      </c>
      <c r="BD49" s="985">
        <f t="shared" si="1"/>
        <v>0</v>
      </c>
      <c r="BE49" s="990">
        <f t="shared" si="2"/>
        <v>0</v>
      </c>
      <c r="BK49" s="1117" t="str">
        <f>IFERROR(INDEX($C$6:$C$53,_xlfn.AGGREGATE(15,6,(ROW($C$6:$C$53)-ROW($C$6)+1)/($BC$6:$BC$53&gt;0),ROWS($BK$6:BK49))),"")</f>
        <v/>
      </c>
      <c r="BL49" s="1118" t="str">
        <f t="shared" si="3"/>
        <v/>
      </c>
      <c r="BM49" s="1548" t="str">
        <f t="shared" si="4"/>
        <v/>
      </c>
      <c r="BN49" s="1548" t="str">
        <f t="shared" si="5"/>
        <v/>
      </c>
      <c r="BO49" s="1548" t="str">
        <f t="shared" si="6"/>
        <v/>
      </c>
      <c r="BP49" s="1548" t="str">
        <f t="shared" si="7"/>
        <v/>
      </c>
      <c r="BQ49" s="1548" t="str">
        <f t="shared" si="8"/>
        <v/>
      </c>
      <c r="BR49" s="1548" t="str">
        <f t="shared" si="9"/>
        <v/>
      </c>
      <c r="BS49" s="1548" t="str">
        <f t="shared" si="10"/>
        <v/>
      </c>
      <c r="BT49" s="1548" t="str">
        <f t="shared" si="11"/>
        <v/>
      </c>
      <c r="BU49" s="1548" t="str">
        <f t="shared" si="12"/>
        <v/>
      </c>
      <c r="BV49" s="1114" t="str">
        <f t="shared" si="13"/>
        <v/>
      </c>
      <c r="BW49" s="1114" t="str">
        <f t="shared" si="14"/>
        <v/>
      </c>
      <c r="BX49" s="1114" t="str">
        <f t="shared" si="15"/>
        <v/>
      </c>
      <c r="BY49" s="1114" t="str">
        <f t="shared" si="16"/>
        <v/>
      </c>
      <c r="BZ49" s="1114" t="str">
        <f t="shared" si="17"/>
        <v/>
      </c>
      <c r="CA49" s="1548" t="str">
        <f t="shared" si="18"/>
        <v/>
      </c>
      <c r="CB49" s="1548" t="str">
        <f t="shared" si="19"/>
        <v/>
      </c>
      <c r="CC49" s="1114" t="str">
        <f t="shared" si="20"/>
        <v/>
      </c>
      <c r="CD49" s="1548" t="str">
        <f t="shared" si="21"/>
        <v/>
      </c>
      <c r="CE49" s="1114" t="str">
        <f t="shared" si="22"/>
        <v/>
      </c>
      <c r="CF49" s="1114" t="str">
        <f t="shared" si="23"/>
        <v/>
      </c>
      <c r="CG49" s="1114" t="str">
        <f t="shared" si="24"/>
        <v/>
      </c>
      <c r="CH49" s="1114" t="str">
        <f t="shared" si="25"/>
        <v/>
      </c>
      <c r="CI49" s="1114" t="str">
        <f t="shared" si="26"/>
        <v/>
      </c>
      <c r="CJ49" s="1114" t="str">
        <f t="shared" si="27"/>
        <v/>
      </c>
      <c r="CK49" s="1114" t="str">
        <f t="shared" si="28"/>
        <v/>
      </c>
      <c r="CL49" s="1114" t="str">
        <f t="shared" si="29"/>
        <v/>
      </c>
      <c r="CM49" s="1114" t="str">
        <f t="shared" si="30"/>
        <v/>
      </c>
      <c r="CN49" s="1114" t="str">
        <f t="shared" si="31"/>
        <v/>
      </c>
      <c r="CO49" s="1114" t="str">
        <f t="shared" si="32"/>
        <v/>
      </c>
      <c r="CP49" s="1114" t="str">
        <f t="shared" si="33"/>
        <v/>
      </c>
      <c r="CQ49" s="1114" t="str">
        <f t="shared" si="34"/>
        <v/>
      </c>
      <c r="CR49" s="1114" t="str">
        <f t="shared" si="35"/>
        <v/>
      </c>
      <c r="CS49" s="1114" t="str">
        <f t="shared" si="36"/>
        <v/>
      </c>
      <c r="CT49" s="1114" t="str">
        <f t="shared" si="37"/>
        <v/>
      </c>
      <c r="CU49" s="1114" t="str">
        <f t="shared" si="38"/>
        <v/>
      </c>
      <c r="CV49" s="1114" t="str">
        <f t="shared" si="39"/>
        <v/>
      </c>
      <c r="CW49" s="1114" t="str">
        <f t="shared" si="40"/>
        <v/>
      </c>
      <c r="CX49" s="1114" t="str">
        <f t="shared" si="41"/>
        <v/>
      </c>
      <c r="CY49" s="1114" t="str">
        <f t="shared" si="42"/>
        <v/>
      </c>
      <c r="CZ49" s="1114" t="str">
        <f t="shared" si="43"/>
        <v/>
      </c>
      <c r="DA49" s="1114" t="str">
        <f t="shared" si="44"/>
        <v/>
      </c>
      <c r="DB49" s="1114" t="str">
        <f t="shared" si="45"/>
        <v/>
      </c>
      <c r="DC49" s="1114" t="str">
        <f t="shared" si="46"/>
        <v/>
      </c>
      <c r="DD49" s="1114" t="str">
        <f t="shared" si="47"/>
        <v/>
      </c>
      <c r="DE49" s="1114" t="str">
        <f t="shared" si="48"/>
        <v/>
      </c>
      <c r="DF49" s="1114" t="str">
        <f t="shared" si="49"/>
        <v/>
      </c>
      <c r="DG49" s="1114" t="str">
        <f t="shared" si="50"/>
        <v/>
      </c>
      <c r="DH49" s="1114" t="str">
        <f t="shared" si="51"/>
        <v/>
      </c>
      <c r="DI49" s="1114" t="str">
        <f t="shared" si="52"/>
        <v/>
      </c>
      <c r="DJ49" s="1114" t="str">
        <f t="shared" si="53"/>
        <v/>
      </c>
      <c r="DK49" s="1116" t="str">
        <f t="shared" si="54"/>
        <v/>
      </c>
    </row>
    <row r="50" spans="1:115" ht="45.75">
      <c r="A50" s="2681"/>
      <c r="C50" s="1029">
        <f>+PP!B68</f>
        <v>45</v>
      </c>
      <c r="D50" s="1111" t="str">
        <f>+PP!C68</f>
        <v>TENTACULO C/B C/V SR 1.0-2.0 Kg/pza (SUCIO)</v>
      </c>
      <c r="E50" s="978"/>
      <c r="F50" s="632"/>
      <c r="G50" s="632"/>
      <c r="H50" s="632"/>
      <c r="I50" s="632"/>
      <c r="J50" s="632"/>
      <c r="K50" s="632"/>
      <c r="L50" s="632"/>
      <c r="M50" s="632"/>
      <c r="N50" s="632"/>
      <c r="O50" s="632"/>
      <c r="P50" s="632"/>
      <c r="Q50" s="632"/>
      <c r="R50" s="632"/>
      <c r="S50" s="632"/>
      <c r="T50" s="632"/>
      <c r="U50" s="632"/>
      <c r="V50" s="632"/>
      <c r="W50" s="632"/>
      <c r="X50" s="632"/>
      <c r="Y50" s="632"/>
      <c r="Z50" s="632"/>
      <c r="AA50" s="632"/>
      <c r="AB50" s="632"/>
      <c r="AC50" s="632"/>
      <c r="AD50" s="632"/>
      <c r="AE50" s="632"/>
      <c r="AF50" s="632"/>
      <c r="AG50" s="632"/>
      <c r="AH50" s="632"/>
      <c r="AI50" s="632"/>
      <c r="AJ50" s="632"/>
      <c r="AK50" s="632"/>
      <c r="AL50" s="632"/>
      <c r="AM50" s="632"/>
      <c r="AN50" s="632"/>
      <c r="AO50" s="632"/>
      <c r="AP50" s="632"/>
      <c r="AQ50" s="632"/>
      <c r="AR50" s="632"/>
      <c r="AS50" s="632"/>
      <c r="AT50" s="632"/>
      <c r="AU50" s="632"/>
      <c r="AV50" s="632"/>
      <c r="AW50" s="632"/>
      <c r="AX50" s="632"/>
      <c r="AY50" s="632"/>
      <c r="AZ50" s="632"/>
      <c r="BA50" s="632"/>
      <c r="BB50" s="632"/>
      <c r="BC50" s="984">
        <f t="shared" si="0"/>
        <v>0</v>
      </c>
      <c r="BD50" s="985">
        <f t="shared" si="1"/>
        <v>0</v>
      </c>
      <c r="BE50" s="990">
        <f t="shared" si="2"/>
        <v>0</v>
      </c>
      <c r="BK50" s="1117" t="str">
        <f>IFERROR(INDEX($C$6:$C$53,_xlfn.AGGREGATE(15,6,(ROW($C$6:$C$53)-ROW($C$6)+1)/($BC$6:$BC$53&gt;0),ROWS($BK$6:BK50))),"")</f>
        <v/>
      </c>
      <c r="BL50" s="1118" t="str">
        <f t="shared" si="3"/>
        <v/>
      </c>
      <c r="BM50" s="1548" t="str">
        <f t="shared" si="4"/>
        <v/>
      </c>
      <c r="BN50" s="1548" t="str">
        <f t="shared" si="5"/>
        <v/>
      </c>
      <c r="BO50" s="1548" t="str">
        <f t="shared" si="6"/>
        <v/>
      </c>
      <c r="BP50" s="1548" t="str">
        <f t="shared" si="7"/>
        <v/>
      </c>
      <c r="BQ50" s="1548" t="str">
        <f t="shared" si="8"/>
        <v/>
      </c>
      <c r="BR50" s="1548" t="str">
        <f t="shared" si="9"/>
        <v/>
      </c>
      <c r="BS50" s="1548" t="str">
        <f t="shared" si="10"/>
        <v/>
      </c>
      <c r="BT50" s="1548" t="str">
        <f t="shared" si="11"/>
        <v/>
      </c>
      <c r="BU50" s="1548" t="str">
        <f t="shared" si="12"/>
        <v/>
      </c>
      <c r="BV50" s="1114" t="str">
        <f t="shared" si="13"/>
        <v/>
      </c>
      <c r="BW50" s="1114" t="str">
        <f t="shared" si="14"/>
        <v/>
      </c>
      <c r="BX50" s="1114" t="str">
        <f t="shared" si="15"/>
        <v/>
      </c>
      <c r="BY50" s="1114" t="str">
        <f t="shared" si="16"/>
        <v/>
      </c>
      <c r="BZ50" s="1114" t="str">
        <f t="shared" si="17"/>
        <v/>
      </c>
      <c r="CA50" s="1548" t="str">
        <f t="shared" si="18"/>
        <v/>
      </c>
      <c r="CB50" s="1548" t="str">
        <f t="shared" si="19"/>
        <v/>
      </c>
      <c r="CC50" s="1114" t="str">
        <f t="shared" si="20"/>
        <v/>
      </c>
      <c r="CD50" s="1548" t="str">
        <f t="shared" si="21"/>
        <v/>
      </c>
      <c r="CE50" s="1114" t="str">
        <f t="shared" si="22"/>
        <v/>
      </c>
      <c r="CF50" s="1114" t="str">
        <f t="shared" si="23"/>
        <v/>
      </c>
      <c r="CG50" s="1114" t="str">
        <f t="shared" si="24"/>
        <v/>
      </c>
      <c r="CH50" s="1114" t="str">
        <f t="shared" si="25"/>
        <v/>
      </c>
      <c r="CI50" s="1114" t="str">
        <f t="shared" si="26"/>
        <v/>
      </c>
      <c r="CJ50" s="1114" t="str">
        <f t="shared" si="27"/>
        <v/>
      </c>
      <c r="CK50" s="1114" t="str">
        <f t="shared" si="28"/>
        <v/>
      </c>
      <c r="CL50" s="1114" t="str">
        <f t="shared" si="29"/>
        <v/>
      </c>
      <c r="CM50" s="1114" t="str">
        <f t="shared" si="30"/>
        <v/>
      </c>
      <c r="CN50" s="1114" t="str">
        <f t="shared" si="31"/>
        <v/>
      </c>
      <c r="CO50" s="1114" t="str">
        <f t="shared" si="32"/>
        <v/>
      </c>
      <c r="CP50" s="1114" t="str">
        <f t="shared" si="33"/>
        <v/>
      </c>
      <c r="CQ50" s="1114" t="str">
        <f t="shared" si="34"/>
        <v/>
      </c>
      <c r="CR50" s="1114" t="str">
        <f t="shared" si="35"/>
        <v/>
      </c>
      <c r="CS50" s="1114" t="str">
        <f t="shared" si="36"/>
        <v/>
      </c>
      <c r="CT50" s="1114" t="str">
        <f t="shared" si="37"/>
        <v/>
      </c>
      <c r="CU50" s="1114" t="str">
        <f t="shared" si="38"/>
        <v/>
      </c>
      <c r="CV50" s="1114" t="str">
        <f t="shared" si="39"/>
        <v/>
      </c>
      <c r="CW50" s="1114" t="str">
        <f t="shared" si="40"/>
        <v/>
      </c>
      <c r="CX50" s="1114" t="str">
        <f t="shared" si="41"/>
        <v/>
      </c>
      <c r="CY50" s="1114" t="str">
        <f t="shared" si="42"/>
        <v/>
      </c>
      <c r="CZ50" s="1114" t="str">
        <f t="shared" si="43"/>
        <v/>
      </c>
      <c r="DA50" s="1114" t="str">
        <f t="shared" si="44"/>
        <v/>
      </c>
      <c r="DB50" s="1114" t="str">
        <f t="shared" si="45"/>
        <v/>
      </c>
      <c r="DC50" s="1114" t="str">
        <f t="shared" si="46"/>
        <v/>
      </c>
      <c r="DD50" s="1114" t="str">
        <f t="shared" si="47"/>
        <v/>
      </c>
      <c r="DE50" s="1114" t="str">
        <f t="shared" si="48"/>
        <v/>
      </c>
      <c r="DF50" s="1114" t="str">
        <f t="shared" si="49"/>
        <v/>
      </c>
      <c r="DG50" s="1114" t="str">
        <f t="shared" si="50"/>
        <v/>
      </c>
      <c r="DH50" s="1114" t="str">
        <f t="shared" si="51"/>
        <v/>
      </c>
      <c r="DI50" s="1114" t="str">
        <f t="shared" si="52"/>
        <v/>
      </c>
      <c r="DJ50" s="1114" t="str">
        <f t="shared" si="53"/>
        <v/>
      </c>
      <c r="DK50" s="1116" t="str">
        <f t="shared" si="54"/>
        <v/>
      </c>
    </row>
    <row r="51" spans="1:115" ht="45.75">
      <c r="A51" s="2681"/>
      <c r="C51" s="1029">
        <f>+PP!B69</f>
        <v>46</v>
      </c>
      <c r="D51" s="1111" t="str">
        <f>+PP!C69</f>
        <v>TENTACULO C/B S/V SR 1.0-2.0 Kg/pza</v>
      </c>
      <c r="E51" s="978"/>
      <c r="F51" s="632"/>
      <c r="G51" s="632"/>
      <c r="H51" s="632"/>
      <c r="I51" s="632"/>
      <c r="J51" s="632"/>
      <c r="K51" s="632"/>
      <c r="L51" s="632"/>
      <c r="M51" s="632"/>
      <c r="N51" s="632"/>
      <c r="O51" s="632"/>
      <c r="P51" s="632"/>
      <c r="Q51" s="632"/>
      <c r="R51" s="632"/>
      <c r="S51" s="632"/>
      <c r="T51" s="632"/>
      <c r="U51" s="632"/>
      <c r="V51" s="632"/>
      <c r="W51" s="632"/>
      <c r="X51" s="632"/>
      <c r="Y51" s="632"/>
      <c r="Z51" s="632"/>
      <c r="AA51" s="632"/>
      <c r="AB51" s="632"/>
      <c r="AC51" s="632"/>
      <c r="AD51" s="632"/>
      <c r="AE51" s="632"/>
      <c r="AF51" s="632"/>
      <c r="AG51" s="632"/>
      <c r="AH51" s="632"/>
      <c r="AI51" s="632"/>
      <c r="AJ51" s="632"/>
      <c r="AK51" s="632"/>
      <c r="AL51" s="632"/>
      <c r="AM51" s="632"/>
      <c r="AN51" s="632"/>
      <c r="AO51" s="632"/>
      <c r="AP51" s="632"/>
      <c r="AQ51" s="632"/>
      <c r="AR51" s="632"/>
      <c r="AS51" s="632"/>
      <c r="AT51" s="632"/>
      <c r="AU51" s="632"/>
      <c r="AV51" s="632"/>
      <c r="AW51" s="632"/>
      <c r="AX51" s="632"/>
      <c r="AY51" s="632"/>
      <c r="AZ51" s="632"/>
      <c r="BA51" s="632"/>
      <c r="BB51" s="632"/>
      <c r="BC51" s="984">
        <f t="shared" si="0"/>
        <v>0</v>
      </c>
      <c r="BD51" s="985">
        <f t="shared" si="1"/>
        <v>0</v>
      </c>
      <c r="BE51" s="990">
        <f t="shared" si="2"/>
        <v>0</v>
      </c>
      <c r="BK51" s="1117" t="str">
        <f>IFERROR(INDEX($C$6:$C$53,_xlfn.AGGREGATE(15,6,(ROW($C$6:$C$53)-ROW($C$6)+1)/($BC$6:$BC$53&gt;0),ROWS($BK$6:BK51))),"")</f>
        <v/>
      </c>
      <c r="BL51" s="1118" t="str">
        <f t="shared" si="3"/>
        <v/>
      </c>
      <c r="BM51" s="1548" t="str">
        <f t="shared" si="4"/>
        <v/>
      </c>
      <c r="BN51" s="1548" t="str">
        <f t="shared" si="5"/>
        <v/>
      </c>
      <c r="BO51" s="1548" t="str">
        <f t="shared" si="6"/>
        <v/>
      </c>
      <c r="BP51" s="1548" t="str">
        <f t="shared" si="7"/>
        <v/>
      </c>
      <c r="BQ51" s="1548" t="str">
        <f t="shared" si="8"/>
        <v/>
      </c>
      <c r="BR51" s="1548" t="str">
        <f t="shared" si="9"/>
        <v/>
      </c>
      <c r="BS51" s="1548" t="str">
        <f t="shared" si="10"/>
        <v/>
      </c>
      <c r="BT51" s="1548" t="str">
        <f t="shared" si="11"/>
        <v/>
      </c>
      <c r="BU51" s="1548" t="str">
        <f t="shared" si="12"/>
        <v/>
      </c>
      <c r="BV51" s="1114" t="str">
        <f t="shared" si="13"/>
        <v/>
      </c>
      <c r="BW51" s="1114" t="str">
        <f t="shared" si="14"/>
        <v/>
      </c>
      <c r="BX51" s="1114" t="str">
        <f t="shared" si="15"/>
        <v/>
      </c>
      <c r="BY51" s="1114" t="str">
        <f t="shared" si="16"/>
        <v/>
      </c>
      <c r="BZ51" s="1114" t="str">
        <f t="shared" si="17"/>
        <v/>
      </c>
      <c r="CA51" s="1548" t="str">
        <f t="shared" si="18"/>
        <v/>
      </c>
      <c r="CB51" s="1548" t="str">
        <f t="shared" si="19"/>
        <v/>
      </c>
      <c r="CC51" s="1114" t="str">
        <f t="shared" si="20"/>
        <v/>
      </c>
      <c r="CD51" s="1548" t="str">
        <f t="shared" si="21"/>
        <v/>
      </c>
      <c r="CE51" s="1114" t="str">
        <f t="shared" si="22"/>
        <v/>
      </c>
      <c r="CF51" s="1114" t="str">
        <f t="shared" si="23"/>
        <v/>
      </c>
      <c r="CG51" s="1114" t="str">
        <f t="shared" si="24"/>
        <v/>
      </c>
      <c r="CH51" s="1114" t="str">
        <f t="shared" si="25"/>
        <v/>
      </c>
      <c r="CI51" s="1114" t="str">
        <f t="shared" si="26"/>
        <v/>
      </c>
      <c r="CJ51" s="1114" t="str">
        <f t="shared" si="27"/>
        <v/>
      </c>
      <c r="CK51" s="1114" t="str">
        <f t="shared" si="28"/>
        <v/>
      </c>
      <c r="CL51" s="1114" t="str">
        <f t="shared" si="29"/>
        <v/>
      </c>
      <c r="CM51" s="1114" t="str">
        <f t="shared" si="30"/>
        <v/>
      </c>
      <c r="CN51" s="1114" t="str">
        <f t="shared" si="31"/>
        <v/>
      </c>
      <c r="CO51" s="1114" t="str">
        <f t="shared" si="32"/>
        <v/>
      </c>
      <c r="CP51" s="1114" t="str">
        <f t="shared" si="33"/>
        <v/>
      </c>
      <c r="CQ51" s="1114" t="str">
        <f t="shared" si="34"/>
        <v/>
      </c>
      <c r="CR51" s="1114" t="str">
        <f t="shared" si="35"/>
        <v/>
      </c>
      <c r="CS51" s="1114" t="str">
        <f t="shared" si="36"/>
        <v/>
      </c>
      <c r="CT51" s="1114" t="str">
        <f t="shared" si="37"/>
        <v/>
      </c>
      <c r="CU51" s="1114" t="str">
        <f t="shared" si="38"/>
        <v/>
      </c>
      <c r="CV51" s="1114" t="str">
        <f t="shared" si="39"/>
        <v/>
      </c>
      <c r="CW51" s="1114" t="str">
        <f t="shared" si="40"/>
        <v/>
      </c>
      <c r="CX51" s="1114" t="str">
        <f t="shared" si="41"/>
        <v/>
      </c>
      <c r="CY51" s="1114" t="str">
        <f t="shared" si="42"/>
        <v/>
      </c>
      <c r="CZ51" s="1114" t="str">
        <f t="shared" si="43"/>
        <v/>
      </c>
      <c r="DA51" s="1114" t="str">
        <f t="shared" si="44"/>
        <v/>
      </c>
      <c r="DB51" s="1114" t="str">
        <f t="shared" si="45"/>
        <v/>
      </c>
      <c r="DC51" s="1114" t="str">
        <f t="shared" si="46"/>
        <v/>
      </c>
      <c r="DD51" s="1114" t="str">
        <f t="shared" si="47"/>
        <v/>
      </c>
      <c r="DE51" s="1114" t="str">
        <f t="shared" si="48"/>
        <v/>
      </c>
      <c r="DF51" s="1114" t="str">
        <f t="shared" si="49"/>
        <v/>
      </c>
      <c r="DG51" s="1114" t="str">
        <f t="shared" si="50"/>
        <v/>
      </c>
      <c r="DH51" s="1114" t="str">
        <f t="shared" si="51"/>
        <v/>
      </c>
      <c r="DI51" s="1114" t="str">
        <f t="shared" si="52"/>
        <v/>
      </c>
      <c r="DJ51" s="1114" t="str">
        <f t="shared" si="53"/>
        <v/>
      </c>
      <c r="DK51" s="1116" t="str">
        <f t="shared" si="54"/>
        <v/>
      </c>
    </row>
    <row r="52" spans="1:115" ht="46.5" thickBot="1">
      <c r="A52" s="2681"/>
      <c r="C52" s="1029">
        <f>+PP!B70</f>
        <v>47</v>
      </c>
      <c r="D52" s="1112" t="str">
        <f>+PP!C70</f>
        <v>TENTACULO C/B S/V SR 2 UP Kg/pza</v>
      </c>
      <c r="E52" s="1006"/>
      <c r="F52" s="997"/>
      <c r="G52" s="997"/>
      <c r="H52" s="997"/>
      <c r="I52" s="997"/>
      <c r="J52" s="997"/>
      <c r="K52" s="997"/>
      <c r="L52" s="997"/>
      <c r="M52" s="997"/>
      <c r="N52" s="997"/>
      <c r="O52" s="997"/>
      <c r="P52" s="997"/>
      <c r="Q52" s="997"/>
      <c r="R52" s="997"/>
      <c r="S52" s="997"/>
      <c r="T52" s="997"/>
      <c r="U52" s="997"/>
      <c r="V52" s="997"/>
      <c r="W52" s="997"/>
      <c r="X52" s="997"/>
      <c r="Y52" s="997"/>
      <c r="Z52" s="997"/>
      <c r="AA52" s="997"/>
      <c r="AB52" s="997"/>
      <c r="AC52" s="997"/>
      <c r="AD52" s="997"/>
      <c r="AE52" s="997"/>
      <c r="AF52" s="997"/>
      <c r="AG52" s="997"/>
      <c r="AH52" s="997"/>
      <c r="AI52" s="997"/>
      <c r="AJ52" s="997"/>
      <c r="AK52" s="997"/>
      <c r="AL52" s="997"/>
      <c r="AM52" s="997"/>
      <c r="AN52" s="997"/>
      <c r="AO52" s="997"/>
      <c r="AP52" s="997"/>
      <c r="AQ52" s="997"/>
      <c r="AR52" s="997"/>
      <c r="AS52" s="997"/>
      <c r="AT52" s="997"/>
      <c r="AU52" s="997"/>
      <c r="AV52" s="997"/>
      <c r="AW52" s="997"/>
      <c r="AX52" s="997"/>
      <c r="AY52" s="997"/>
      <c r="AZ52" s="997"/>
      <c r="BA52" s="997"/>
      <c r="BB52" s="997"/>
      <c r="BC52" s="992">
        <f t="shared" si="0"/>
        <v>0</v>
      </c>
      <c r="BD52" s="993">
        <f t="shared" si="1"/>
        <v>0</v>
      </c>
      <c r="BE52" s="887">
        <f t="shared" si="2"/>
        <v>0</v>
      </c>
      <c r="BK52" s="1117" t="str">
        <f>IFERROR(INDEX($C$6:$C$53,_xlfn.AGGREGATE(15,6,(ROW($C$6:$C$53)-ROW($C$6)+1)/($BC$6:$BC$53&gt;0),ROWS($BK$6:BK52))),"")</f>
        <v/>
      </c>
      <c r="BL52" s="1118" t="str">
        <f t="shared" si="3"/>
        <v/>
      </c>
      <c r="BM52" s="1548" t="str">
        <f t="shared" si="4"/>
        <v/>
      </c>
      <c r="BN52" s="1548" t="str">
        <f t="shared" si="5"/>
        <v/>
      </c>
      <c r="BO52" s="1548" t="str">
        <f t="shared" si="6"/>
        <v/>
      </c>
      <c r="BP52" s="1548" t="str">
        <f t="shared" si="7"/>
        <v/>
      </c>
      <c r="BQ52" s="1548" t="str">
        <f t="shared" si="8"/>
        <v/>
      </c>
      <c r="BR52" s="1548" t="str">
        <f t="shared" si="9"/>
        <v/>
      </c>
      <c r="BS52" s="1548" t="str">
        <f t="shared" si="10"/>
        <v/>
      </c>
      <c r="BT52" s="1548" t="str">
        <f t="shared" si="11"/>
        <v/>
      </c>
      <c r="BU52" s="1548" t="str">
        <f t="shared" si="12"/>
        <v/>
      </c>
      <c r="BV52" s="1114" t="str">
        <f t="shared" si="13"/>
        <v/>
      </c>
      <c r="BW52" s="1114" t="str">
        <f t="shared" si="14"/>
        <v/>
      </c>
      <c r="BX52" s="1114" t="str">
        <f t="shared" si="15"/>
        <v/>
      </c>
      <c r="BY52" s="1114" t="str">
        <f t="shared" si="16"/>
        <v/>
      </c>
      <c r="BZ52" s="1114" t="str">
        <f t="shared" si="17"/>
        <v/>
      </c>
      <c r="CA52" s="1548" t="str">
        <f t="shared" si="18"/>
        <v/>
      </c>
      <c r="CB52" s="1548" t="str">
        <f t="shared" si="19"/>
        <v/>
      </c>
      <c r="CC52" s="1114" t="str">
        <f t="shared" si="20"/>
        <v/>
      </c>
      <c r="CD52" s="1548" t="str">
        <f t="shared" si="21"/>
        <v/>
      </c>
      <c r="CE52" s="1114" t="str">
        <f t="shared" si="22"/>
        <v/>
      </c>
      <c r="CF52" s="1114" t="str">
        <f t="shared" si="23"/>
        <v/>
      </c>
      <c r="CG52" s="1114" t="str">
        <f t="shared" si="24"/>
        <v/>
      </c>
      <c r="CH52" s="1114" t="str">
        <f t="shared" si="25"/>
        <v/>
      </c>
      <c r="CI52" s="1114" t="str">
        <f t="shared" si="26"/>
        <v/>
      </c>
      <c r="CJ52" s="1114" t="str">
        <f t="shared" si="27"/>
        <v/>
      </c>
      <c r="CK52" s="1114" t="str">
        <f t="shared" si="28"/>
        <v/>
      </c>
      <c r="CL52" s="1114" t="str">
        <f t="shared" si="29"/>
        <v/>
      </c>
      <c r="CM52" s="1114" t="str">
        <f t="shared" si="30"/>
        <v/>
      </c>
      <c r="CN52" s="1114" t="str">
        <f t="shared" si="31"/>
        <v/>
      </c>
      <c r="CO52" s="1114" t="str">
        <f t="shared" si="32"/>
        <v/>
      </c>
      <c r="CP52" s="1114" t="str">
        <f t="shared" si="33"/>
        <v/>
      </c>
      <c r="CQ52" s="1114" t="str">
        <f t="shared" si="34"/>
        <v/>
      </c>
      <c r="CR52" s="1114" t="str">
        <f t="shared" si="35"/>
        <v/>
      </c>
      <c r="CS52" s="1114" t="str">
        <f t="shared" si="36"/>
        <v/>
      </c>
      <c r="CT52" s="1114" t="str">
        <f t="shared" si="37"/>
        <v/>
      </c>
      <c r="CU52" s="1114" t="str">
        <f t="shared" si="38"/>
        <v/>
      </c>
      <c r="CV52" s="1114" t="str">
        <f t="shared" si="39"/>
        <v/>
      </c>
      <c r="CW52" s="1114" t="str">
        <f t="shared" si="40"/>
        <v/>
      </c>
      <c r="CX52" s="1114" t="str">
        <f t="shared" si="41"/>
        <v/>
      </c>
      <c r="CY52" s="1114" t="str">
        <f t="shared" si="42"/>
        <v/>
      </c>
      <c r="CZ52" s="1114" t="str">
        <f t="shared" si="43"/>
        <v/>
      </c>
      <c r="DA52" s="1114" t="str">
        <f t="shared" si="44"/>
        <v/>
      </c>
      <c r="DB52" s="1114" t="str">
        <f t="shared" si="45"/>
        <v/>
      </c>
      <c r="DC52" s="1114" t="str">
        <f t="shared" si="46"/>
        <v/>
      </c>
      <c r="DD52" s="1114" t="str">
        <f t="shared" si="47"/>
        <v/>
      </c>
      <c r="DE52" s="1114" t="str">
        <f t="shared" si="48"/>
        <v/>
      </c>
      <c r="DF52" s="1114" t="str">
        <f t="shared" si="49"/>
        <v/>
      </c>
      <c r="DG52" s="1114" t="str">
        <f t="shared" si="50"/>
        <v/>
      </c>
      <c r="DH52" s="1114" t="str">
        <f t="shared" si="51"/>
        <v/>
      </c>
      <c r="DI52" s="1114" t="str">
        <f t="shared" si="52"/>
        <v/>
      </c>
      <c r="DJ52" s="1114" t="str">
        <f t="shared" si="53"/>
        <v/>
      </c>
      <c r="DK52" s="1116" t="str">
        <f t="shared" si="54"/>
        <v/>
      </c>
    </row>
    <row r="53" spans="1:115" ht="46.5" thickBot="1">
      <c r="A53" s="2681"/>
      <c r="C53" s="1030">
        <f>+PP!B71</f>
        <v>48</v>
      </c>
      <c r="D53" s="1113" t="str">
        <f>+PP!C71</f>
        <v>TUBO ALETA 500-1000 g/pza</v>
      </c>
      <c r="E53" s="979"/>
      <c r="F53" s="631"/>
      <c r="G53" s="631"/>
      <c r="H53" s="631"/>
      <c r="I53" s="631"/>
      <c r="J53" s="631"/>
      <c r="K53" s="631"/>
      <c r="L53" s="631"/>
      <c r="M53" s="631"/>
      <c r="N53" s="631"/>
      <c r="O53" s="631"/>
      <c r="P53" s="631"/>
      <c r="Q53" s="631"/>
      <c r="R53" s="631"/>
      <c r="S53" s="631"/>
      <c r="T53" s="631"/>
      <c r="U53" s="631"/>
      <c r="V53" s="631"/>
      <c r="W53" s="631"/>
      <c r="X53" s="631"/>
      <c r="Y53" s="631"/>
      <c r="Z53" s="631"/>
      <c r="AA53" s="631"/>
      <c r="AB53" s="631"/>
      <c r="AC53" s="631"/>
      <c r="AD53" s="631"/>
      <c r="AE53" s="631"/>
      <c r="AF53" s="631"/>
      <c r="AG53" s="631"/>
      <c r="AH53" s="631"/>
      <c r="AI53" s="631"/>
      <c r="AJ53" s="631"/>
      <c r="AK53" s="631"/>
      <c r="AL53" s="631"/>
      <c r="AM53" s="631"/>
      <c r="AN53" s="631"/>
      <c r="AO53" s="631"/>
      <c r="AP53" s="631"/>
      <c r="AQ53" s="631"/>
      <c r="AR53" s="631"/>
      <c r="AS53" s="631"/>
      <c r="AT53" s="631"/>
      <c r="AU53" s="631"/>
      <c r="AV53" s="631"/>
      <c r="AW53" s="631"/>
      <c r="AX53" s="631"/>
      <c r="AY53" s="631"/>
      <c r="AZ53" s="631"/>
      <c r="BA53" s="631"/>
      <c r="BB53" s="631"/>
      <c r="BC53" s="994">
        <f t="shared" si="0"/>
        <v>0</v>
      </c>
      <c r="BD53" s="995">
        <f t="shared" si="1"/>
        <v>0</v>
      </c>
      <c r="BE53" s="996">
        <f t="shared" si="2"/>
        <v>0</v>
      </c>
      <c r="BK53" s="1117" t="str">
        <f>IFERROR(INDEX($C$6:$C$53,_xlfn.AGGREGATE(15,6,(ROW($C$6:$C$53)-ROW($C$6)+1)/($BC$6:$BC$53&gt;0),ROWS($BK$6:BK53))),"")</f>
        <v/>
      </c>
      <c r="BL53" s="1118" t="str">
        <f t="shared" si="3"/>
        <v/>
      </c>
      <c r="BM53" s="1548" t="str">
        <f t="shared" si="4"/>
        <v/>
      </c>
      <c r="BN53" s="1548" t="str">
        <f t="shared" si="5"/>
        <v/>
      </c>
      <c r="BO53" s="1548" t="str">
        <f t="shared" si="6"/>
        <v/>
      </c>
      <c r="BP53" s="1548" t="str">
        <f t="shared" si="7"/>
        <v/>
      </c>
      <c r="BQ53" s="1548" t="str">
        <f t="shared" si="8"/>
        <v/>
      </c>
      <c r="BR53" s="1548" t="str">
        <f t="shared" si="9"/>
        <v/>
      </c>
      <c r="BS53" s="1548" t="str">
        <f t="shared" si="10"/>
        <v/>
      </c>
      <c r="BT53" s="1548" t="str">
        <f t="shared" si="11"/>
        <v/>
      </c>
      <c r="BU53" s="1548" t="str">
        <f t="shared" si="12"/>
        <v/>
      </c>
      <c r="BV53" s="1114" t="str">
        <f t="shared" si="13"/>
        <v/>
      </c>
      <c r="BW53" s="1114" t="str">
        <f t="shared" si="14"/>
        <v/>
      </c>
      <c r="BX53" s="1114" t="str">
        <f t="shared" si="15"/>
        <v/>
      </c>
      <c r="BY53" s="1114" t="str">
        <f t="shared" si="16"/>
        <v/>
      </c>
      <c r="BZ53" s="1114" t="str">
        <f t="shared" si="17"/>
        <v/>
      </c>
      <c r="CA53" s="1548" t="str">
        <f t="shared" si="18"/>
        <v/>
      </c>
      <c r="CB53" s="1548" t="str">
        <f t="shared" si="19"/>
        <v/>
      </c>
      <c r="CC53" s="1114" t="str">
        <f t="shared" si="20"/>
        <v/>
      </c>
      <c r="CD53" s="1548" t="str">
        <f t="shared" si="21"/>
        <v/>
      </c>
      <c r="CE53" s="1114" t="str">
        <f t="shared" si="22"/>
        <v/>
      </c>
      <c r="CF53" s="1114" t="str">
        <f t="shared" si="23"/>
        <v/>
      </c>
      <c r="CG53" s="1114" t="str">
        <f t="shared" si="24"/>
        <v/>
      </c>
      <c r="CH53" s="1114" t="str">
        <f t="shared" si="25"/>
        <v/>
      </c>
      <c r="CI53" s="1114" t="str">
        <f t="shared" si="26"/>
        <v/>
      </c>
      <c r="CJ53" s="1114" t="str">
        <f t="shared" si="27"/>
        <v/>
      </c>
      <c r="CK53" s="1114" t="str">
        <f t="shared" si="28"/>
        <v/>
      </c>
      <c r="CL53" s="1114" t="str">
        <f t="shared" si="29"/>
        <v/>
      </c>
      <c r="CM53" s="1114" t="str">
        <f t="shared" si="30"/>
        <v/>
      </c>
      <c r="CN53" s="1114" t="str">
        <f t="shared" si="31"/>
        <v/>
      </c>
      <c r="CO53" s="1114" t="str">
        <f t="shared" si="32"/>
        <v/>
      </c>
      <c r="CP53" s="1114" t="str">
        <f t="shared" si="33"/>
        <v/>
      </c>
      <c r="CQ53" s="1114" t="str">
        <f t="shared" si="34"/>
        <v/>
      </c>
      <c r="CR53" s="1114" t="str">
        <f t="shared" si="35"/>
        <v/>
      </c>
      <c r="CS53" s="1114" t="str">
        <f t="shared" si="36"/>
        <v/>
      </c>
      <c r="CT53" s="1114" t="str">
        <f t="shared" si="37"/>
        <v/>
      </c>
      <c r="CU53" s="1114" t="str">
        <f t="shared" si="38"/>
        <v/>
      </c>
      <c r="CV53" s="1114" t="str">
        <f t="shared" si="39"/>
        <v/>
      </c>
      <c r="CW53" s="1114" t="str">
        <f t="shared" si="40"/>
        <v/>
      </c>
      <c r="CX53" s="1114" t="str">
        <f t="shared" si="41"/>
        <v/>
      </c>
      <c r="CY53" s="1114" t="str">
        <f t="shared" si="42"/>
        <v/>
      </c>
      <c r="CZ53" s="1114" t="str">
        <f t="shared" si="43"/>
        <v/>
      </c>
      <c r="DA53" s="1114" t="str">
        <f t="shared" si="44"/>
        <v/>
      </c>
      <c r="DB53" s="1114" t="str">
        <f t="shared" si="45"/>
        <v/>
      </c>
      <c r="DC53" s="1114" t="str">
        <f t="shared" si="46"/>
        <v/>
      </c>
      <c r="DD53" s="1114" t="str">
        <f t="shared" si="47"/>
        <v/>
      </c>
      <c r="DE53" s="1114" t="str">
        <f t="shared" si="48"/>
        <v/>
      </c>
      <c r="DF53" s="1114" t="str">
        <f t="shared" si="49"/>
        <v/>
      </c>
      <c r="DG53" s="1114" t="str">
        <f t="shared" si="50"/>
        <v/>
      </c>
      <c r="DH53" s="1114" t="str">
        <f t="shared" si="51"/>
        <v/>
      </c>
      <c r="DI53" s="1114" t="str">
        <f t="shared" si="52"/>
        <v/>
      </c>
      <c r="DJ53" s="1114" t="str">
        <f t="shared" si="53"/>
        <v/>
      </c>
      <c r="DK53" s="1116" t="str">
        <f t="shared" si="54"/>
        <v/>
      </c>
    </row>
    <row r="54" spans="1:115" ht="70.150000000000006" customHeight="1" thickBot="1">
      <c r="A54" s="2681"/>
      <c r="C54" s="1027"/>
      <c r="D54" s="999" t="s">
        <v>106</v>
      </c>
      <c r="E54" s="1000">
        <f t="shared" ref="E54:BE54" si="55">SUM(E6:E53)</f>
        <v>0</v>
      </c>
      <c r="F54" s="1000">
        <f t="shared" si="55"/>
        <v>0</v>
      </c>
      <c r="G54" s="1000">
        <f t="shared" si="55"/>
        <v>0</v>
      </c>
      <c r="H54" s="1000">
        <f t="shared" si="55"/>
        <v>0</v>
      </c>
      <c r="I54" s="1000">
        <f t="shared" si="55"/>
        <v>0</v>
      </c>
      <c r="J54" s="1000">
        <f t="shared" si="55"/>
        <v>0</v>
      </c>
      <c r="K54" s="1000">
        <f t="shared" si="55"/>
        <v>0</v>
      </c>
      <c r="L54" s="1000">
        <f t="shared" si="55"/>
        <v>0</v>
      </c>
      <c r="M54" s="1000">
        <f t="shared" si="55"/>
        <v>0</v>
      </c>
      <c r="N54" s="1000">
        <f t="shared" si="55"/>
        <v>0</v>
      </c>
      <c r="O54" s="1000">
        <f t="shared" si="55"/>
        <v>0</v>
      </c>
      <c r="P54" s="1000">
        <f t="shared" si="55"/>
        <v>0</v>
      </c>
      <c r="Q54" s="1000">
        <f t="shared" si="55"/>
        <v>0</v>
      </c>
      <c r="R54" s="1000">
        <f t="shared" si="55"/>
        <v>0</v>
      </c>
      <c r="S54" s="1000">
        <f t="shared" si="55"/>
        <v>0</v>
      </c>
      <c r="T54" s="1000">
        <f t="shared" si="55"/>
        <v>0</v>
      </c>
      <c r="U54" s="1000">
        <f t="shared" si="55"/>
        <v>0</v>
      </c>
      <c r="V54" s="1000">
        <f t="shared" si="55"/>
        <v>0</v>
      </c>
      <c r="W54" s="1000">
        <f t="shared" si="55"/>
        <v>0</v>
      </c>
      <c r="X54" s="1000">
        <f t="shared" si="55"/>
        <v>0</v>
      </c>
      <c r="Y54" s="1000">
        <f t="shared" si="55"/>
        <v>0</v>
      </c>
      <c r="Z54" s="1000">
        <f t="shared" si="55"/>
        <v>0</v>
      </c>
      <c r="AA54" s="1000">
        <f t="shared" si="55"/>
        <v>0</v>
      </c>
      <c r="AB54" s="1000">
        <f t="shared" si="55"/>
        <v>0</v>
      </c>
      <c r="AC54" s="1000">
        <f t="shared" si="55"/>
        <v>0</v>
      </c>
      <c r="AD54" s="1000">
        <f t="shared" si="55"/>
        <v>0</v>
      </c>
      <c r="AE54" s="1000">
        <f t="shared" si="55"/>
        <v>0</v>
      </c>
      <c r="AF54" s="1000">
        <f t="shared" si="55"/>
        <v>0</v>
      </c>
      <c r="AG54" s="1000">
        <f t="shared" si="55"/>
        <v>0</v>
      </c>
      <c r="AH54" s="1000">
        <f t="shared" si="55"/>
        <v>0</v>
      </c>
      <c r="AI54" s="1000">
        <f t="shared" si="55"/>
        <v>0</v>
      </c>
      <c r="AJ54" s="1000">
        <f t="shared" si="55"/>
        <v>0</v>
      </c>
      <c r="AK54" s="1000">
        <f t="shared" si="55"/>
        <v>0</v>
      </c>
      <c r="AL54" s="1000">
        <f t="shared" si="55"/>
        <v>0</v>
      </c>
      <c r="AM54" s="1000">
        <f t="shared" si="55"/>
        <v>0</v>
      </c>
      <c r="AN54" s="1000">
        <f t="shared" si="55"/>
        <v>0</v>
      </c>
      <c r="AO54" s="1000">
        <f t="shared" si="55"/>
        <v>0</v>
      </c>
      <c r="AP54" s="1000">
        <f t="shared" si="55"/>
        <v>0</v>
      </c>
      <c r="AQ54" s="1000">
        <f t="shared" si="55"/>
        <v>0</v>
      </c>
      <c r="AR54" s="1000">
        <f t="shared" si="55"/>
        <v>0</v>
      </c>
      <c r="AS54" s="1000">
        <f t="shared" si="55"/>
        <v>0</v>
      </c>
      <c r="AT54" s="1000">
        <f t="shared" si="55"/>
        <v>0</v>
      </c>
      <c r="AU54" s="1000">
        <f t="shared" si="55"/>
        <v>0</v>
      </c>
      <c r="AV54" s="1000">
        <f t="shared" si="55"/>
        <v>0</v>
      </c>
      <c r="AW54" s="1000">
        <f t="shared" si="55"/>
        <v>0</v>
      </c>
      <c r="AX54" s="1000">
        <f t="shared" si="55"/>
        <v>0</v>
      </c>
      <c r="AY54" s="1000">
        <f t="shared" si="55"/>
        <v>0</v>
      </c>
      <c r="AZ54" s="1000">
        <f t="shared" si="55"/>
        <v>0</v>
      </c>
      <c r="BA54" s="1000">
        <f t="shared" si="55"/>
        <v>0</v>
      </c>
      <c r="BB54" s="1000">
        <f t="shared" si="55"/>
        <v>0</v>
      </c>
      <c r="BC54" s="1001">
        <f t="shared" si="55"/>
        <v>0</v>
      </c>
      <c r="BD54" s="1001">
        <f t="shared" si="55"/>
        <v>0</v>
      </c>
      <c r="BE54" s="1002">
        <f t="shared" si="55"/>
        <v>0</v>
      </c>
      <c r="BK54" s="1119"/>
      <c r="BL54" s="1119" t="s">
        <v>106</v>
      </c>
      <c r="BM54" s="1119">
        <f t="shared" ref="BM54:DK54" si="56">SUM(BM6:BM53)</f>
        <v>0</v>
      </c>
      <c r="BN54" s="1119">
        <f t="shared" si="56"/>
        <v>0</v>
      </c>
      <c r="BO54" s="1119">
        <f t="shared" si="56"/>
        <v>0</v>
      </c>
      <c r="BP54" s="1119">
        <f t="shared" si="56"/>
        <v>0</v>
      </c>
      <c r="BQ54" s="1119">
        <f t="shared" si="56"/>
        <v>0</v>
      </c>
      <c r="BR54" s="1119">
        <f t="shared" si="56"/>
        <v>0</v>
      </c>
      <c r="BS54" s="1119">
        <f t="shared" si="56"/>
        <v>0</v>
      </c>
      <c r="BT54" s="1119">
        <f t="shared" si="56"/>
        <v>0</v>
      </c>
      <c r="BU54" s="1119">
        <f t="shared" si="56"/>
        <v>0</v>
      </c>
      <c r="BV54" s="1119">
        <f t="shared" si="56"/>
        <v>0</v>
      </c>
      <c r="BW54" s="1119">
        <f t="shared" si="56"/>
        <v>0</v>
      </c>
      <c r="BX54" s="1119">
        <f t="shared" si="56"/>
        <v>0</v>
      </c>
      <c r="BY54" s="1119">
        <f t="shared" si="56"/>
        <v>0</v>
      </c>
      <c r="BZ54" s="1119">
        <f t="shared" si="56"/>
        <v>0</v>
      </c>
      <c r="CA54" s="1119">
        <f t="shared" si="56"/>
        <v>0</v>
      </c>
      <c r="CB54" s="1119">
        <f t="shared" si="56"/>
        <v>0</v>
      </c>
      <c r="CC54" s="1119">
        <f t="shared" si="56"/>
        <v>0</v>
      </c>
      <c r="CD54" s="1119">
        <f t="shared" si="56"/>
        <v>0</v>
      </c>
      <c r="CE54" s="1119">
        <f t="shared" si="56"/>
        <v>0</v>
      </c>
      <c r="CF54" s="1119">
        <f t="shared" si="56"/>
        <v>0</v>
      </c>
      <c r="CG54" s="1119">
        <f t="shared" si="56"/>
        <v>0</v>
      </c>
      <c r="CH54" s="1119">
        <f t="shared" si="56"/>
        <v>0</v>
      </c>
      <c r="CI54" s="1119">
        <f t="shared" si="56"/>
        <v>0</v>
      </c>
      <c r="CJ54" s="1119">
        <f t="shared" si="56"/>
        <v>0</v>
      </c>
      <c r="CK54" s="1119">
        <f t="shared" si="56"/>
        <v>0</v>
      </c>
      <c r="CL54" s="1119">
        <f t="shared" si="56"/>
        <v>0</v>
      </c>
      <c r="CM54" s="1119"/>
      <c r="CN54" s="1119"/>
      <c r="CO54" s="1119"/>
      <c r="CP54" s="1119"/>
      <c r="CQ54" s="1119"/>
      <c r="CR54" s="1119"/>
      <c r="CS54" s="1119"/>
      <c r="CT54" s="1119"/>
      <c r="CU54" s="1119"/>
      <c r="CV54" s="1119"/>
      <c r="CW54" s="1119"/>
      <c r="CX54" s="1119"/>
      <c r="CY54" s="1119"/>
      <c r="CZ54" s="1119"/>
      <c r="DA54" s="1119"/>
      <c r="DB54" s="1119"/>
      <c r="DC54" s="1119">
        <f t="shared" si="56"/>
        <v>0</v>
      </c>
      <c r="DD54" s="1119">
        <f t="shared" si="56"/>
        <v>0</v>
      </c>
      <c r="DE54" s="1119">
        <f t="shared" si="56"/>
        <v>0</v>
      </c>
      <c r="DF54" s="1119">
        <f t="shared" si="56"/>
        <v>0</v>
      </c>
      <c r="DG54" s="1119">
        <f t="shared" si="56"/>
        <v>0</v>
      </c>
      <c r="DH54" s="1119">
        <f t="shared" si="56"/>
        <v>0</v>
      </c>
      <c r="DI54" s="1119">
        <f t="shared" si="56"/>
        <v>0</v>
      </c>
      <c r="DJ54" s="1119">
        <f t="shared" ref="DJ54" si="57">SUM(DJ6:DJ53)</f>
        <v>0</v>
      </c>
      <c r="DK54" s="1120">
        <f t="shared" si="56"/>
        <v>0</v>
      </c>
    </row>
    <row r="55" spans="1:115" ht="30.75" thickBot="1">
      <c r="A55" s="678"/>
      <c r="C55" s="891"/>
      <c r="D55" s="678"/>
      <c r="E55" s="678"/>
      <c r="F55" s="678"/>
      <c r="G55" s="678"/>
      <c r="H55" s="678"/>
      <c r="I55" s="678"/>
      <c r="J55" s="678"/>
      <c r="K55" s="678"/>
      <c r="BK55" s="1121"/>
      <c r="BL55" s="1121"/>
      <c r="BM55" s="1121"/>
      <c r="BN55" s="1121"/>
      <c r="BO55" s="1121"/>
      <c r="BP55" s="1121"/>
      <c r="BQ55" s="1121"/>
      <c r="BR55" s="1121"/>
      <c r="BS55" s="1121"/>
      <c r="BT55" s="1121"/>
      <c r="BU55" s="1121"/>
      <c r="BV55" s="1121"/>
      <c r="BW55" s="1121"/>
      <c r="BX55" s="1121"/>
      <c r="BY55" s="1121"/>
      <c r="BZ55" s="1121"/>
      <c r="CA55" s="1121"/>
      <c r="CB55" s="1121"/>
      <c r="CC55" s="1121"/>
      <c r="CD55" s="1121"/>
      <c r="CE55" s="1121"/>
      <c r="CF55" s="1121"/>
      <c r="CG55" s="1121"/>
      <c r="CH55" s="1121"/>
      <c r="CI55" s="1121"/>
      <c r="CJ55" s="1121"/>
      <c r="CK55" s="1121"/>
      <c r="CL55" s="1121"/>
      <c r="CM55" s="1121"/>
      <c r="CN55" s="1121"/>
      <c r="CO55" s="1121"/>
      <c r="CP55" s="1121"/>
      <c r="CQ55" s="1121"/>
      <c r="CR55" s="1121"/>
      <c r="CS55" s="1121"/>
      <c r="CT55" s="1121"/>
      <c r="CU55" s="1121"/>
      <c r="CV55" s="1121"/>
      <c r="CW55" s="1121"/>
      <c r="CX55" s="1121"/>
      <c r="CY55" s="1121"/>
      <c r="CZ55" s="1121"/>
      <c r="DA55" s="1121"/>
      <c r="DB55" s="1121"/>
      <c r="DC55" s="1121"/>
      <c r="DD55" s="1121"/>
      <c r="DE55" s="1121"/>
      <c r="DF55" s="1121"/>
      <c r="DG55" s="1121"/>
      <c r="DH55" s="1121"/>
      <c r="DI55" s="1121"/>
      <c r="DJ55" s="1121"/>
      <c r="DK55" s="1120"/>
    </row>
    <row r="56" spans="1:115" ht="60" customHeight="1" thickBot="1">
      <c r="D56" s="892" t="s">
        <v>111</v>
      </c>
      <c r="E56" s="2667">
        <f>SUM(E54:Z54)*20</f>
        <v>0</v>
      </c>
      <c r="F56" s="2668"/>
      <c r="G56" s="2668"/>
      <c r="H56" s="2668"/>
      <c r="I56" s="2668"/>
      <c r="J56" s="2668"/>
      <c r="K56" s="2668"/>
      <c r="L56" s="2668"/>
      <c r="M56" s="2668"/>
      <c r="N56" s="2668"/>
      <c r="O56" s="2668"/>
      <c r="P56" s="2221"/>
      <c r="Q56" s="2221"/>
      <c r="R56" s="2221"/>
      <c r="S56" s="2221"/>
      <c r="T56" s="2221"/>
      <c r="U56" s="2221"/>
      <c r="V56" s="2221"/>
      <c r="W56" s="2221"/>
      <c r="X56" s="2221"/>
      <c r="Y56" s="2221"/>
      <c r="Z56" s="2221"/>
      <c r="AA56" s="2674">
        <f>SUM(BA54)*20</f>
        <v>0</v>
      </c>
      <c r="AB56" s="2675"/>
      <c r="AC56" s="2675"/>
      <c r="AD56" s="2675"/>
      <c r="AE56" s="2675"/>
      <c r="AF56" s="2675"/>
      <c r="AG56" s="2675"/>
      <c r="AH56" s="2675"/>
      <c r="AI56" s="2675"/>
      <c r="AJ56" s="2675"/>
      <c r="AK56" s="2675"/>
      <c r="AL56" s="2675"/>
      <c r="AM56" s="2675"/>
      <c r="AN56" s="2675"/>
      <c r="AO56" s="2675"/>
      <c r="AP56" s="2675"/>
      <c r="AQ56" s="2675"/>
      <c r="AR56" s="2675"/>
      <c r="AS56" s="2675"/>
      <c r="AT56" s="2675"/>
      <c r="AU56" s="2675"/>
      <c r="AV56" s="2675"/>
      <c r="AW56" s="2675"/>
      <c r="AX56" s="2675"/>
      <c r="AY56" s="2675"/>
      <c r="AZ56" s="2675"/>
      <c r="BA56" s="2676"/>
      <c r="BD56" s="881" t="s">
        <v>77</v>
      </c>
      <c r="BE56" s="893" t="str">
        <f>IFERROR(BE54/PP!K20*100,"")</f>
        <v/>
      </c>
      <c r="BI56" s="894"/>
      <c r="BK56" s="1121"/>
      <c r="BL56" s="1121"/>
      <c r="BM56" s="1121"/>
      <c r="BN56" s="1121"/>
      <c r="BO56" s="1121"/>
      <c r="BP56" s="1121"/>
      <c r="BQ56" s="1121"/>
      <c r="BR56" s="1121"/>
      <c r="BS56" s="1121"/>
      <c r="BT56" s="1121"/>
      <c r="BU56" s="1121"/>
      <c r="BV56" s="1121"/>
      <c r="BW56" s="1121"/>
      <c r="BX56" s="1121"/>
      <c r="BY56" s="1121"/>
      <c r="BZ56" s="1121"/>
      <c r="CA56" s="1121"/>
      <c r="CB56" s="1121"/>
      <c r="CC56" s="1121"/>
      <c r="CD56" s="1121"/>
      <c r="CE56" s="1121"/>
      <c r="CF56" s="1121"/>
      <c r="CG56" s="1121"/>
      <c r="CH56" s="1121"/>
      <c r="CI56" s="1121"/>
      <c r="CJ56" s="1121"/>
      <c r="CK56" s="1121"/>
      <c r="CL56" s="1121"/>
      <c r="CM56" s="1121"/>
      <c r="CN56" s="1121"/>
      <c r="CO56" s="1121"/>
      <c r="CP56" s="1121"/>
      <c r="CQ56" s="1121"/>
      <c r="CR56" s="1121"/>
      <c r="CS56" s="1121"/>
      <c r="CT56" s="1121"/>
      <c r="CU56" s="1121"/>
      <c r="CV56" s="1121"/>
      <c r="CW56" s="1121"/>
      <c r="CX56" s="1121"/>
      <c r="CY56" s="1121"/>
      <c r="CZ56" s="1121"/>
      <c r="DA56" s="1121"/>
      <c r="DB56" s="1121"/>
      <c r="DC56" s="1121"/>
      <c r="DD56" s="1121"/>
      <c r="DE56" s="1121"/>
      <c r="DF56" s="1121"/>
      <c r="DG56" s="1121"/>
      <c r="DH56" s="1121"/>
      <c r="DI56" s="1121"/>
      <c r="DJ56" s="1121"/>
      <c r="DK56" s="1120"/>
    </row>
    <row r="57" spans="1:115" ht="101.25" customHeight="1" thickBot="1">
      <c r="D57" s="892" t="s">
        <v>110</v>
      </c>
      <c r="E57" s="2669" t="s">
        <v>705</v>
      </c>
      <c r="F57" s="2670"/>
      <c r="G57" s="2670"/>
      <c r="H57" s="2670"/>
      <c r="I57" s="2670"/>
      <c r="J57" s="2670"/>
      <c r="K57" s="2670"/>
      <c r="L57" s="2670"/>
      <c r="M57" s="2670"/>
      <c r="N57" s="2670"/>
      <c r="O57" s="2671"/>
      <c r="P57" s="2221"/>
      <c r="Q57" s="2221"/>
      <c r="R57" s="2221"/>
      <c r="S57" s="2221"/>
      <c r="T57" s="2221"/>
      <c r="U57" s="2221"/>
      <c r="V57" s="2221"/>
      <c r="W57" s="2221"/>
      <c r="X57" s="2221"/>
      <c r="Y57" s="2221"/>
      <c r="Z57" s="2221"/>
      <c r="AA57" s="2669" t="s">
        <v>693</v>
      </c>
      <c r="AB57" s="2670"/>
      <c r="AC57" s="2670"/>
      <c r="AD57" s="2670"/>
      <c r="AE57" s="2670"/>
      <c r="AF57" s="2670"/>
      <c r="AG57" s="2670"/>
      <c r="AH57" s="2670"/>
      <c r="AI57" s="2670"/>
      <c r="AJ57" s="2670"/>
      <c r="AK57" s="2670"/>
      <c r="AL57" s="2670"/>
      <c r="AM57" s="2670"/>
      <c r="AN57" s="2670"/>
      <c r="AO57" s="2670"/>
      <c r="AP57" s="2670"/>
      <c r="AQ57" s="2670"/>
      <c r="AR57" s="2670"/>
      <c r="AS57" s="2670"/>
      <c r="AT57" s="2670"/>
      <c r="AU57" s="2670"/>
      <c r="AV57" s="2670"/>
      <c r="AW57" s="2670"/>
      <c r="AX57" s="2670"/>
      <c r="AY57" s="2670"/>
      <c r="AZ57" s="2670"/>
      <c r="BA57" s="2671"/>
      <c r="BB57" s="876"/>
      <c r="BC57" s="679"/>
      <c r="BE57" s="877"/>
      <c r="BI57" s="894"/>
      <c r="BK57" s="1121"/>
      <c r="BL57" s="1121"/>
      <c r="BM57" s="1121"/>
      <c r="BN57" s="1121"/>
      <c r="BO57" s="1121"/>
      <c r="BP57" s="1121"/>
      <c r="BQ57" s="1121"/>
      <c r="BR57" s="1121"/>
      <c r="BS57" s="1121"/>
      <c r="BT57" s="1121"/>
      <c r="BU57" s="1121"/>
      <c r="BV57" s="1121"/>
      <c r="BW57" s="1121"/>
      <c r="BX57" s="1121"/>
      <c r="BY57" s="1121"/>
      <c r="BZ57" s="1121"/>
      <c r="CA57" s="1121"/>
      <c r="CB57" s="1121"/>
      <c r="CC57" s="1121"/>
      <c r="CD57" s="1121"/>
      <c r="CE57" s="1121"/>
      <c r="CF57" s="1121"/>
      <c r="CG57" s="1121"/>
      <c r="CH57" s="1121"/>
      <c r="CI57" s="1121"/>
      <c r="CJ57" s="1121"/>
      <c r="CK57" s="1121"/>
      <c r="CL57" s="1121"/>
      <c r="CM57" s="1121"/>
      <c r="CN57" s="1121"/>
      <c r="CO57" s="1121"/>
      <c r="CP57" s="1121"/>
      <c r="CQ57" s="1121"/>
      <c r="CR57" s="1121"/>
      <c r="CS57" s="1121"/>
      <c r="CT57" s="1121"/>
      <c r="CU57" s="1121"/>
      <c r="CV57" s="1121"/>
      <c r="CW57" s="1121"/>
      <c r="CX57" s="1121"/>
      <c r="CY57" s="1121"/>
      <c r="CZ57" s="1121"/>
      <c r="DA57" s="1121"/>
      <c r="DB57" s="1121"/>
      <c r="DC57" s="1121"/>
      <c r="DD57" s="1121"/>
      <c r="DE57" s="1121"/>
      <c r="DF57" s="1121"/>
      <c r="DG57" s="1121"/>
      <c r="DH57" s="1121"/>
      <c r="DI57" s="1121"/>
      <c r="DJ57" s="1121"/>
      <c r="DK57" s="1120"/>
    </row>
    <row r="58" spans="1:115" ht="45" customHeight="1" thickBot="1">
      <c r="CD58" s="112"/>
    </row>
    <row r="59" spans="1:115" ht="89.25" thickBot="1">
      <c r="D59" s="113"/>
      <c r="E59" s="2672">
        <f>+SUM(E56)</f>
        <v>0</v>
      </c>
      <c r="F59" s="2673"/>
      <c r="G59" s="2673"/>
      <c r="H59" s="2673"/>
      <c r="I59" s="2673"/>
      <c r="J59" s="2673"/>
      <c r="K59" s="2673"/>
      <c r="L59" s="2673"/>
      <c r="M59" s="2673"/>
      <c r="N59" s="2673"/>
      <c r="O59" s="2673"/>
      <c r="P59" s="1395"/>
      <c r="Q59" s="1395"/>
      <c r="R59" s="1395"/>
      <c r="S59" s="1395"/>
      <c r="T59" s="1395"/>
      <c r="U59" s="1395"/>
      <c r="V59" s="1395"/>
      <c r="W59" s="1395"/>
      <c r="X59" s="1395"/>
      <c r="Y59" s="1395"/>
      <c r="Z59" s="1395"/>
      <c r="AA59" s="2677">
        <f>+AA56</f>
        <v>0</v>
      </c>
      <c r="AB59" s="2678"/>
      <c r="AC59" s="2678"/>
      <c r="AD59" s="2678"/>
      <c r="AE59" s="2678"/>
      <c r="AF59" s="2678"/>
      <c r="AG59" s="2678"/>
      <c r="AH59" s="2678"/>
      <c r="AI59" s="2678"/>
      <c r="AJ59" s="2678"/>
      <c r="AK59" s="2678"/>
      <c r="AL59" s="2678"/>
      <c r="AM59" s="2678"/>
      <c r="AN59" s="2678"/>
      <c r="AO59" s="2678"/>
      <c r="AP59" s="2678"/>
      <c r="AQ59" s="2678"/>
      <c r="AR59" s="2678"/>
      <c r="AS59" s="2678"/>
      <c r="AT59" s="2678"/>
      <c r="AU59" s="2678"/>
      <c r="AV59" s="2678"/>
      <c r="AW59" s="2678"/>
      <c r="AX59" s="2678"/>
      <c r="AY59" s="2678"/>
      <c r="AZ59" s="2678"/>
      <c r="BA59" s="2679"/>
      <c r="BB59" s="1395"/>
      <c r="BC59" s="877"/>
      <c r="BD59" s="2058"/>
      <c r="BE59" s="2031"/>
      <c r="BF59" s="2032"/>
      <c r="BG59" s="2032"/>
      <c r="CD59" s="112"/>
    </row>
    <row r="60" spans="1:115" ht="89.25" thickBot="1">
      <c r="E60" s="2662">
        <f>+E59*75/1000</f>
        <v>0</v>
      </c>
      <c r="F60" s="2662"/>
      <c r="G60" s="2662"/>
      <c r="H60" s="2662"/>
      <c r="I60" s="2662"/>
      <c r="J60" s="2662"/>
      <c r="K60" s="2662"/>
      <c r="L60" s="2662"/>
      <c r="M60" s="2662"/>
      <c r="N60" s="2662"/>
      <c r="O60" s="2662"/>
      <c r="P60" s="2222"/>
      <c r="Q60" s="2222"/>
      <c r="R60" s="2222"/>
      <c r="S60" s="2222"/>
      <c r="T60" s="2222"/>
      <c r="U60" s="2222"/>
      <c r="V60" s="2222"/>
      <c r="W60" s="2222"/>
      <c r="X60" s="2222"/>
      <c r="Y60" s="2222"/>
      <c r="Z60" s="2222"/>
      <c r="AA60" s="2662" t="s">
        <v>262</v>
      </c>
      <c r="AB60" s="2662"/>
      <c r="AC60" s="2662"/>
      <c r="AD60" s="2662"/>
      <c r="AE60" s="2662"/>
      <c r="AF60" s="2662"/>
      <c r="AG60" s="2662"/>
      <c r="AH60" s="2662"/>
      <c r="AI60" s="2662"/>
      <c r="AJ60" s="2662"/>
      <c r="AK60" s="2662"/>
      <c r="AL60" s="2662"/>
      <c r="AM60" s="2662"/>
      <c r="AN60" s="2662"/>
      <c r="AO60" s="2662"/>
      <c r="AP60" s="2662"/>
      <c r="AQ60" s="2662"/>
      <c r="AR60" s="2662"/>
      <c r="AS60" s="2662"/>
      <c r="AT60" s="2662"/>
      <c r="AU60" s="2662"/>
      <c r="AV60" s="2662"/>
      <c r="AW60" s="2662"/>
      <c r="AX60" s="2662"/>
      <c r="AY60" s="2662"/>
      <c r="AZ60" s="2662"/>
      <c r="BA60" s="2663"/>
      <c r="BB60" s="1395"/>
      <c r="BC60" s="1396"/>
      <c r="BD60" s="2059"/>
      <c r="BE60" s="2031"/>
      <c r="BF60" s="2032"/>
      <c r="BG60" s="2032"/>
      <c r="CD60" s="112"/>
    </row>
    <row r="61" spans="1:115" ht="75" customHeight="1" thickBot="1">
      <c r="E61" s="2664">
        <f>+E59+P59</f>
        <v>0</v>
      </c>
      <c r="F61" s="2665"/>
      <c r="G61" s="2665"/>
      <c r="H61" s="2665"/>
      <c r="I61" s="2665"/>
      <c r="J61" s="2665"/>
      <c r="K61" s="2665"/>
      <c r="L61" s="2665"/>
      <c r="M61" s="2665"/>
      <c r="N61" s="2665"/>
      <c r="O61" s="2665"/>
      <c r="P61" s="2665"/>
      <c r="Q61" s="2665"/>
      <c r="R61" s="2665"/>
      <c r="S61" s="2665"/>
      <c r="T61" s="2665"/>
      <c r="U61" s="2665"/>
      <c r="V61" s="2665"/>
      <c r="W61" s="2665"/>
      <c r="X61" s="2665"/>
      <c r="Y61" s="2665"/>
      <c r="Z61" s="2665"/>
      <c r="AA61" s="2665"/>
      <c r="AB61" s="2665"/>
      <c r="AC61" s="2665"/>
      <c r="AD61" s="2665"/>
      <c r="AE61" s="2665"/>
      <c r="AF61" s="2665"/>
      <c r="AG61" s="2665"/>
      <c r="AH61" s="2665"/>
      <c r="AI61" s="2665"/>
      <c r="AJ61" s="2665"/>
      <c r="AK61" s="2665"/>
      <c r="AL61" s="2665"/>
      <c r="AM61" s="2665"/>
      <c r="AN61" s="2665"/>
      <c r="AO61" s="2665"/>
      <c r="AP61" s="2665"/>
      <c r="AQ61" s="2665"/>
      <c r="AR61" s="2665"/>
      <c r="AS61" s="2665"/>
      <c r="AT61" s="2665"/>
      <c r="AU61" s="2665"/>
      <c r="AV61" s="2665"/>
      <c r="AW61" s="2665"/>
      <c r="AX61" s="2665"/>
      <c r="AY61" s="2665"/>
      <c r="AZ61" s="2665"/>
      <c r="BA61" s="2666"/>
      <c r="BB61" s="1395"/>
      <c r="BC61" s="1396"/>
      <c r="BD61" s="2031"/>
      <c r="BE61" s="2031"/>
      <c r="BF61" s="2032"/>
      <c r="BG61" s="2032"/>
      <c r="CD61" s="112"/>
    </row>
    <row r="62" spans="1:115" ht="89.25" customHeight="1">
      <c r="E62" s="2209"/>
      <c r="F62" s="2209"/>
      <c r="G62" s="2209"/>
      <c r="H62" s="2209"/>
      <c r="I62" s="2209"/>
      <c r="J62" s="2209"/>
      <c r="K62" s="2209"/>
      <c r="L62" s="2209"/>
      <c r="M62" s="2209"/>
      <c r="N62" s="2209"/>
      <c r="O62" s="2209"/>
      <c r="P62" s="2209"/>
      <c r="Q62" s="2209"/>
      <c r="R62" s="2209"/>
      <c r="S62" s="2209"/>
      <c r="T62" s="2209"/>
      <c r="U62" s="2209"/>
      <c r="V62" s="2209"/>
      <c r="W62" s="2209"/>
      <c r="X62" s="2209"/>
      <c r="Y62" s="2209"/>
      <c r="Z62" s="2209"/>
      <c r="AA62" s="2209"/>
      <c r="AB62" s="2209"/>
      <c r="AC62" s="2209"/>
      <c r="AD62" s="2209"/>
      <c r="AE62" s="2209"/>
      <c r="AF62" s="2209"/>
      <c r="AG62" s="2209"/>
      <c r="AH62" s="2209"/>
      <c r="AI62" s="2209"/>
      <c r="AJ62" s="2209"/>
      <c r="AK62" s="2209"/>
      <c r="AL62" s="2209"/>
      <c r="AM62" s="2209"/>
      <c r="AN62" s="2209"/>
      <c r="AO62" s="2209"/>
      <c r="AP62" s="2209"/>
      <c r="AQ62" s="2209"/>
      <c r="AR62" s="2209"/>
      <c r="AS62" s="2209"/>
      <c r="AT62" s="2209"/>
      <c r="AU62" s="2209"/>
      <c r="AV62" s="2209"/>
      <c r="AW62" s="2209"/>
      <c r="AX62" s="2209"/>
      <c r="AY62" s="2209"/>
      <c r="AZ62" s="2209"/>
      <c r="BA62" s="2209"/>
      <c r="BB62" s="1395"/>
      <c r="BC62" s="1396"/>
      <c r="BD62" s="2031"/>
      <c r="BE62" s="2031"/>
      <c r="BF62" s="2032"/>
      <c r="BG62" s="2032"/>
      <c r="CD62" s="112"/>
    </row>
    <row r="63" spans="1:115" ht="168" customHeight="1">
      <c r="E63" s="2209"/>
      <c r="F63" s="2209"/>
      <c r="G63" s="2209"/>
      <c r="H63" s="2209"/>
      <c r="I63" s="2209"/>
      <c r="J63" s="2209"/>
      <c r="K63" s="2209"/>
      <c r="L63" s="2209"/>
      <c r="M63" s="2209"/>
      <c r="N63" s="2209"/>
      <c r="O63" s="2209"/>
      <c r="P63" s="2209"/>
      <c r="Q63" s="2209"/>
      <c r="R63" s="2209"/>
      <c r="S63" s="2209"/>
      <c r="T63" s="2209"/>
      <c r="U63" s="2209"/>
      <c r="V63" s="2209"/>
      <c r="W63" s="2209"/>
      <c r="X63" s="2209"/>
      <c r="Y63" s="2209"/>
      <c r="Z63" s="2209"/>
      <c r="AA63" s="2209"/>
      <c r="AB63" s="2209"/>
      <c r="AC63" s="2209"/>
      <c r="AD63" s="2209"/>
      <c r="AE63" s="2209"/>
      <c r="AF63" s="2209"/>
      <c r="AG63" s="2209"/>
      <c r="AH63" s="2209"/>
      <c r="AI63" s="2209"/>
      <c r="AJ63" s="2209"/>
      <c r="AK63" s="2209"/>
      <c r="AL63" s="2209"/>
      <c r="AM63" s="2209"/>
      <c r="AN63" s="2209"/>
      <c r="AO63" s="2209"/>
      <c r="AP63" s="2209"/>
      <c r="AQ63" s="2209"/>
      <c r="AR63" s="2209"/>
      <c r="AS63" s="2209"/>
      <c r="AT63" s="2209"/>
      <c r="AU63" s="2209"/>
      <c r="AV63" s="2209"/>
      <c r="AW63" s="2209"/>
      <c r="AX63" s="2209"/>
      <c r="AY63" s="2209"/>
      <c r="AZ63" s="2209"/>
      <c r="BA63" s="2209"/>
      <c r="BB63" s="1395"/>
      <c r="BC63" s="1396"/>
      <c r="BD63" s="2031"/>
      <c r="BE63" s="2167"/>
      <c r="BF63" s="2032"/>
      <c r="BG63" s="2032"/>
      <c r="CD63" s="112"/>
    </row>
    <row r="64" spans="1:115" ht="60">
      <c r="P64" s="1395"/>
      <c r="Q64" s="1395"/>
      <c r="R64" s="1395"/>
      <c r="S64" s="1395"/>
      <c r="T64" s="1395"/>
      <c r="U64" s="1395"/>
      <c r="V64" s="1395"/>
      <c r="W64" s="1395"/>
      <c r="X64" s="1395"/>
      <c r="Y64" s="1395"/>
      <c r="Z64" s="1395"/>
      <c r="AA64" s="1395"/>
      <c r="AB64" s="1395"/>
      <c r="AC64" s="1395"/>
      <c r="AD64" s="1395"/>
      <c r="AE64" s="1395"/>
      <c r="AF64" s="1395"/>
      <c r="AG64" s="1395"/>
      <c r="AH64" s="1395"/>
      <c r="AI64" s="1395"/>
      <c r="AJ64" s="1395"/>
      <c r="AK64" s="1395"/>
      <c r="AL64" s="1395"/>
      <c r="AM64" s="1395"/>
      <c r="AN64" s="1395"/>
      <c r="AO64" s="1395"/>
      <c r="AP64" s="1395"/>
      <c r="AQ64" s="1395"/>
      <c r="AR64" s="1395"/>
      <c r="AS64" s="1395"/>
      <c r="AT64" s="1395"/>
      <c r="AU64" s="1395"/>
      <c r="AV64" s="1395"/>
      <c r="AW64" s="1395"/>
      <c r="AX64" s="1395"/>
      <c r="AY64" s="1395"/>
      <c r="AZ64" s="1395"/>
      <c r="BA64" s="1395"/>
      <c r="BB64" s="1395"/>
      <c r="BC64" s="1396"/>
      <c r="BD64" s="2168"/>
      <c r="BE64" s="2168"/>
      <c r="BF64" s="2030"/>
      <c r="BG64" s="2030"/>
      <c r="CD64" s="112"/>
    </row>
    <row r="65" spans="16:82" ht="60">
      <c r="P65" s="1395"/>
      <c r="Q65" s="1395"/>
      <c r="R65" s="1395"/>
      <c r="S65" s="1395"/>
      <c r="T65" s="1395"/>
      <c r="U65" s="1395"/>
      <c r="V65" s="1395"/>
      <c r="W65" s="1395"/>
      <c r="X65" s="1395"/>
      <c r="Y65" s="1395"/>
      <c r="Z65" s="1395"/>
      <c r="AA65" s="1395"/>
      <c r="AB65" s="1395"/>
      <c r="AC65" s="1395"/>
      <c r="AD65" s="1395"/>
      <c r="AE65" s="1395"/>
      <c r="AF65" s="1395"/>
      <c r="AG65" s="1395"/>
      <c r="AH65" s="1395"/>
      <c r="AI65" s="1395"/>
      <c r="AJ65" s="1395"/>
      <c r="AK65" s="1395"/>
      <c r="AL65" s="1395"/>
      <c r="AM65" s="1395"/>
      <c r="AN65" s="1395"/>
      <c r="AO65" s="1395"/>
      <c r="AP65" s="1395"/>
      <c r="AQ65" s="1395"/>
      <c r="AR65" s="1395"/>
      <c r="AS65" s="1395"/>
      <c r="AT65" s="1395"/>
      <c r="AU65" s="1395"/>
      <c r="AV65" s="1395"/>
      <c r="AW65" s="1395"/>
      <c r="AX65" s="1395"/>
      <c r="AY65" s="1395"/>
      <c r="AZ65" s="1395"/>
      <c r="BA65" s="1395"/>
      <c r="BB65" s="1395"/>
      <c r="BC65" s="1396"/>
      <c r="CD65" s="112"/>
    </row>
    <row r="66" spans="16:82" ht="60">
      <c r="P66" s="1395"/>
      <c r="Q66" s="1395"/>
      <c r="R66" s="1395"/>
      <c r="S66" s="1395"/>
      <c r="T66" s="1395"/>
      <c r="U66" s="1395"/>
      <c r="V66" s="1395"/>
      <c r="W66" s="1395"/>
      <c r="X66" s="1395"/>
      <c r="Y66" s="1395"/>
      <c r="Z66" s="1395"/>
      <c r="AA66" s="1395"/>
      <c r="AB66" s="1395"/>
      <c r="AC66" s="1395"/>
      <c r="AD66" s="1395"/>
      <c r="AE66" s="1395"/>
      <c r="AF66" s="1395"/>
      <c r="AG66" s="1395"/>
      <c r="AH66" s="1395"/>
      <c r="AI66" s="1395"/>
      <c r="AJ66" s="1395"/>
      <c r="AK66" s="1395"/>
      <c r="AL66" s="1395"/>
      <c r="AM66" s="1395"/>
      <c r="AN66" s="1395"/>
      <c r="AO66" s="1395"/>
      <c r="AP66" s="1395"/>
      <c r="AQ66" s="1395"/>
      <c r="AR66" s="1395"/>
      <c r="AS66" s="1395"/>
      <c r="AT66" s="1395"/>
      <c r="AU66" s="1395"/>
      <c r="AV66" s="1395"/>
      <c r="AW66" s="1395"/>
      <c r="AX66" s="1395"/>
      <c r="AY66" s="1395"/>
      <c r="AZ66" s="1395"/>
      <c r="BA66" s="1395"/>
      <c r="BB66" s="1395"/>
      <c r="BC66" s="1396"/>
      <c r="CD66" s="112"/>
    </row>
    <row r="67" spans="16:82" ht="60">
      <c r="P67" s="1395"/>
      <c r="Q67" s="1395"/>
      <c r="R67" s="1395"/>
      <c r="S67" s="1395"/>
      <c r="T67" s="1395"/>
      <c r="U67" s="1395"/>
      <c r="V67" s="1395"/>
      <c r="W67" s="1395"/>
      <c r="X67" s="1395"/>
      <c r="Y67" s="1395"/>
      <c r="Z67" s="1395"/>
      <c r="AA67" s="1395"/>
      <c r="AB67" s="1395"/>
      <c r="AC67" s="1395"/>
      <c r="AD67" s="1395"/>
      <c r="AE67" s="1395"/>
      <c r="AF67" s="1395"/>
      <c r="AG67" s="1395"/>
      <c r="AH67" s="1395"/>
      <c r="AI67" s="1395"/>
      <c r="AJ67" s="1395"/>
      <c r="AK67" s="1395"/>
      <c r="AL67" s="1395"/>
      <c r="AM67" s="1395"/>
      <c r="AN67" s="1395"/>
      <c r="AO67" s="1395"/>
      <c r="AP67" s="1395"/>
      <c r="AQ67" s="1395"/>
      <c r="AR67" s="1395"/>
      <c r="AS67" s="1395"/>
      <c r="AT67" s="1395"/>
      <c r="AU67" s="1395"/>
      <c r="AV67" s="1395"/>
      <c r="AW67" s="1395"/>
      <c r="AX67" s="1395"/>
      <c r="AY67" s="1395"/>
      <c r="AZ67" s="1395"/>
      <c r="BA67" s="1395"/>
      <c r="BB67" s="1395"/>
      <c r="BC67" s="1396"/>
      <c r="CD67" s="112"/>
    </row>
    <row r="68" spans="16:82" ht="60">
      <c r="P68" s="1395"/>
      <c r="Q68" s="1395"/>
      <c r="R68" s="1395"/>
      <c r="S68" s="1395"/>
      <c r="T68" s="1395"/>
      <c r="U68" s="1395"/>
      <c r="V68" s="1395"/>
      <c r="W68" s="1395"/>
      <c r="X68" s="1395"/>
      <c r="Y68" s="1395"/>
      <c r="Z68" s="1395"/>
      <c r="AA68" s="1395"/>
      <c r="AB68" s="1395"/>
      <c r="AC68" s="1395"/>
      <c r="AD68" s="1395"/>
      <c r="AE68" s="1395"/>
      <c r="AF68" s="1395"/>
      <c r="AG68" s="1395"/>
      <c r="AH68" s="1395"/>
      <c r="AI68" s="1395"/>
      <c r="AJ68" s="1395"/>
      <c r="AK68" s="1395"/>
      <c r="AL68" s="1395"/>
      <c r="AM68" s="1395"/>
      <c r="AN68" s="1395"/>
      <c r="AO68" s="1395"/>
      <c r="AP68" s="1395"/>
      <c r="AQ68" s="1395"/>
      <c r="AR68" s="1395"/>
      <c r="AS68" s="1395"/>
      <c r="AT68" s="1395"/>
      <c r="AU68" s="1395"/>
      <c r="AV68" s="1395"/>
      <c r="AW68" s="1395"/>
      <c r="AX68" s="1395"/>
      <c r="AY68" s="1395"/>
      <c r="AZ68" s="1395"/>
      <c r="BA68" s="1395"/>
      <c r="BB68" s="1395"/>
      <c r="BC68" s="1396"/>
    </row>
    <row r="69" spans="16:82" ht="60">
      <c r="P69" s="1395"/>
      <c r="Q69" s="1395"/>
      <c r="R69" s="1395"/>
      <c r="S69" s="1395"/>
      <c r="T69" s="1395"/>
      <c r="U69" s="1395"/>
      <c r="V69" s="1395"/>
      <c r="W69" s="1395"/>
      <c r="X69" s="1395"/>
      <c r="Y69" s="1395"/>
      <c r="Z69" s="1395"/>
      <c r="AA69" s="1395"/>
      <c r="AB69" s="1395"/>
      <c r="AC69" s="1395"/>
      <c r="AD69" s="1395"/>
      <c r="AE69" s="1395"/>
      <c r="AF69" s="1395"/>
      <c r="AG69" s="1395"/>
      <c r="AH69" s="1395"/>
      <c r="AI69" s="1395"/>
      <c r="AJ69" s="1395"/>
      <c r="AK69" s="1395"/>
      <c r="AL69" s="1395"/>
      <c r="AM69" s="1395"/>
      <c r="AN69" s="1395"/>
      <c r="AO69" s="1395"/>
      <c r="AP69" s="1395"/>
      <c r="AQ69" s="1395"/>
      <c r="AR69" s="1395"/>
      <c r="AS69" s="1395"/>
      <c r="AT69" s="1395"/>
      <c r="AU69" s="1395"/>
      <c r="AV69" s="1395"/>
      <c r="AW69" s="1395"/>
      <c r="AX69" s="1395"/>
      <c r="AY69" s="1395"/>
      <c r="AZ69" s="1395"/>
      <c r="BA69" s="1395"/>
      <c r="BB69" s="1395"/>
      <c r="BC69" s="1396"/>
    </row>
    <row r="70" spans="16:82" ht="60">
      <c r="P70" s="1395"/>
      <c r="Q70" s="1395"/>
      <c r="R70" s="1395"/>
      <c r="S70" s="1395"/>
      <c r="T70" s="1395"/>
      <c r="U70" s="1395"/>
      <c r="V70" s="1395"/>
      <c r="W70" s="1395"/>
      <c r="X70" s="1395"/>
      <c r="Y70" s="1395"/>
      <c r="Z70" s="1395"/>
      <c r="AA70" s="1395"/>
      <c r="AB70" s="1395"/>
      <c r="AC70" s="1395"/>
      <c r="AD70" s="1395"/>
      <c r="AE70" s="1395"/>
      <c r="AF70" s="1395"/>
      <c r="AG70" s="1395"/>
      <c r="AH70" s="1395"/>
      <c r="AI70" s="1395"/>
      <c r="AJ70" s="1395"/>
      <c r="AK70" s="1395"/>
      <c r="AL70" s="1395"/>
      <c r="AM70" s="1395"/>
      <c r="AN70" s="1395"/>
      <c r="AO70" s="1395"/>
      <c r="AP70" s="1395"/>
      <c r="AQ70" s="1395"/>
      <c r="AR70" s="1395"/>
      <c r="AS70" s="1395"/>
      <c r="AT70" s="1395"/>
      <c r="AU70" s="1395"/>
      <c r="AV70" s="1395"/>
      <c r="AW70" s="1395"/>
      <c r="AX70" s="1395"/>
      <c r="AY70" s="1395"/>
      <c r="AZ70" s="1395"/>
      <c r="BA70" s="1395"/>
      <c r="BB70" s="1395"/>
      <c r="BC70" s="1396"/>
    </row>
    <row r="71" spans="16:82" ht="60">
      <c r="P71" s="1395"/>
      <c r="Q71" s="1395"/>
      <c r="R71" s="1395"/>
      <c r="S71" s="1395"/>
      <c r="T71" s="1395"/>
      <c r="U71" s="1395"/>
      <c r="V71" s="1395"/>
      <c r="W71" s="1395"/>
      <c r="X71" s="1395"/>
      <c r="Y71" s="1395"/>
      <c r="Z71" s="1395"/>
      <c r="AA71" s="1395"/>
      <c r="AB71" s="1395"/>
      <c r="AC71" s="1395"/>
      <c r="AD71" s="1395"/>
      <c r="AE71" s="1395"/>
      <c r="AF71" s="1395"/>
      <c r="AG71" s="1395"/>
      <c r="AH71" s="1395"/>
      <c r="AI71" s="1395"/>
      <c r="AJ71" s="1395"/>
      <c r="AK71" s="1395"/>
      <c r="AL71" s="1395"/>
      <c r="AM71" s="1395"/>
      <c r="AN71" s="1395"/>
      <c r="AO71" s="1395"/>
      <c r="AP71" s="1395"/>
      <c r="AQ71" s="1395"/>
      <c r="AR71" s="1395"/>
      <c r="AS71" s="1395"/>
      <c r="AT71" s="1395"/>
      <c r="AU71" s="1395"/>
      <c r="AV71" s="1395"/>
      <c r="AW71" s="1395"/>
      <c r="AX71" s="1395"/>
      <c r="AY71" s="1395"/>
      <c r="AZ71" s="1395"/>
      <c r="BA71" s="1395"/>
      <c r="BB71" s="1395"/>
      <c r="BC71" s="1396"/>
    </row>
    <row r="72" spans="16:82" ht="60">
      <c r="P72" s="1395"/>
      <c r="Q72" s="1395"/>
      <c r="R72" s="1395"/>
      <c r="S72" s="1395"/>
      <c r="T72" s="1395"/>
      <c r="U72" s="1395"/>
      <c r="V72" s="1395"/>
      <c r="W72" s="1395"/>
      <c r="X72" s="1395"/>
      <c r="Y72" s="1395"/>
      <c r="Z72" s="1395"/>
      <c r="AA72" s="1395"/>
      <c r="AB72" s="1395"/>
      <c r="AC72" s="1395"/>
      <c r="AD72" s="1395"/>
      <c r="AE72" s="1395"/>
      <c r="AF72" s="1395"/>
      <c r="AG72" s="1395"/>
      <c r="AH72" s="1395"/>
      <c r="AI72" s="1395"/>
      <c r="AJ72" s="1395"/>
      <c r="AK72" s="1395"/>
      <c r="AL72" s="1395"/>
      <c r="AM72" s="1395"/>
      <c r="AN72" s="1395"/>
      <c r="AO72" s="1395"/>
      <c r="AP72" s="1395"/>
      <c r="AQ72" s="1395"/>
      <c r="AR72" s="1395"/>
      <c r="AS72" s="1395"/>
      <c r="AT72" s="1395"/>
      <c r="AU72" s="1395"/>
      <c r="AV72" s="1395"/>
      <c r="AW72" s="1395"/>
      <c r="AX72" s="1395"/>
      <c r="AY72" s="1395"/>
      <c r="AZ72" s="1395"/>
      <c r="BA72" s="1395"/>
      <c r="BB72" s="1395"/>
      <c r="BC72" s="1396"/>
    </row>
    <row r="73" spans="16:82" ht="60">
      <c r="P73" s="1395"/>
      <c r="Q73" s="1395"/>
      <c r="R73" s="1395"/>
      <c r="S73" s="1395"/>
      <c r="T73" s="1395"/>
      <c r="U73" s="1395"/>
      <c r="V73" s="1395"/>
      <c r="W73" s="1395"/>
      <c r="X73" s="1395"/>
      <c r="Y73" s="1395"/>
      <c r="Z73" s="1395"/>
      <c r="AA73" s="1395"/>
      <c r="AB73" s="1395"/>
      <c r="AC73" s="1395"/>
      <c r="AD73" s="1395"/>
      <c r="AE73" s="1395"/>
      <c r="AF73" s="1395"/>
      <c r="AG73" s="1395"/>
      <c r="AH73" s="1395"/>
      <c r="AI73" s="1395"/>
      <c r="AJ73" s="1395"/>
      <c r="AK73" s="1395"/>
      <c r="AL73" s="1395"/>
      <c r="AM73" s="1395"/>
      <c r="AN73" s="1395"/>
      <c r="AO73" s="1395"/>
      <c r="AP73" s="1395"/>
      <c r="AQ73" s="1395"/>
      <c r="AR73" s="1395"/>
      <c r="AS73" s="1395"/>
      <c r="AT73" s="1395"/>
      <c r="AU73" s="1395"/>
      <c r="AV73" s="1395"/>
      <c r="AW73" s="1395"/>
      <c r="AX73" s="1395"/>
      <c r="AY73" s="1395"/>
      <c r="AZ73" s="1395"/>
      <c r="BA73" s="1395"/>
      <c r="BB73" s="1395"/>
      <c r="BC73" s="1396"/>
    </row>
    <row r="74" spans="16:82" ht="60">
      <c r="P74" s="1395"/>
      <c r="Q74" s="1395"/>
      <c r="R74" s="1395"/>
      <c r="S74" s="1395"/>
      <c r="T74" s="1395"/>
      <c r="U74" s="1395"/>
      <c r="V74" s="1395"/>
      <c r="W74" s="1395"/>
      <c r="X74" s="1395"/>
      <c r="Y74" s="1395"/>
      <c r="Z74" s="1395"/>
      <c r="AA74" s="1395"/>
      <c r="AB74" s="1395"/>
      <c r="AC74" s="1395"/>
      <c r="AD74" s="1395"/>
      <c r="AE74" s="1395"/>
      <c r="AF74" s="1395"/>
      <c r="AG74" s="1395"/>
      <c r="AH74" s="1395"/>
      <c r="AI74" s="1395"/>
      <c r="AJ74" s="1395"/>
      <c r="AK74" s="1395"/>
      <c r="AL74" s="1395"/>
      <c r="AM74" s="1395"/>
      <c r="AN74" s="1395"/>
      <c r="AO74" s="1395"/>
      <c r="AP74" s="1395"/>
      <c r="AQ74" s="1395"/>
      <c r="AR74" s="1395"/>
      <c r="AS74" s="1395"/>
      <c r="AT74" s="1395"/>
      <c r="AU74" s="1395"/>
      <c r="AV74" s="1395"/>
      <c r="AW74" s="1395"/>
      <c r="AX74" s="1395"/>
      <c r="AY74" s="1395"/>
      <c r="AZ74" s="1395"/>
      <c r="BA74" s="1395"/>
      <c r="BB74" s="1395"/>
      <c r="BC74" s="1396"/>
    </row>
    <row r="75" spans="16:82" ht="60">
      <c r="P75" s="1395"/>
      <c r="Q75" s="1395"/>
      <c r="R75" s="1395"/>
      <c r="S75" s="1395"/>
      <c r="T75" s="1395"/>
      <c r="U75" s="1395"/>
      <c r="V75" s="1395"/>
      <c r="W75" s="1395"/>
      <c r="X75" s="1395"/>
      <c r="Y75" s="1395"/>
      <c r="Z75" s="1395"/>
      <c r="AA75" s="1395"/>
      <c r="AB75" s="1395"/>
      <c r="AC75" s="1395"/>
      <c r="AD75" s="1395"/>
      <c r="AE75" s="1395"/>
      <c r="AF75" s="1395"/>
      <c r="AG75" s="1395"/>
      <c r="AH75" s="1395"/>
      <c r="AI75" s="1395"/>
      <c r="AJ75" s="1395"/>
      <c r="AK75" s="1395"/>
      <c r="AL75" s="1395"/>
      <c r="AM75" s="1395"/>
      <c r="AN75" s="1395"/>
      <c r="AO75" s="1395"/>
      <c r="AP75" s="1395"/>
      <c r="AQ75" s="1395"/>
      <c r="AR75" s="1395"/>
      <c r="AS75" s="1395"/>
      <c r="AT75" s="1395"/>
      <c r="AU75" s="1395"/>
      <c r="AV75" s="1395"/>
      <c r="AW75" s="1395"/>
      <c r="AX75" s="1395"/>
      <c r="AY75" s="1395"/>
      <c r="AZ75" s="1395"/>
      <c r="BA75" s="1395"/>
      <c r="BB75" s="1395"/>
      <c r="BC75" s="1396"/>
    </row>
    <row r="83" spans="4:4">
      <c r="D83" s="2051"/>
    </row>
    <row r="84" spans="4:4">
      <c r="D84" s="2051"/>
    </row>
    <row r="85" spans="4:4">
      <c r="D85" s="2051"/>
    </row>
    <row r="86" spans="4:4">
      <c r="D86" s="2051"/>
    </row>
    <row r="87" spans="4:4">
      <c r="D87" s="2051"/>
    </row>
    <row r="88" spans="4:4">
      <c r="D88" s="2051"/>
    </row>
    <row r="89" spans="4:4">
      <c r="D89" s="2051"/>
    </row>
    <row r="90" spans="4:4">
      <c r="D90" s="2051"/>
    </row>
    <row r="91" spans="4:4">
      <c r="D91" s="2051"/>
    </row>
    <row r="92" spans="4:4">
      <c r="D92" s="2051"/>
    </row>
    <row r="93" spans="4:4">
      <c r="D93" s="2051"/>
    </row>
    <row r="94" spans="4:4">
      <c r="D94" s="2051"/>
    </row>
    <row r="95" spans="4:4">
      <c r="D95" s="2051"/>
    </row>
    <row r="96" spans="4:4">
      <c r="D96" s="2051"/>
    </row>
    <row r="97" spans="4:4">
      <c r="D97" s="2051"/>
    </row>
    <row r="98" spans="4:4">
      <c r="D98" s="2051"/>
    </row>
    <row r="99" spans="4:4">
      <c r="D99" s="2051"/>
    </row>
  </sheetData>
  <sheetProtection formatCells="0" formatColumns="0" formatRows="0" insertColumns="0" insertRows="0" insertHyperlinks="0" deleteColumns="0" deleteRows="0" sort="0" autoFilter="0" pivotTables="0"/>
  <autoFilter ref="D5:D54" xr:uid="{BF03F314-369A-4ACC-95CC-E81544E6A6FF}"/>
  <mergeCells count="16">
    <mergeCell ref="BK4:DK4"/>
    <mergeCell ref="A5:A54"/>
    <mergeCell ref="C2:D2"/>
    <mergeCell ref="E2:K2"/>
    <mergeCell ref="E4:G4"/>
    <mergeCell ref="M2:N2"/>
    <mergeCell ref="P2:R2"/>
    <mergeCell ref="AA60:BA60"/>
    <mergeCell ref="E61:BA61"/>
    <mergeCell ref="E56:O56"/>
    <mergeCell ref="E57:O57"/>
    <mergeCell ref="E59:O59"/>
    <mergeCell ref="E60:O60"/>
    <mergeCell ref="AA56:BA56"/>
    <mergeCell ref="AA57:BA57"/>
    <mergeCell ref="AA59:BA59"/>
  </mergeCells>
  <phoneticPr fontId="8" type="noConversion"/>
  <printOptions horizontalCentered="1"/>
  <pageMargins left="0.44" right="0.34" top="0.5" bottom="0.47" header="0.31496062992125984" footer="0.31496062992125984"/>
  <pageSetup paperSize="9" scale="20" fitToWidth="0" orientation="landscape" r:id="rId1"/>
  <ignoredErrors>
    <ignoredError sqref="X54" formulaRange="1"/>
  </ignoredError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701EC-5CF8-48E2-AE12-A2A6E2793001}">
  <sheetPr codeName="Hoja18">
    <pageSetUpPr fitToPage="1"/>
  </sheetPr>
  <dimension ref="A1:FK321"/>
  <sheetViews>
    <sheetView zoomScale="115" zoomScaleNormal="115" zoomScaleSheetLayoutView="50" workbookViewId="0">
      <pane xSplit="1" ySplit="5" topLeftCell="B6" activePane="bottomRight" state="frozen"/>
      <selection activeCell="C32" sqref="C32"/>
      <selection pane="topRight" activeCell="C32" sqref="C32"/>
      <selection pane="bottomLeft" activeCell="C32" sqref="C32"/>
      <selection pane="bottomRight" activeCell="P26" sqref="P26"/>
    </sheetView>
  </sheetViews>
  <sheetFormatPr baseColWidth="10" defaultRowHeight="16.5"/>
  <cols>
    <col min="1" max="1" width="5.28515625" style="26" customWidth="1"/>
    <col min="2" max="2" width="5.140625" style="28" bestFit="1" customWidth="1"/>
    <col min="3" max="3" width="41.42578125" style="26" customWidth="1"/>
    <col min="4" max="12" width="3.28515625" style="26" customWidth="1"/>
    <col min="13" max="21" width="4.28515625" style="26" customWidth="1"/>
    <col min="22" max="22" width="5" style="26" customWidth="1"/>
    <col min="23" max="24" width="4.7109375" style="26" customWidth="1"/>
    <col min="25" max="74" width="4.28515625" style="26" customWidth="1"/>
    <col min="75" max="79" width="4.28515625" style="26" bestFit="1" customWidth="1"/>
    <col min="80" max="80" width="6.85546875" style="26" customWidth="1"/>
    <col min="81" max="81" width="13" style="28" bestFit="1" customWidth="1"/>
    <col min="82" max="82" width="16.28515625" style="28" bestFit="1" customWidth="1"/>
    <col min="83" max="83" width="13.7109375" style="28" bestFit="1" customWidth="1"/>
    <col min="84" max="84" width="11.42578125" style="26"/>
    <col min="85" max="85" width="7.42578125" style="26" bestFit="1" customWidth="1"/>
    <col min="86" max="86" width="46.7109375" style="26" customWidth="1"/>
    <col min="87" max="99" width="5" style="26" hidden="1" customWidth="1"/>
    <col min="100" max="100" width="5.7109375" style="26" customWidth="1"/>
    <col min="101" max="117" width="5" style="26" customWidth="1"/>
    <col min="118" max="124" width="7" style="26" customWidth="1"/>
    <col min="125" max="125" width="7" style="1544" customWidth="1"/>
    <col min="126" max="128" width="7" style="26" customWidth="1"/>
    <col min="129" max="129" width="7" style="1544" customWidth="1"/>
    <col min="130" max="133" width="7" style="26" customWidth="1"/>
    <col min="134" max="135" width="7" style="1544" customWidth="1"/>
    <col min="136" max="142" width="7" style="26" customWidth="1"/>
    <col min="143" max="145" width="6.140625" style="26" customWidth="1"/>
    <col min="146" max="146" width="7" style="26" customWidth="1"/>
    <col min="147" max="147" width="6.140625" style="26" customWidth="1"/>
    <col min="148" max="163" width="7" style="26" customWidth="1"/>
    <col min="164" max="166" width="14.85546875" style="26" customWidth="1"/>
    <col min="167" max="167" width="7" style="26" bestFit="1" customWidth="1"/>
    <col min="168" max="16384" width="11.42578125" style="26"/>
  </cols>
  <sheetData>
    <row r="1" spans="1:167" ht="4.5" customHeight="1" thickBot="1">
      <c r="A1" s="1221"/>
      <c r="B1" s="1221"/>
      <c r="C1" s="1222"/>
      <c r="D1" s="1223"/>
      <c r="E1" s="1223"/>
      <c r="F1" s="1223"/>
      <c r="G1" s="1223"/>
      <c r="H1" s="1223"/>
      <c r="I1" s="1223"/>
      <c r="J1" s="1223"/>
      <c r="K1" s="1223"/>
      <c r="L1" s="1223"/>
      <c r="M1" s="1223"/>
      <c r="N1" s="1221"/>
      <c r="O1" s="1221"/>
      <c r="P1" s="1221"/>
      <c r="Q1" s="1221"/>
      <c r="R1" s="1221"/>
      <c r="S1" s="1221"/>
      <c r="T1" s="1221"/>
      <c r="U1" s="1221"/>
      <c r="V1" s="1221"/>
      <c r="W1" s="1221"/>
      <c r="X1" s="1221"/>
      <c r="Y1" s="1221"/>
      <c r="Z1" s="1221"/>
      <c r="AA1" s="1221"/>
      <c r="AB1" s="1221"/>
      <c r="AC1" s="1221"/>
      <c r="AD1" s="1221"/>
      <c r="AE1" s="1221"/>
      <c r="AF1" s="1221"/>
      <c r="AG1" s="1221"/>
      <c r="AH1" s="1221"/>
      <c r="AI1" s="1221"/>
      <c r="AJ1" s="1221"/>
      <c r="AK1" s="1221"/>
      <c r="AL1" s="1221"/>
      <c r="AM1" s="1221"/>
      <c r="AN1" s="1221"/>
      <c r="AO1" s="1221"/>
      <c r="AP1" s="1221"/>
      <c r="AQ1" s="1221"/>
      <c r="AR1" s="1221"/>
      <c r="AS1" s="1221"/>
      <c r="AT1" s="1221"/>
      <c r="AU1" s="1221"/>
      <c r="AV1" s="1221"/>
      <c r="AW1" s="1221"/>
      <c r="AX1" s="1221"/>
      <c r="AY1" s="1221"/>
      <c r="AZ1" s="1221"/>
      <c r="BA1" s="1221"/>
      <c r="BB1" s="1221"/>
      <c r="BC1" s="1221"/>
      <c r="BD1" s="1221"/>
      <c r="BE1" s="1221"/>
      <c r="BF1" s="1221"/>
      <c r="BG1" s="1221"/>
      <c r="BH1" s="1221"/>
      <c r="BI1" s="1221"/>
      <c r="BJ1" s="1221"/>
      <c r="BK1" s="1221"/>
      <c r="BL1" s="1221"/>
      <c r="BM1" s="1221"/>
      <c r="BN1" s="1221"/>
      <c r="BO1" s="1221"/>
      <c r="BP1" s="1221"/>
      <c r="BQ1" s="1221"/>
      <c r="BR1" s="1221"/>
      <c r="BS1" s="1221"/>
      <c r="BT1" s="1221"/>
      <c r="BU1" s="1221"/>
      <c r="BV1" s="1221"/>
      <c r="BW1" s="1221"/>
      <c r="BX1" s="1221"/>
      <c r="BY1" s="1221"/>
      <c r="BZ1" s="1221"/>
      <c r="CA1" s="1221"/>
      <c r="CB1" s="1221"/>
      <c r="CC1" s="1221"/>
      <c r="CD1" s="1221"/>
      <c r="CE1" s="1221"/>
      <c r="CF1" s="1220"/>
      <c r="CG1" s="1220"/>
      <c r="CH1" s="1220"/>
      <c r="CI1" s="1220"/>
      <c r="CJ1" s="1220"/>
      <c r="CK1" s="1220"/>
      <c r="CL1" s="1220"/>
      <c r="CM1" s="1220"/>
      <c r="CN1" s="1220"/>
      <c r="CO1" s="1220"/>
      <c r="CP1" s="1220"/>
      <c r="CQ1" s="1220"/>
      <c r="CR1" s="1220"/>
      <c r="CS1" s="1220"/>
      <c r="CT1" s="1220"/>
      <c r="CU1" s="1220"/>
      <c r="CV1" s="1220"/>
      <c r="CW1" s="1220"/>
      <c r="CX1" s="1220"/>
      <c r="CY1" s="1220"/>
      <c r="CZ1" s="1220"/>
      <c r="DA1" s="1220"/>
      <c r="DB1" s="1220"/>
      <c r="DC1" s="1220"/>
      <c r="DD1" s="1220"/>
      <c r="DE1" s="1220"/>
      <c r="DF1" s="1220"/>
      <c r="DG1" s="1220"/>
      <c r="DH1" s="1220"/>
      <c r="DI1" s="1220"/>
      <c r="DJ1" s="1220"/>
      <c r="DK1" s="1220"/>
      <c r="DL1" s="1220"/>
      <c r="DM1" s="1220"/>
      <c r="DN1" s="1220"/>
      <c r="DO1" s="1220"/>
      <c r="DP1" s="1220"/>
      <c r="DQ1" s="1220"/>
      <c r="DR1" s="1220"/>
      <c r="DS1" s="1220"/>
      <c r="DT1" s="1220"/>
      <c r="DU1" s="1220"/>
      <c r="DV1" s="1220"/>
      <c r="DW1" s="1220"/>
      <c r="DX1" s="1220"/>
      <c r="DY1" s="1220"/>
      <c r="DZ1" s="1220"/>
      <c r="EA1" s="1220"/>
      <c r="EB1" s="1220"/>
      <c r="EC1" s="1220"/>
      <c r="ED1" s="1220"/>
      <c r="EE1" s="1220"/>
      <c r="EF1" s="1220"/>
      <c r="EG1" s="1220"/>
      <c r="EH1" s="1220"/>
      <c r="EI1" s="1220"/>
      <c r="EJ1" s="1220"/>
      <c r="EK1" s="1220"/>
      <c r="EL1" s="1220"/>
      <c r="EM1" s="1220"/>
      <c r="EN1" s="1220"/>
      <c r="EO1" s="1220"/>
      <c r="EP1" s="1220"/>
      <c r="EQ1" s="1220"/>
      <c r="ER1" s="1220"/>
      <c r="ES1" s="1220"/>
      <c r="ET1" s="1220"/>
      <c r="EU1" s="1220"/>
      <c r="EV1" s="1220"/>
      <c r="EW1" s="1220"/>
      <c r="EX1" s="1220"/>
      <c r="EY1" s="1220"/>
      <c r="EZ1" s="1220"/>
      <c r="FA1" s="1220"/>
      <c r="FB1" s="1220"/>
      <c r="FC1" s="1220"/>
      <c r="FD1" s="1220"/>
      <c r="FE1" s="1220"/>
      <c r="FF1" s="1220"/>
      <c r="FG1" s="1220"/>
      <c r="FH1" s="1220"/>
      <c r="FI1" s="1220"/>
      <c r="FJ1" s="1220"/>
      <c r="FK1" s="1220"/>
    </row>
    <row r="2" spans="1:167" ht="21.75" customHeight="1" thickBot="1">
      <c r="A2" s="1224"/>
      <c r="B2" s="2726" t="s">
        <v>41</v>
      </c>
      <c r="C2" s="2727"/>
      <c r="D2" s="2728" t="s">
        <v>730</v>
      </c>
      <c r="E2" s="2729"/>
      <c r="F2" s="2729"/>
      <c r="G2" s="2729"/>
      <c r="H2" s="2729"/>
      <c r="I2" s="2729"/>
      <c r="J2" s="2729"/>
      <c r="K2" s="2729"/>
      <c r="L2" s="2729"/>
      <c r="M2" s="2730"/>
      <c r="N2" s="1224"/>
      <c r="O2" s="1224"/>
      <c r="P2" s="1224"/>
      <c r="Q2" s="1220"/>
      <c r="R2" s="1220"/>
      <c r="S2" s="1224"/>
      <c r="T2" s="1224"/>
      <c r="U2" s="1225"/>
      <c r="V2" s="2731" t="s">
        <v>444</v>
      </c>
      <c r="W2" s="2731"/>
      <c r="X2" s="2731"/>
      <c r="Y2" s="1226"/>
      <c r="Z2" s="2731" t="s">
        <v>130</v>
      </c>
      <c r="AA2" s="2731"/>
      <c r="AB2" s="2731"/>
      <c r="AC2" s="1224"/>
      <c r="AD2" s="1224"/>
      <c r="AE2" s="1224"/>
      <c r="AF2" s="1224"/>
      <c r="AG2" s="1224"/>
      <c r="AH2" s="1224"/>
      <c r="AI2" s="1224"/>
      <c r="AJ2" s="1224"/>
      <c r="AK2" s="1224"/>
      <c r="AL2" s="1224"/>
      <c r="AM2" s="1224"/>
      <c r="AN2" s="1224"/>
      <c r="AO2" s="1224"/>
      <c r="AP2" s="1224"/>
      <c r="AQ2" s="1224"/>
      <c r="AR2" s="1224"/>
      <c r="AS2" s="1224"/>
      <c r="AT2" s="1224"/>
      <c r="AU2" s="1224"/>
      <c r="AV2" s="1224"/>
      <c r="AW2" s="1224"/>
      <c r="AX2" s="1224"/>
      <c r="AY2" s="1224"/>
      <c r="AZ2" s="1224"/>
      <c r="BA2" s="1224"/>
      <c r="BB2" s="1224"/>
      <c r="BC2" s="1224"/>
      <c r="BD2" s="1224"/>
      <c r="BE2" s="1224"/>
      <c r="BF2" s="1224"/>
      <c r="BG2" s="1224"/>
      <c r="BH2" s="1224"/>
      <c r="BI2" s="1224"/>
      <c r="BJ2" s="1224"/>
      <c r="BK2" s="1224"/>
      <c r="BL2" s="1224"/>
      <c r="BM2" s="1224"/>
      <c r="BN2" s="1224"/>
      <c r="BO2" s="1224"/>
      <c r="BP2" s="1224"/>
      <c r="BQ2" s="1224"/>
      <c r="BR2" s="1227"/>
      <c r="BS2" s="1227"/>
      <c r="BT2" s="1227"/>
      <c r="BU2" s="1227"/>
      <c r="BV2" s="1227"/>
      <c r="BW2" s="1227"/>
      <c r="BX2" s="1227"/>
      <c r="BY2" s="1227"/>
      <c r="BZ2" s="1227"/>
      <c r="CA2" s="1227"/>
      <c r="CB2" s="1227"/>
      <c r="CC2" s="1227"/>
      <c r="CD2" s="1227"/>
      <c r="CE2" s="1227"/>
      <c r="CF2" s="1220"/>
      <c r="CG2" s="1220"/>
      <c r="CH2" s="1220"/>
      <c r="CI2" s="1220"/>
      <c r="CJ2" s="1220"/>
      <c r="CK2" s="1220"/>
      <c r="CL2" s="1220"/>
      <c r="CM2" s="1220"/>
      <c r="CN2" s="1220"/>
      <c r="CO2" s="1220"/>
      <c r="CP2" s="1220"/>
      <c r="CQ2" s="1220"/>
      <c r="CR2" s="1220"/>
      <c r="CS2" s="1220"/>
      <c r="CT2" s="1220"/>
      <c r="CU2" s="1220"/>
      <c r="CV2" s="1220"/>
      <c r="CW2" s="1220"/>
      <c r="CX2" s="1220"/>
      <c r="CY2" s="1220"/>
      <c r="CZ2" s="1220"/>
      <c r="DA2" s="1220"/>
      <c r="DB2" s="1220"/>
      <c r="DC2" s="1220"/>
      <c r="DD2" s="1220"/>
      <c r="DE2" s="1220"/>
      <c r="DF2" s="1220"/>
      <c r="DG2" s="1220"/>
      <c r="DH2" s="1220"/>
      <c r="DI2" s="1220"/>
      <c r="DJ2" s="1220"/>
      <c r="DK2" s="1220"/>
      <c r="DL2" s="1220"/>
      <c r="DM2" s="1220"/>
      <c r="DN2" s="1220"/>
      <c r="DO2" s="1220"/>
      <c r="DP2" s="1220"/>
      <c r="DQ2" s="1220"/>
      <c r="DR2" s="1220"/>
      <c r="DS2" s="1220"/>
      <c r="DT2" s="1220"/>
      <c r="DU2" s="1220"/>
      <c r="DV2" s="1220"/>
      <c r="DW2" s="1220"/>
      <c r="DX2" s="1220"/>
      <c r="DY2" s="1220"/>
      <c r="DZ2" s="1220"/>
      <c r="EA2" s="1220"/>
      <c r="EB2" s="1220"/>
      <c r="EC2" s="1220"/>
      <c r="ED2" s="1220"/>
      <c r="EE2" s="1220"/>
      <c r="EF2" s="1220"/>
      <c r="EG2" s="1220"/>
      <c r="EH2" s="1220"/>
      <c r="EI2" s="1220"/>
      <c r="EJ2" s="1220"/>
      <c r="EK2" s="1220"/>
      <c r="EL2" s="1220"/>
      <c r="EM2" s="1220"/>
      <c r="EN2" s="1220"/>
      <c r="EO2" s="1220"/>
      <c r="EP2" s="1220"/>
      <c r="EQ2" s="1220"/>
      <c r="ER2" s="1220"/>
      <c r="ES2" s="1220"/>
      <c r="ET2" s="1220"/>
      <c r="EU2" s="1220"/>
      <c r="EV2" s="1220"/>
      <c r="EW2" s="1220"/>
      <c r="EX2" s="1220"/>
      <c r="EY2" s="1220"/>
      <c r="EZ2" s="1220"/>
      <c r="FA2" s="1220"/>
      <c r="FB2" s="1220"/>
      <c r="FC2" s="1220"/>
      <c r="FD2" s="1220"/>
      <c r="FE2" s="1220"/>
      <c r="FF2" s="1220"/>
      <c r="FG2" s="1220"/>
      <c r="FH2" s="1220"/>
      <c r="FI2" s="1220"/>
      <c r="FJ2" s="1220"/>
      <c r="FK2" s="1220"/>
    </row>
    <row r="3" spans="1:167" ht="4.5" customHeight="1" thickBot="1">
      <c r="A3" s="1220"/>
      <c r="B3" s="1228"/>
      <c r="C3" s="1220"/>
      <c r="D3" s="1220"/>
      <c r="E3" s="1220"/>
      <c r="F3" s="1220"/>
      <c r="G3" s="1220"/>
      <c r="H3" s="1220"/>
      <c r="I3" s="1220"/>
      <c r="J3" s="1220"/>
      <c r="K3" s="1220"/>
      <c r="L3" s="1220"/>
      <c r="M3" s="1220"/>
      <c r="N3" s="1220"/>
      <c r="O3" s="1220"/>
      <c r="P3" s="1220"/>
      <c r="Q3" s="1220"/>
      <c r="R3" s="1220"/>
      <c r="S3" s="1220"/>
      <c r="T3" s="1220"/>
      <c r="U3" s="1220"/>
      <c r="V3" s="1220"/>
      <c r="W3" s="1220"/>
      <c r="X3" s="1220"/>
      <c r="Y3" s="1220"/>
      <c r="Z3" s="1220"/>
      <c r="AA3" s="1220"/>
      <c r="AB3" s="1220"/>
      <c r="AC3" s="1220"/>
      <c r="AD3" s="1220"/>
      <c r="AE3" s="1220"/>
      <c r="AF3" s="1220"/>
      <c r="AG3" s="1220"/>
      <c r="AH3" s="1220"/>
      <c r="AI3" s="1220"/>
      <c r="AJ3" s="1220"/>
      <c r="AK3" s="1220"/>
      <c r="AL3" s="1220"/>
      <c r="AM3" s="1220"/>
      <c r="AN3" s="1220"/>
      <c r="AO3" s="1220"/>
      <c r="AP3" s="1220"/>
      <c r="AQ3" s="1220"/>
      <c r="AR3" s="1220"/>
      <c r="AS3" s="1220"/>
      <c r="AT3" s="1220"/>
      <c r="AU3" s="1220"/>
      <c r="AV3" s="1220"/>
      <c r="AW3" s="1220"/>
      <c r="AX3" s="1220"/>
      <c r="AY3" s="1220"/>
      <c r="AZ3" s="1220"/>
      <c r="BA3" s="1220"/>
      <c r="BB3" s="1220"/>
      <c r="BC3" s="1220"/>
      <c r="BD3" s="1220"/>
      <c r="BE3" s="1220"/>
      <c r="BF3" s="1220"/>
      <c r="BG3" s="1220"/>
      <c r="BH3" s="1220"/>
      <c r="BI3" s="1220"/>
      <c r="BJ3" s="1220"/>
      <c r="BK3" s="1220"/>
      <c r="BL3" s="1220"/>
      <c r="BM3" s="1220"/>
      <c r="BN3" s="1220"/>
      <c r="BO3" s="1220"/>
      <c r="BP3" s="1220"/>
      <c r="BQ3" s="1220"/>
      <c r="BR3" s="1220"/>
      <c r="BS3" s="1220"/>
      <c r="BT3" s="1220"/>
      <c r="BU3" s="1220"/>
      <c r="BV3" s="1220"/>
      <c r="BW3" s="1220"/>
      <c r="BX3" s="1220"/>
      <c r="BY3" s="1220"/>
      <c r="BZ3" s="1220"/>
      <c r="CA3" s="1220"/>
      <c r="CB3" s="1220"/>
      <c r="CC3" s="1228"/>
      <c r="CD3" s="1228"/>
      <c r="CE3" s="1228"/>
      <c r="CF3" s="1220"/>
      <c r="CG3" s="1220"/>
      <c r="CH3" s="1220"/>
      <c r="CI3" s="1220"/>
      <c r="CJ3" s="1220"/>
      <c r="CK3" s="1220"/>
      <c r="CL3" s="1220"/>
      <c r="CM3" s="1220"/>
      <c r="CN3" s="1220"/>
      <c r="CO3" s="1220"/>
      <c r="CP3" s="1220"/>
      <c r="CQ3" s="1220"/>
      <c r="CR3" s="1220"/>
      <c r="CS3" s="1220"/>
      <c r="CT3" s="1220"/>
      <c r="CU3" s="1220"/>
      <c r="CV3" s="1220"/>
      <c r="CW3" s="1220"/>
      <c r="CX3" s="1220"/>
      <c r="CY3" s="1220"/>
      <c r="CZ3" s="1220"/>
      <c r="DA3" s="1220"/>
      <c r="DB3" s="1220"/>
      <c r="DC3" s="1220"/>
      <c r="DD3" s="1220"/>
      <c r="DE3" s="1220"/>
      <c r="DF3" s="1220"/>
      <c r="DG3" s="1220"/>
      <c r="DH3" s="1220"/>
      <c r="DI3" s="1220"/>
      <c r="DJ3" s="1220"/>
      <c r="DK3" s="1220"/>
      <c r="DL3" s="1220"/>
      <c r="DM3" s="1220"/>
      <c r="DN3" s="1220"/>
      <c r="DO3" s="1220"/>
      <c r="DP3" s="1220"/>
      <c r="DQ3" s="1220"/>
      <c r="DR3" s="1220"/>
      <c r="DS3" s="1220"/>
      <c r="DT3" s="1220"/>
      <c r="DU3" s="1220"/>
      <c r="DV3" s="1220"/>
      <c r="DW3" s="1220"/>
      <c r="DX3" s="1220"/>
      <c r="DY3" s="1220"/>
      <c r="DZ3" s="1220"/>
      <c r="EA3" s="1220"/>
      <c r="EB3" s="1220"/>
      <c r="EC3" s="1220"/>
      <c r="ED3" s="1220"/>
      <c r="EE3" s="1220"/>
      <c r="EF3" s="1220"/>
      <c r="EG3" s="1220"/>
      <c r="EH3" s="1220"/>
      <c r="EI3" s="1220"/>
      <c r="EJ3" s="1220"/>
      <c r="EK3" s="1220"/>
      <c r="EL3" s="1220"/>
      <c r="EM3" s="1220"/>
      <c r="EN3" s="1220"/>
      <c r="EO3" s="1220"/>
      <c r="EP3" s="1220"/>
      <c r="EQ3" s="1220"/>
      <c r="ER3" s="1220"/>
      <c r="ES3" s="1220"/>
      <c r="ET3" s="1220"/>
      <c r="EU3" s="1220"/>
      <c r="EV3" s="1220"/>
      <c r="EW3" s="1220"/>
      <c r="EX3" s="1220"/>
      <c r="EY3" s="1220"/>
      <c r="EZ3" s="1220"/>
      <c r="FA3" s="1220"/>
      <c r="FB3" s="1220"/>
      <c r="FC3" s="1220"/>
      <c r="FD3" s="1220"/>
      <c r="FE3" s="1220"/>
      <c r="FF3" s="1220"/>
      <c r="FG3" s="1220"/>
      <c r="FH3" s="1220"/>
      <c r="FI3" s="1220"/>
      <c r="FJ3" s="1220"/>
      <c r="FK3" s="1220"/>
    </row>
    <row r="4" spans="1:167" ht="16.5" customHeight="1" thickBot="1">
      <c r="A4" s="1220"/>
      <c r="B4" s="1228"/>
      <c r="C4" s="1220"/>
      <c r="D4" s="2698" t="s">
        <v>109</v>
      </c>
      <c r="E4" s="2698"/>
      <c r="F4" s="2698"/>
      <c r="G4" s="2698"/>
      <c r="H4" s="2698"/>
      <c r="I4" s="2698"/>
      <c r="J4" s="2698"/>
      <c r="K4" s="2698"/>
      <c r="L4" s="2698"/>
      <c r="M4" s="2698"/>
      <c r="N4" s="2698"/>
      <c r="O4" s="2698"/>
      <c r="P4" s="2698"/>
      <c r="Q4" s="2698"/>
      <c r="R4" s="2698"/>
      <c r="S4" s="2698"/>
      <c r="T4" s="2698"/>
      <c r="U4" s="2698"/>
      <c r="V4" s="2698"/>
      <c r="W4" s="2698"/>
      <c r="X4" s="2698"/>
      <c r="Y4" s="2698"/>
      <c r="Z4" s="2698"/>
      <c r="AA4" s="2698"/>
      <c r="AB4" s="2698"/>
      <c r="AC4" s="2698"/>
      <c r="AD4" s="2698"/>
      <c r="AE4" s="2698"/>
      <c r="AF4" s="2698"/>
      <c r="AG4" s="2698"/>
      <c r="AH4" s="2698"/>
      <c r="AI4" s="2698"/>
      <c r="AJ4" s="2698"/>
      <c r="AK4" s="2698"/>
      <c r="AL4" s="2698"/>
      <c r="AM4" s="2698"/>
      <c r="AN4" s="2698"/>
      <c r="AO4" s="2698"/>
      <c r="AP4" s="2698"/>
      <c r="AQ4" s="2698"/>
      <c r="AR4" s="2698"/>
      <c r="AS4" s="2698"/>
      <c r="AT4" s="2698"/>
      <c r="AU4" s="2698"/>
      <c r="AV4" s="2698"/>
      <c r="AW4" s="2698"/>
      <c r="AX4" s="2698"/>
      <c r="AY4" s="2698"/>
      <c r="AZ4" s="2698"/>
      <c r="BA4" s="2698"/>
      <c r="BB4" s="2698"/>
      <c r="BC4" s="2698"/>
      <c r="BD4" s="2698"/>
      <c r="BE4" s="2698"/>
      <c r="BF4" s="2698"/>
      <c r="BG4" s="2698"/>
      <c r="BH4" s="2698"/>
      <c r="BI4" s="2698"/>
      <c r="BJ4" s="2698"/>
      <c r="BK4" s="2698"/>
      <c r="BL4" s="2698"/>
      <c r="BM4" s="2698"/>
      <c r="BN4" s="2698"/>
      <c r="BO4" s="2698"/>
      <c r="BP4" s="2698"/>
      <c r="BQ4" s="2698"/>
      <c r="BR4" s="2698"/>
      <c r="BS4" s="2698"/>
      <c r="BT4" s="2698"/>
      <c r="BU4" s="2698"/>
      <c r="BV4" s="2698"/>
      <c r="BW4" s="2698"/>
      <c r="BX4" s="2698"/>
      <c r="BY4" s="2698"/>
      <c r="BZ4" s="2698"/>
      <c r="CA4" s="2698"/>
      <c r="CB4" s="2698"/>
      <c r="CC4" s="1228"/>
      <c r="CD4" s="1228"/>
      <c r="CE4" s="1228"/>
      <c r="CF4" s="1220"/>
      <c r="CG4" s="2705" t="s">
        <v>605</v>
      </c>
      <c r="CH4" s="2706"/>
      <c r="CI4" s="2706"/>
      <c r="CJ4" s="2706"/>
      <c r="CK4" s="2706"/>
      <c r="CL4" s="2706"/>
      <c r="CM4" s="2706"/>
      <c r="CN4" s="2706"/>
      <c r="CO4" s="2706"/>
      <c r="CP4" s="2706"/>
      <c r="CQ4" s="2706"/>
      <c r="CR4" s="2706"/>
      <c r="CS4" s="2706"/>
      <c r="CT4" s="2706"/>
      <c r="CU4" s="2706"/>
      <c r="CV4" s="2706"/>
      <c r="CW4" s="2706"/>
      <c r="CX4" s="2706"/>
      <c r="CY4" s="2706"/>
      <c r="CZ4" s="2706"/>
      <c r="DA4" s="2706"/>
      <c r="DB4" s="2706"/>
      <c r="DC4" s="2706"/>
      <c r="DD4" s="2706"/>
      <c r="DE4" s="2706"/>
      <c r="DF4" s="2706"/>
      <c r="DG4" s="2706"/>
      <c r="DH4" s="2706"/>
      <c r="DI4" s="2706"/>
      <c r="DJ4" s="2706"/>
      <c r="DK4" s="2706"/>
      <c r="DL4" s="2706"/>
      <c r="DM4" s="2706"/>
      <c r="DN4" s="2706"/>
      <c r="DO4" s="2706"/>
      <c r="DP4" s="2706"/>
      <c r="DQ4" s="2706"/>
      <c r="DR4" s="2706"/>
      <c r="DS4" s="2706"/>
      <c r="DT4" s="2706"/>
      <c r="DU4" s="2706"/>
      <c r="DV4" s="2706"/>
      <c r="DW4" s="2706"/>
      <c r="DX4" s="2706"/>
      <c r="DY4" s="2706"/>
      <c r="DZ4" s="2706"/>
      <c r="EA4" s="2706"/>
      <c r="EB4" s="2706"/>
      <c r="EC4" s="2706"/>
      <c r="ED4" s="2706"/>
      <c r="EE4" s="2706"/>
      <c r="EF4" s="2706"/>
      <c r="EG4" s="2706"/>
      <c r="EH4" s="2706"/>
      <c r="EI4" s="2706"/>
      <c r="EJ4" s="2706"/>
      <c r="EK4" s="2706"/>
      <c r="EL4" s="2706"/>
      <c r="EM4" s="2706"/>
      <c r="EN4" s="2706"/>
      <c r="EO4" s="2706"/>
      <c r="EP4" s="2706"/>
      <c r="EQ4" s="2706"/>
      <c r="ER4" s="2706"/>
      <c r="ES4" s="2706"/>
      <c r="ET4" s="2706"/>
      <c r="EU4" s="2706"/>
      <c r="EV4" s="2706"/>
      <c r="EW4" s="2706"/>
      <c r="EX4" s="2706"/>
      <c r="EY4" s="2706"/>
      <c r="EZ4" s="2706"/>
      <c r="FA4" s="2706"/>
      <c r="FB4" s="2706"/>
      <c r="FC4" s="2706"/>
      <c r="FD4" s="2706"/>
      <c r="FE4" s="2706"/>
      <c r="FF4" s="2706"/>
      <c r="FG4" s="2706"/>
      <c r="FH4" s="2707"/>
      <c r="FI4" s="2707"/>
      <c r="FJ4" s="2707"/>
      <c r="FK4" s="2706"/>
    </row>
    <row r="5" spans="1:167" ht="32.25" thickBot="1">
      <c r="A5" s="1220"/>
      <c r="B5" s="1229" t="s">
        <v>15</v>
      </c>
      <c r="C5" s="1430" t="s">
        <v>6</v>
      </c>
      <c r="D5" s="1559" t="s">
        <v>78</v>
      </c>
      <c r="E5" s="1560" t="s">
        <v>79</v>
      </c>
      <c r="F5" s="1560" t="s">
        <v>80</v>
      </c>
      <c r="G5" s="1560" t="s">
        <v>81</v>
      </c>
      <c r="H5" s="1560" t="s">
        <v>82</v>
      </c>
      <c r="I5" s="1560" t="s">
        <v>83</v>
      </c>
      <c r="J5" s="1560" t="s">
        <v>84</v>
      </c>
      <c r="K5" s="1560" t="s">
        <v>85</v>
      </c>
      <c r="L5" s="1560" t="s">
        <v>86</v>
      </c>
      <c r="M5" s="1560" t="s">
        <v>87</v>
      </c>
      <c r="N5" s="1560" t="s">
        <v>88</v>
      </c>
      <c r="O5" s="1560" t="s">
        <v>89</v>
      </c>
      <c r="P5" s="1560" t="s">
        <v>90</v>
      </c>
      <c r="Q5" s="1560" t="s">
        <v>91</v>
      </c>
      <c r="R5" s="1560" t="s">
        <v>92</v>
      </c>
      <c r="S5" s="1560" t="s">
        <v>93</v>
      </c>
      <c r="T5" s="1560" t="s">
        <v>94</v>
      </c>
      <c r="U5" s="1561" t="s">
        <v>95</v>
      </c>
      <c r="V5" s="1561" t="s">
        <v>96</v>
      </c>
      <c r="W5" s="1561" t="s">
        <v>97</v>
      </c>
      <c r="X5" s="1561" t="s">
        <v>98</v>
      </c>
      <c r="Y5" s="1561" t="s">
        <v>99</v>
      </c>
      <c r="Z5" s="1561" t="s">
        <v>100</v>
      </c>
      <c r="AA5" s="1561" t="s">
        <v>101</v>
      </c>
      <c r="AB5" s="1561" t="s">
        <v>102</v>
      </c>
      <c r="AC5" s="1561" t="s">
        <v>103</v>
      </c>
      <c r="AD5" s="1561" t="s">
        <v>104</v>
      </c>
      <c r="AE5" s="1561" t="s">
        <v>105</v>
      </c>
      <c r="AF5" s="1561" t="s">
        <v>297</v>
      </c>
      <c r="AG5" s="1561" t="s">
        <v>298</v>
      </c>
      <c r="AH5" s="1561" t="s">
        <v>299</v>
      </c>
      <c r="AI5" s="1561" t="s">
        <v>358</v>
      </c>
      <c r="AJ5" s="1561" t="s">
        <v>359</v>
      </c>
      <c r="AK5" s="1561" t="s">
        <v>360</v>
      </c>
      <c r="AL5" s="1561" t="s">
        <v>361</v>
      </c>
      <c r="AM5" s="1561" t="s">
        <v>362</v>
      </c>
      <c r="AN5" s="1561" t="s">
        <v>363</v>
      </c>
      <c r="AO5" s="1561" t="s">
        <v>364</v>
      </c>
      <c r="AP5" s="1560" t="s">
        <v>365</v>
      </c>
      <c r="AQ5" s="1560" t="s">
        <v>366</v>
      </c>
      <c r="AR5" s="1560" t="s">
        <v>385</v>
      </c>
      <c r="AS5" s="1560" t="s">
        <v>386</v>
      </c>
      <c r="AT5" s="1560" t="s">
        <v>387</v>
      </c>
      <c r="AU5" s="1560" t="s">
        <v>388</v>
      </c>
      <c r="AV5" s="1560" t="s">
        <v>389</v>
      </c>
      <c r="AW5" s="1560" t="s">
        <v>390</v>
      </c>
      <c r="AX5" s="1560" t="s">
        <v>391</v>
      </c>
      <c r="AY5" s="1560" t="s">
        <v>392</v>
      </c>
      <c r="AZ5" s="1560" t="s">
        <v>393</v>
      </c>
      <c r="BA5" s="1560" t="s">
        <v>394</v>
      </c>
      <c r="BB5" s="1560" t="s">
        <v>571</v>
      </c>
      <c r="BC5" s="1560" t="s">
        <v>572</v>
      </c>
      <c r="BD5" s="1560" t="s">
        <v>614</v>
      </c>
      <c r="BE5" s="1560" t="s">
        <v>615</v>
      </c>
      <c r="BF5" s="1560" t="s">
        <v>616</v>
      </c>
      <c r="BG5" s="1560" t="s">
        <v>617</v>
      </c>
      <c r="BH5" s="1560" t="s">
        <v>618</v>
      </c>
      <c r="BI5" s="1560" t="s">
        <v>619</v>
      </c>
      <c r="BJ5" s="1560" t="s">
        <v>620</v>
      </c>
      <c r="BK5" s="1560" t="s">
        <v>621</v>
      </c>
      <c r="BL5" s="1560" t="s">
        <v>622</v>
      </c>
      <c r="BM5" s="1560" t="s">
        <v>623</v>
      </c>
      <c r="BN5" s="1560" t="s">
        <v>624</v>
      </c>
      <c r="BO5" s="1560" t="s">
        <v>625</v>
      </c>
      <c r="BP5" s="1560" t="s">
        <v>626</v>
      </c>
      <c r="BQ5" s="1560" t="s">
        <v>627</v>
      </c>
      <c r="BR5" s="1553" t="s">
        <v>644</v>
      </c>
      <c r="BS5" s="1553" t="s">
        <v>645</v>
      </c>
      <c r="BT5" s="1553" t="s">
        <v>646</v>
      </c>
      <c r="BU5" s="1553" t="s">
        <v>647</v>
      </c>
      <c r="BV5" s="1553" t="s">
        <v>648</v>
      </c>
      <c r="BW5" s="1553" t="s">
        <v>649</v>
      </c>
      <c r="BX5" s="1553" t="s">
        <v>650</v>
      </c>
      <c r="BY5" s="1553" t="s">
        <v>651</v>
      </c>
      <c r="BZ5" s="1553" t="s">
        <v>652</v>
      </c>
      <c r="CA5" s="1553" t="s">
        <v>653</v>
      </c>
      <c r="CB5" s="1554" t="s">
        <v>654</v>
      </c>
      <c r="CC5" s="1431" t="s">
        <v>107</v>
      </c>
      <c r="CD5" s="1230" t="s">
        <v>108</v>
      </c>
      <c r="CE5" s="1231" t="s">
        <v>3</v>
      </c>
      <c r="CF5" s="1220"/>
      <c r="CG5" s="1824" t="s">
        <v>15</v>
      </c>
      <c r="CH5" s="1825" t="s">
        <v>6</v>
      </c>
      <c r="CI5" s="1826" t="s">
        <v>78</v>
      </c>
      <c r="CJ5" s="1826" t="s">
        <v>79</v>
      </c>
      <c r="CK5" s="1826" t="s">
        <v>80</v>
      </c>
      <c r="CL5" s="1826" t="s">
        <v>81</v>
      </c>
      <c r="CM5" s="1826" t="s">
        <v>82</v>
      </c>
      <c r="CN5" s="1826" t="s">
        <v>83</v>
      </c>
      <c r="CO5" s="1826" t="s">
        <v>84</v>
      </c>
      <c r="CP5" s="1826" t="s">
        <v>85</v>
      </c>
      <c r="CQ5" s="1826" t="s">
        <v>86</v>
      </c>
      <c r="CR5" s="1826" t="s">
        <v>87</v>
      </c>
      <c r="CS5" s="1826" t="s">
        <v>88</v>
      </c>
      <c r="CT5" s="1826" t="s">
        <v>89</v>
      </c>
      <c r="CU5" s="1826" t="s">
        <v>90</v>
      </c>
      <c r="CV5" s="1826" t="s">
        <v>91</v>
      </c>
      <c r="CW5" s="1826" t="s">
        <v>92</v>
      </c>
      <c r="CX5" s="1826" t="s">
        <v>93</v>
      </c>
      <c r="CY5" s="1826" t="s">
        <v>94</v>
      </c>
      <c r="CZ5" s="1826" t="s">
        <v>95</v>
      </c>
      <c r="DA5" s="1826" t="s">
        <v>96</v>
      </c>
      <c r="DB5" s="1826" t="s">
        <v>97</v>
      </c>
      <c r="DC5" s="1826" t="s">
        <v>98</v>
      </c>
      <c r="DD5" s="1826" t="s">
        <v>99</v>
      </c>
      <c r="DE5" s="1826" t="s">
        <v>100</v>
      </c>
      <c r="DF5" s="1826" t="s">
        <v>101</v>
      </c>
      <c r="DG5" s="1826" t="s">
        <v>102</v>
      </c>
      <c r="DH5" s="1826" t="s">
        <v>103</v>
      </c>
      <c r="DI5" s="1826" t="s">
        <v>104</v>
      </c>
      <c r="DJ5" s="1826" t="s">
        <v>105</v>
      </c>
      <c r="DK5" s="1826" t="s">
        <v>297</v>
      </c>
      <c r="DL5" s="1826" t="s">
        <v>298</v>
      </c>
      <c r="DM5" s="1826" t="s">
        <v>299</v>
      </c>
      <c r="DN5" s="1827" t="s">
        <v>358</v>
      </c>
      <c r="DO5" s="1827" t="s">
        <v>359</v>
      </c>
      <c r="DP5" s="1827" t="s">
        <v>360</v>
      </c>
      <c r="DQ5" s="1827" t="s">
        <v>361</v>
      </c>
      <c r="DR5" s="1827" t="s">
        <v>362</v>
      </c>
      <c r="DS5" s="1827" t="s">
        <v>363</v>
      </c>
      <c r="DT5" s="1827" t="s">
        <v>364</v>
      </c>
      <c r="DU5" s="1827" t="s">
        <v>365</v>
      </c>
      <c r="DV5" s="1827" t="s">
        <v>366</v>
      </c>
      <c r="DW5" s="1827" t="s">
        <v>385</v>
      </c>
      <c r="DX5" s="1827" t="s">
        <v>386</v>
      </c>
      <c r="DY5" s="1827" t="s">
        <v>387</v>
      </c>
      <c r="DZ5" s="1827" t="s">
        <v>388</v>
      </c>
      <c r="EA5" s="1827" t="s">
        <v>389</v>
      </c>
      <c r="EB5" s="1750" t="s">
        <v>390</v>
      </c>
      <c r="EC5" s="1750" t="s">
        <v>391</v>
      </c>
      <c r="ED5" s="1750" t="s">
        <v>392</v>
      </c>
      <c r="EE5" s="1750" t="s">
        <v>393</v>
      </c>
      <c r="EF5" s="1750" t="s">
        <v>394</v>
      </c>
      <c r="EG5" s="1750" t="s">
        <v>571</v>
      </c>
      <c r="EH5" s="1750" t="s">
        <v>572</v>
      </c>
      <c r="EI5" s="1750" t="s">
        <v>614</v>
      </c>
      <c r="EJ5" s="1750" t="s">
        <v>615</v>
      </c>
      <c r="EK5" s="1750" t="s">
        <v>616</v>
      </c>
      <c r="EL5" s="1750" t="s">
        <v>617</v>
      </c>
      <c r="EM5" s="1750" t="s">
        <v>618</v>
      </c>
      <c r="EN5" s="1750" t="s">
        <v>619</v>
      </c>
      <c r="EO5" s="1750" t="s">
        <v>620</v>
      </c>
      <c r="EP5" s="1750" t="s">
        <v>621</v>
      </c>
      <c r="EQ5" s="1750" t="s">
        <v>622</v>
      </c>
      <c r="ER5" s="1750" t="s">
        <v>623</v>
      </c>
      <c r="ES5" s="1750" t="s">
        <v>624</v>
      </c>
      <c r="ET5" s="1750" t="s">
        <v>625</v>
      </c>
      <c r="EU5" s="1750" t="s">
        <v>626</v>
      </c>
      <c r="EV5" s="1750" t="s">
        <v>627</v>
      </c>
      <c r="EW5" s="1750" t="s">
        <v>644</v>
      </c>
      <c r="EX5" s="1750" t="s">
        <v>645</v>
      </c>
      <c r="EY5" s="1750" t="s">
        <v>646</v>
      </c>
      <c r="EZ5" s="1750" t="s">
        <v>647</v>
      </c>
      <c r="FA5" s="1750" t="s">
        <v>648</v>
      </c>
      <c r="FB5" s="1750" t="s">
        <v>649</v>
      </c>
      <c r="FC5" s="1750" t="s">
        <v>650</v>
      </c>
      <c r="FD5" s="1750" t="s">
        <v>651</v>
      </c>
      <c r="FE5" s="1750" t="s">
        <v>652</v>
      </c>
      <c r="FF5" s="1750" t="s">
        <v>653</v>
      </c>
      <c r="FG5" s="1757" t="s">
        <v>654</v>
      </c>
      <c r="FH5" s="1763" t="s">
        <v>107</v>
      </c>
      <c r="FI5" s="1755" t="s">
        <v>108</v>
      </c>
      <c r="FJ5" s="1766" t="s">
        <v>509</v>
      </c>
      <c r="FK5" s="1759"/>
    </row>
    <row r="6" spans="1:167" ht="15.75" customHeight="1">
      <c r="A6" s="1220"/>
      <c r="B6" s="1276">
        <f>+PP!B24</f>
        <v>1</v>
      </c>
      <c r="C6" s="1277" t="str">
        <f>+PP!C24</f>
        <v>ANILLAS BLANCAS SM ST</v>
      </c>
      <c r="D6" s="1401"/>
      <c r="E6" s="1402"/>
      <c r="F6" s="1402"/>
      <c r="G6" s="1402"/>
      <c r="H6" s="1402"/>
      <c r="I6" s="1402"/>
      <c r="J6" s="1402"/>
      <c r="K6" s="1402"/>
      <c r="L6" s="1402"/>
      <c r="M6" s="1402"/>
      <c r="N6" s="1402"/>
      <c r="O6" s="1402"/>
      <c r="P6" s="1402"/>
      <c r="Q6" s="1402"/>
      <c r="R6" s="1402"/>
      <c r="S6" s="1402"/>
      <c r="T6" s="1402"/>
      <c r="U6" s="1402"/>
      <c r="V6" s="1402"/>
      <c r="W6" s="1402"/>
      <c r="X6" s="1402"/>
      <c r="Y6" s="1402"/>
      <c r="Z6" s="1402"/>
      <c r="AA6" s="1402"/>
      <c r="AB6" s="1402"/>
      <c r="AC6" s="1402"/>
      <c r="AD6" s="1402"/>
      <c r="AE6" s="1402"/>
      <c r="AF6" s="1402"/>
      <c r="AG6" s="1402"/>
      <c r="AH6" s="1403"/>
      <c r="AI6" s="1232"/>
      <c r="AJ6" s="1232"/>
      <c r="AK6" s="1232"/>
      <c r="AL6" s="1232"/>
      <c r="AM6" s="1232"/>
      <c r="AN6" s="1232"/>
      <c r="AO6" s="1232"/>
      <c r="AP6" s="1232"/>
      <c r="AQ6" s="1232"/>
      <c r="AR6" s="1232"/>
      <c r="AS6" s="1232"/>
      <c r="AT6" s="1232"/>
      <c r="AU6" s="1232"/>
      <c r="AV6" s="1232"/>
      <c r="AW6" s="1232"/>
      <c r="AX6" s="1232"/>
      <c r="AY6" s="1232"/>
      <c r="AZ6" s="1232"/>
      <c r="BA6" s="1232"/>
      <c r="BB6" s="1232"/>
      <c r="BC6" s="1232"/>
      <c r="BD6" s="1232"/>
      <c r="BE6" s="1232"/>
      <c r="BF6" s="1232"/>
      <c r="BG6" s="1232"/>
      <c r="BH6" s="1232"/>
      <c r="BI6" s="1232"/>
      <c r="BJ6" s="1232"/>
      <c r="BK6" s="1232"/>
      <c r="BL6" s="1232"/>
      <c r="BM6" s="1232"/>
      <c r="BN6" s="1232"/>
      <c r="BO6" s="1232"/>
      <c r="BP6" s="1232"/>
      <c r="BQ6" s="1232"/>
      <c r="BR6" s="1562"/>
      <c r="BS6" s="1562"/>
      <c r="BT6" s="1562"/>
      <c r="BU6" s="1562"/>
      <c r="BV6" s="1562"/>
      <c r="BW6" s="1562"/>
      <c r="BX6" s="1562"/>
      <c r="BY6" s="1562"/>
      <c r="BZ6" s="1562"/>
      <c r="CA6" s="1562"/>
      <c r="CB6" s="1563"/>
      <c r="CC6" s="1549">
        <f t="shared" ref="CC6:CC53" si="0">SUM(D6:CB6)</f>
        <v>0</v>
      </c>
      <c r="CD6" s="1233">
        <f t="shared" ref="CD6:CD53" si="1">CC6*2</f>
        <v>0</v>
      </c>
      <c r="CE6" s="1234">
        <f t="shared" ref="CE6:CE53" si="2">+CC6*20</f>
        <v>0</v>
      </c>
      <c r="CF6" s="1220"/>
      <c r="CG6" s="1751" t="str" cm="1">
        <f t="array" ref="CG6">IFERROR(INDEX($B$6:$B$53,_xlfn.AGGREGATE(15,6,(ROW($B$6:$B$53)-ROW($B$6)+1)/(MMULT(--($D$6:$CB$53&gt;0),TRANSPOSE(COLUMN($D$6:$CB$6)^0))&gt;0),ROWS($CG$6:CG6))),"")</f>
        <v/>
      </c>
      <c r="CH6" s="1752" t="str">
        <f t="shared" ref="CH6:CH53" si="3">IF($CG6="","",INDEX($C$6:$C$53,MATCH($CG6,$B$6:$B$53,0)))</f>
        <v/>
      </c>
      <c r="CI6" s="1753" t="str" cm="1">
        <f t="array" ref="CI6">IF($CG6="","",IF(INDEX($D$6:$CB$53,MATCH($CG6,$B$6:$B$53,0),COLUMN()-COLUMN($CI$5)+1)&gt;0,INDEX($D$6:$CB$53,MATCH($CG6,$B$6:$B$53,0),COLUMN()-COLUMN($CI$5)+1),""))</f>
        <v/>
      </c>
      <c r="CJ6" s="1753" t="str" cm="1">
        <f t="array" ref="CJ6">IF($CG6="","",IF(INDEX($D$6:$CB$53,MATCH($CG6,$B$6:$B$53,0),COLUMN()-COLUMN($CI$5)+1)&gt;0,INDEX($D$6:$CB$53,MATCH($CG6,$B$6:$B$53,0),COLUMN()-COLUMN($CI$5)+1),""))</f>
        <v/>
      </c>
      <c r="CK6" s="1753" t="str" cm="1">
        <f t="array" ref="CK6">IF($CG6="","",IF(INDEX($D$6:$CB$53,MATCH($CG6,$B$6:$B$53,0),COLUMN()-COLUMN($CI$5)+1)&gt;0,INDEX($D$6:$CB$53,MATCH($CG6,$B$6:$B$53,0),COLUMN()-COLUMN($CI$5)+1),""))</f>
        <v/>
      </c>
      <c r="CL6" s="1753" t="str" cm="1">
        <f t="array" ref="CL6">IF($CG6="","",IF(INDEX($D$6:$CB$53,MATCH($CG6,$B$6:$B$53,0),COLUMN()-COLUMN($CI$5)+1)&gt;0,INDEX($D$6:$CB$53,MATCH($CG6,$B$6:$B$53,0),COLUMN()-COLUMN($CI$5)+1),""))</f>
        <v/>
      </c>
      <c r="CM6" s="1753" t="str" cm="1">
        <f t="array" ref="CM6">IF($CG6="","",IF(INDEX($D$6:$CB$53,MATCH($CG6,$B$6:$B$53,0),COLUMN()-COLUMN($CI$5)+1)&gt;0,INDEX($D$6:$CB$53,MATCH($CG6,$B$6:$B$53,0),COLUMN()-COLUMN($CI$5)+1),""))</f>
        <v/>
      </c>
      <c r="CN6" s="1753" t="str" cm="1">
        <f t="array" ref="CN6">IF($CG6="","",IF(INDEX($D$6:$CB$53,MATCH($CG6,$B$6:$B$53,0),COLUMN()-COLUMN($CI$5)+1)&gt;0,INDEX($D$6:$CB$53,MATCH($CG6,$B$6:$B$53,0),COLUMN()-COLUMN($CI$5)+1),""))</f>
        <v/>
      </c>
      <c r="CO6" s="1753" t="str" cm="1">
        <f t="array" ref="CO6">IF($CG6="","",IF(INDEX($D$6:$CB$53,MATCH($CG6,$B$6:$B$53,0),COLUMN()-COLUMN($CI$5)+1)&gt;0,INDEX($D$6:$CB$53,MATCH($CG6,$B$6:$B$53,0),COLUMN()-COLUMN($CI$5)+1),""))</f>
        <v/>
      </c>
      <c r="CP6" s="1753" t="str" cm="1">
        <f t="array" ref="CP6">IF($CG6="","",IF(INDEX($D$6:$CB$53,MATCH($CG6,$B$6:$B$53,0),COLUMN()-COLUMN($CI$5)+1)&gt;0,INDEX($D$6:$CB$53,MATCH($CG6,$B$6:$B$53,0),COLUMN()-COLUMN($CI$5)+1),""))</f>
        <v/>
      </c>
      <c r="CQ6" s="1753" t="str" cm="1">
        <f t="array" ref="CQ6">IF($CG6="","",IF(INDEX($D$6:$CB$53,MATCH($CG6,$B$6:$B$53,0),COLUMN()-COLUMN($CI$5)+1)&gt;0,INDEX($D$6:$CB$53,MATCH($CG6,$B$6:$B$53,0),COLUMN()-COLUMN($CI$5)+1),""))</f>
        <v/>
      </c>
      <c r="CR6" s="1753" t="str" cm="1">
        <f t="array" ref="CR6">IF($CG6="","",IF(INDEX($D$6:$CB$53,MATCH($CG6,$B$6:$B$53,0),COLUMN()-COLUMN($CI$5)+1)&gt;0,INDEX($D$6:$CB$53,MATCH($CG6,$B$6:$B$53,0),COLUMN()-COLUMN($CI$5)+1),""))</f>
        <v/>
      </c>
      <c r="CS6" s="1753" t="str" cm="1">
        <f t="array" ref="CS6">IF($CG6="","",IF(INDEX($D$6:$CB$53,MATCH($CG6,$B$6:$B$53,0),COLUMN()-COLUMN($CI$5)+1)&gt;0,INDEX($D$6:$CB$53,MATCH($CG6,$B$6:$B$53,0),COLUMN()-COLUMN($CI$5)+1),""))</f>
        <v/>
      </c>
      <c r="CT6" s="1753" t="str" cm="1">
        <f t="array" ref="CT6">IF($CG6="","",IF(INDEX($D$6:$CB$53,MATCH($CG6,$B$6:$B$53,0),COLUMN()-COLUMN($CI$5)+1)&gt;0,INDEX($D$6:$CB$53,MATCH($CG6,$B$6:$B$53,0),COLUMN()-COLUMN($CI$5)+1),""))</f>
        <v/>
      </c>
      <c r="CU6" s="1753" t="str" cm="1">
        <f t="array" ref="CU6">IF($CG6="","",IF(INDEX($D$6:$CB$53,MATCH($CG6,$B$6:$B$53,0),COLUMN()-COLUMN($CI$5)+1)&gt;0,INDEX($D$6:$CB$53,MATCH($CG6,$B$6:$B$53,0),COLUMN()-COLUMN($CI$5)+1),""))</f>
        <v/>
      </c>
      <c r="CV6" s="1753" t="str" cm="1">
        <f t="array" ref="CV6">IF($CG6="","",IF(INDEX($D$6:$CB$53,MATCH($CG6,$B$6:$B$53,0),COLUMN()-COLUMN($CI$5)+1)&gt;0,INDEX($D$6:$CB$53,MATCH($CG6,$B$6:$B$53,0),COLUMN()-COLUMN($CI$5)+1),""))</f>
        <v/>
      </c>
      <c r="CW6" s="1753" t="str" cm="1">
        <f t="array" ref="CW6">IF($CG6="","",IF(INDEX($D$6:$CB$53,MATCH($CG6,$B$6:$B$53,0),COLUMN()-COLUMN($CI$5)+1)&gt;0,INDEX($D$6:$CB$53,MATCH($CG6,$B$6:$B$53,0),COLUMN()-COLUMN($CI$5)+1),""))</f>
        <v/>
      </c>
      <c r="CX6" s="1753" t="str" cm="1">
        <f t="array" ref="CX6">IF($CG6="","",IF(INDEX($D$6:$CB$53,MATCH($CG6,$B$6:$B$53,0),COLUMN()-COLUMN($CI$5)+1)&gt;0,INDEX($D$6:$CB$53,MATCH($CG6,$B$6:$B$53,0),COLUMN()-COLUMN($CI$5)+1),""))</f>
        <v/>
      </c>
      <c r="CY6" s="1753" t="str" cm="1">
        <f t="array" ref="CY6">IF($CG6="","",IF(INDEX($D$6:$CB$53,MATCH($CG6,$B$6:$B$53,0),COLUMN()-COLUMN($CI$5)+1)&gt;0,INDEX($D$6:$CB$53,MATCH($CG6,$B$6:$B$53,0),COLUMN()-COLUMN($CI$5)+1),""))</f>
        <v/>
      </c>
      <c r="CZ6" s="1753" t="str" cm="1">
        <f t="array" ref="CZ6">IF($CG6="","",IF(INDEX($D$6:$CB$53,MATCH($CG6,$B$6:$B$53,0),COLUMN()-COLUMN($CI$5)+1)&gt;0,INDEX($D$6:$CB$53,MATCH($CG6,$B$6:$B$53,0),COLUMN()-COLUMN($CI$5)+1),""))</f>
        <v/>
      </c>
      <c r="DA6" s="1753" t="str" cm="1">
        <f t="array" ref="DA6">IF($CG6="","",IF(INDEX($D$6:$CB$53,MATCH($CG6,$B$6:$B$53,0),COLUMN()-COLUMN($CI$5)+1)&gt;0,INDEX($D$6:$CB$53,MATCH($CG6,$B$6:$B$53,0),COLUMN()-COLUMN($CI$5)+1),""))</f>
        <v/>
      </c>
      <c r="DB6" s="1753" t="str" cm="1">
        <f t="array" ref="DB6">IF($CG6="","",IF(INDEX($D$6:$CB$53,MATCH($CG6,$B$6:$B$53,0),COLUMN()-COLUMN($CI$5)+1)&gt;0,INDEX($D$6:$CB$53,MATCH($CG6,$B$6:$B$53,0),COLUMN()-COLUMN($CI$5)+1),""))</f>
        <v/>
      </c>
      <c r="DC6" s="1753" t="str" cm="1">
        <f t="array" ref="DC6">IF($CG6="","",IF(INDEX($D$6:$CB$53,MATCH($CG6,$B$6:$B$53,0),COLUMN()-COLUMN($CI$5)+1)&gt;0,INDEX($D$6:$CB$53,MATCH($CG6,$B$6:$B$53,0),COLUMN()-COLUMN($CI$5)+1),""))</f>
        <v/>
      </c>
      <c r="DD6" s="1753" t="str" cm="1">
        <f t="array" ref="DD6">IF($CG6="","",IF(INDEX($D$6:$CB$53,MATCH($CG6,$B$6:$B$53,0),COLUMN()-COLUMN($CI$5)+1)&gt;0,INDEX($D$6:$CB$53,MATCH($CG6,$B$6:$B$53,0),COLUMN()-COLUMN($CI$5)+1),""))</f>
        <v/>
      </c>
      <c r="DE6" s="1753" t="str" cm="1">
        <f t="array" ref="DE6">IF($CG6="","",IF(INDEX($D$6:$CB$53,MATCH($CG6,$B$6:$B$53,0),COLUMN()-COLUMN($CI$5)+1)&gt;0,INDEX($D$6:$CB$53,MATCH($CG6,$B$6:$B$53,0),COLUMN()-COLUMN($CI$5)+1),""))</f>
        <v/>
      </c>
      <c r="DF6" s="1753" t="str" cm="1">
        <f t="array" ref="DF6">IF($CG6="","",IF(INDEX($D$6:$CB$53,MATCH($CG6,$B$6:$B$53,0),COLUMN()-COLUMN($CI$5)+1)&gt;0,INDEX($D$6:$CB$53,MATCH($CG6,$B$6:$B$53,0),COLUMN()-COLUMN($CI$5)+1),""))</f>
        <v/>
      </c>
      <c r="DG6" s="1753" t="str" cm="1">
        <f t="array" ref="DG6">IF($CG6="","",IF(INDEX($D$6:$CB$53,MATCH($CG6,$B$6:$B$53,0),COLUMN()-COLUMN($CI$5)+1)&gt;0,INDEX($D$6:$CB$53,MATCH($CG6,$B$6:$B$53,0),COLUMN()-COLUMN($CI$5)+1),""))</f>
        <v/>
      </c>
      <c r="DH6" s="1753" t="str" cm="1">
        <f t="array" ref="DH6">IF($CG6="","",IF(INDEX($D$6:$CB$53,MATCH($CG6,$B$6:$B$53,0),COLUMN()-COLUMN($CI$5)+1)&gt;0,INDEX($D$6:$CB$53,MATCH($CG6,$B$6:$B$53,0),COLUMN()-COLUMN($CI$5)+1),""))</f>
        <v/>
      </c>
      <c r="DI6" s="1753" t="str" cm="1">
        <f t="array" ref="DI6">IF($CG6="","",IF(INDEX($D$6:$CB$53,MATCH($CG6,$B$6:$B$53,0),COLUMN()-COLUMN($CI$5)+1)&gt;0,INDEX($D$6:$CB$53,MATCH($CG6,$B$6:$B$53,0),COLUMN()-COLUMN($CI$5)+1),""))</f>
        <v/>
      </c>
      <c r="DJ6" s="1753" t="str" cm="1">
        <f t="array" ref="DJ6">IF($CG6="","",IF(INDEX($D$6:$CB$53,MATCH($CG6,$B$6:$B$53,0),COLUMN()-COLUMN($CI$5)+1)&gt;0,INDEX($D$6:$CB$53,MATCH($CG6,$B$6:$B$53,0),COLUMN()-COLUMN($CI$5)+1),""))</f>
        <v/>
      </c>
      <c r="DK6" s="1753" t="str" cm="1">
        <f t="array" ref="DK6">IF($CG6="","",IF(INDEX($D$6:$CB$53,MATCH($CG6,$B$6:$B$53,0),COLUMN()-COLUMN($CI$5)+1)&gt;0,INDEX($D$6:$CB$53,MATCH($CG6,$B$6:$B$53,0),COLUMN()-COLUMN($CI$5)+1),""))</f>
        <v/>
      </c>
      <c r="DL6" s="1753" t="str" cm="1">
        <f t="array" ref="DL6">IF($CG6="","",IF(INDEX($D$6:$CB$53,MATCH($CG6,$B$6:$B$53,0),COLUMN()-COLUMN($CI$5)+1)&gt;0,INDEX($D$6:$CB$53,MATCH($CG6,$B$6:$B$53,0),COLUMN()-COLUMN($CI$5)+1),""))</f>
        <v/>
      </c>
      <c r="DM6" s="1753" t="str" cm="1">
        <f t="array" ref="DM6">IF($CG6="","",IF(INDEX($D$6:$CB$53,MATCH($CG6,$B$6:$B$53,0),COLUMN()-COLUMN($CI$5)+1)&gt;0,INDEX($D$6:$CB$53,MATCH($CG6,$B$6:$B$53,0),COLUMN()-COLUMN($CI$5)+1),""))</f>
        <v/>
      </c>
      <c r="DN6" s="1753" t="str" cm="1">
        <f t="array" ref="DN6">IF($CG6="","",IF(INDEX($D$6:$CB$53,MATCH($CG6,$B$6:$B$53,0),COLUMN()-COLUMN($CI$5)+1)&gt;0,INDEX($D$6:$CB$53,MATCH($CG6,$B$6:$B$53,0),COLUMN()-COLUMN($CI$5)+1),""))</f>
        <v/>
      </c>
      <c r="DO6" s="1753" t="str" cm="1">
        <f t="array" ref="DO6">IF($CG6="","",IF(INDEX($D$6:$CB$53,MATCH($CG6,$B$6:$B$53,0),COLUMN()-COLUMN($CI$5)+1)&gt;0,INDEX($D$6:$CB$53,MATCH($CG6,$B$6:$B$53,0),COLUMN()-COLUMN($CI$5)+1),""))</f>
        <v/>
      </c>
      <c r="DP6" s="1753" t="str" cm="1">
        <f t="array" ref="DP6">IF($CG6="","",IF(INDEX($D$6:$CB$53,MATCH($CG6,$B$6:$B$53,0),COLUMN()-COLUMN($CI$5)+1)&gt;0,INDEX($D$6:$CB$53,MATCH($CG6,$B$6:$B$53,0),COLUMN()-COLUMN($CI$5)+1),""))</f>
        <v/>
      </c>
      <c r="DQ6" s="1753" t="str" cm="1">
        <f t="array" ref="DQ6">IF($CG6="","",IF(INDEX($D$6:$CB$53,MATCH($CG6,$B$6:$B$53,0),COLUMN()-COLUMN($CI$5)+1)&gt;0,INDEX($D$6:$CB$53,MATCH($CG6,$B$6:$B$53,0),COLUMN()-COLUMN($CI$5)+1),""))</f>
        <v/>
      </c>
      <c r="DR6" s="1753" t="str" cm="1">
        <f t="array" ref="DR6">IF($CG6="","",IF(INDEX($D$6:$CB$53,MATCH($CG6,$B$6:$B$53,0),COLUMN()-COLUMN($CI$5)+1)&gt;0,INDEX($D$6:$CB$53,MATCH($CG6,$B$6:$B$53,0),COLUMN()-COLUMN($CI$5)+1),""))</f>
        <v/>
      </c>
      <c r="DS6" s="1753" t="str" cm="1">
        <f t="array" ref="DS6">IF($CG6="","",IF(INDEX($D$6:$CB$53,MATCH($CG6,$B$6:$B$53,0),COLUMN()-COLUMN($CI$5)+1)&gt;0,INDEX($D$6:$CB$53,MATCH($CG6,$B$6:$B$53,0),COLUMN()-COLUMN($CI$5)+1),""))</f>
        <v/>
      </c>
      <c r="DT6" s="1753" t="str" cm="1">
        <f t="array" ref="DT6">IF($CG6="","",IF(INDEX($D$6:$CB$53,MATCH($CG6,$B$6:$B$53,0),COLUMN()-COLUMN($CI$5)+1)&gt;0,INDEX($D$6:$CB$53,MATCH($CG6,$B$6:$B$53,0),COLUMN()-COLUMN($CI$5)+1),""))</f>
        <v/>
      </c>
      <c r="DU6" s="1753" t="str" cm="1">
        <f t="array" ref="DU6">IF($CG6="","",IF(INDEX($D$6:$CB$53,MATCH($CG6,$B$6:$B$53,0),COLUMN()-COLUMN($CI$5)+1)&gt;0,INDEX($D$6:$CB$53,MATCH($CG6,$B$6:$B$53,0),COLUMN()-COLUMN($CI$5)+1),""))</f>
        <v/>
      </c>
      <c r="DV6" s="1753" t="str" cm="1">
        <f t="array" ref="DV6">IF($CG6="","",IF(INDEX($D$6:$CB$53,MATCH($CG6,$B$6:$B$53,0),COLUMN()-COLUMN($CI$5)+1)&gt;0,INDEX($D$6:$CB$53,MATCH($CG6,$B$6:$B$53,0),COLUMN()-COLUMN($CI$5)+1),""))</f>
        <v/>
      </c>
      <c r="DW6" s="1753" t="str" cm="1">
        <f t="array" ref="DW6">IF($CG6="","",IF(INDEX($D$6:$CB$53,MATCH($CG6,$B$6:$B$53,0),COLUMN()-COLUMN($CI$5)+1)&gt;0,INDEX($D$6:$CB$53,MATCH($CG6,$B$6:$B$53,0),COLUMN()-COLUMN($CI$5)+1),""))</f>
        <v/>
      </c>
      <c r="DX6" s="1753" t="str" cm="1">
        <f t="array" ref="DX6">IF($CG6="","",IF(INDEX($D$6:$CB$53,MATCH($CG6,$B$6:$B$53,0),COLUMN()-COLUMN($CI$5)+1)&gt;0,INDEX($D$6:$CB$53,MATCH($CG6,$B$6:$B$53,0),COLUMN()-COLUMN($CI$5)+1),""))</f>
        <v/>
      </c>
      <c r="DY6" s="1753" t="str" cm="1">
        <f t="array" ref="DY6">IF($CG6="","",IF(INDEX($D$6:$CB$53,MATCH($CG6,$B$6:$B$53,0),COLUMN()-COLUMN($CI$5)+1)&gt;0,INDEX($D$6:$CB$53,MATCH($CG6,$B$6:$B$53,0),COLUMN()-COLUMN($CI$5)+1),""))</f>
        <v/>
      </c>
      <c r="DZ6" s="1753" t="str" cm="1">
        <f t="array" ref="DZ6">IF($CG6="","",IF(INDEX($D$6:$CB$53,MATCH($CG6,$B$6:$B$53,0),COLUMN()-COLUMN($CI$5)+1)&gt;0,INDEX($D$6:$CB$53,MATCH($CG6,$B$6:$B$53,0),COLUMN()-COLUMN($CI$5)+1),""))</f>
        <v/>
      </c>
      <c r="EA6" s="1753" t="str" cm="1">
        <f t="array" ref="EA6">IF($CG6="","",IF(INDEX($D$6:$CB$53,MATCH($CG6,$B$6:$B$53,0),COLUMN()-COLUMN($CI$5)+1)&gt;0,INDEX($D$6:$CB$53,MATCH($CG6,$B$6:$B$53,0),COLUMN()-COLUMN($CI$5)+1),""))</f>
        <v/>
      </c>
      <c r="EB6" s="1753" t="str" cm="1">
        <f t="array" ref="EB6">IF($CG6="","",IF(INDEX($D$6:$CB$53,MATCH($CG6,$B$6:$B$53,0),COLUMN()-COLUMN($CI$5)+1)&gt;0,INDEX($D$6:$CB$53,MATCH($CG6,$B$6:$B$53,0),COLUMN()-COLUMN($CI$5)+1),""))</f>
        <v/>
      </c>
      <c r="EC6" s="1753" t="str" cm="1">
        <f t="array" ref="EC6">IF($CG6="","",IF(INDEX($D$6:$CB$53,MATCH($CG6,$B$6:$B$53,0),COLUMN()-COLUMN($CI$5)+1)&gt;0,INDEX($D$6:$CB$53,MATCH($CG6,$B$6:$B$53,0),COLUMN()-COLUMN($CI$5)+1),""))</f>
        <v/>
      </c>
      <c r="ED6" s="1753" t="str" cm="1">
        <f t="array" ref="ED6">IF($CG6="","",IF(INDEX($D$6:$CB$53,MATCH($CG6,$B$6:$B$53,0),COLUMN()-COLUMN($CI$5)+1)&gt;0,INDEX($D$6:$CB$53,MATCH($CG6,$B$6:$B$53,0),COLUMN()-COLUMN($CI$5)+1),""))</f>
        <v/>
      </c>
      <c r="EE6" s="1753" t="str" cm="1">
        <f t="array" ref="EE6">IF($CG6="","",IF(INDEX($D$6:$CB$53,MATCH($CG6,$B$6:$B$53,0),COLUMN()-COLUMN($CI$5)+1)&gt;0,INDEX($D$6:$CB$53,MATCH($CG6,$B$6:$B$53,0),COLUMN()-COLUMN($CI$5)+1),""))</f>
        <v/>
      </c>
      <c r="EF6" s="1753" t="str" cm="1">
        <f t="array" ref="EF6">IF($CG6="","",IF(INDEX($D$6:$CB$53,MATCH($CG6,$B$6:$B$53,0),COLUMN()-COLUMN($CI$5)+1)&gt;0,INDEX($D$6:$CB$53,MATCH($CG6,$B$6:$B$53,0),COLUMN()-COLUMN($CI$5)+1),""))</f>
        <v/>
      </c>
      <c r="EG6" s="1753" t="str" cm="1">
        <f t="array" ref="EG6">IF($CG6="","",IF(INDEX($D$6:$CB$53,MATCH($CG6,$B$6:$B$53,0),COLUMN()-COLUMN($CI$5)+1)&gt;0,INDEX($D$6:$CB$53,MATCH($CG6,$B$6:$B$53,0),COLUMN()-COLUMN($CI$5)+1),""))</f>
        <v/>
      </c>
      <c r="EH6" s="1753" t="str" cm="1">
        <f t="array" ref="EH6">IF($CG6="","",IF(INDEX($D$6:$CB$53,MATCH($CG6,$B$6:$B$53,0),COLUMN()-COLUMN($CI$5)+1)&gt;0,INDEX($D$6:$CB$53,MATCH($CG6,$B$6:$B$53,0),COLUMN()-COLUMN($CI$5)+1),""))</f>
        <v/>
      </c>
      <c r="EI6" s="1753" t="str" cm="1">
        <f t="array" ref="EI6">IF($CG6="","",IF(INDEX($D$6:$CB$53,MATCH($CG6,$B$6:$B$53,0),COLUMN()-COLUMN($CI$5)+1)&gt;0,INDEX($D$6:$CB$53,MATCH($CG6,$B$6:$B$53,0),COLUMN()-COLUMN($CI$5)+1),""))</f>
        <v/>
      </c>
      <c r="EJ6" s="1753" t="str" cm="1">
        <f t="array" ref="EJ6">IF($CG6="","",IF(INDEX($D$6:$CB$53,MATCH($CG6,$B$6:$B$53,0),COLUMN()-COLUMN($CI$5)+1)&gt;0,INDEX($D$6:$CB$53,MATCH($CG6,$B$6:$B$53,0),COLUMN()-COLUMN($CI$5)+1),""))</f>
        <v/>
      </c>
      <c r="EK6" s="1753" t="str" cm="1">
        <f t="array" ref="EK6">IF($CG6="","",IF(INDEX($D$6:$CB$53,MATCH($CG6,$B$6:$B$53,0),COLUMN()-COLUMN($CI$5)+1)&gt;0,INDEX($D$6:$CB$53,MATCH($CG6,$B$6:$B$53,0),COLUMN()-COLUMN($CI$5)+1),""))</f>
        <v/>
      </c>
      <c r="EL6" s="1753" t="str" cm="1">
        <f t="array" ref="EL6">IF($CG6="","",IF(INDEX($D$6:$CB$53,MATCH($CG6,$B$6:$B$53,0),COLUMN()-COLUMN($CI$5)+1)&gt;0,INDEX($D$6:$CB$53,MATCH($CG6,$B$6:$B$53,0),COLUMN()-COLUMN($CI$5)+1),""))</f>
        <v/>
      </c>
      <c r="EM6" s="1753" t="str" cm="1">
        <f t="array" ref="EM6">IF($CG6="","",IF(INDEX($D$6:$CB$53,MATCH($CG6,$B$6:$B$53,0),COLUMN()-COLUMN($CI$5)+1)&gt;0,INDEX($D$6:$CB$53,MATCH($CG6,$B$6:$B$53,0),COLUMN()-COLUMN($CI$5)+1),""))</f>
        <v/>
      </c>
      <c r="EN6" s="1753" t="str" cm="1">
        <f t="array" ref="EN6">IF($CG6="","",IF(INDEX($D$6:$CB$53,MATCH($CG6,$B$6:$B$53,0),COLUMN()-COLUMN($CI$5)+1)&gt;0,INDEX($D$6:$CB$53,MATCH($CG6,$B$6:$B$53,0),COLUMN()-COLUMN($CI$5)+1),""))</f>
        <v/>
      </c>
      <c r="EO6" s="1753" t="str" cm="1">
        <f t="array" ref="EO6">IF($CG6="","",IF(INDEX($D$6:$CB$53,MATCH($CG6,$B$6:$B$53,0),COLUMN()-COLUMN($CI$5)+1)&gt;0,INDEX($D$6:$CB$53,MATCH($CG6,$B$6:$B$53,0),COLUMN()-COLUMN($CI$5)+1),""))</f>
        <v/>
      </c>
      <c r="EP6" s="1753" t="str" cm="1">
        <f t="array" ref="EP6">IF($CG6="","",IF(INDEX($D$6:$CB$53,MATCH($CG6,$B$6:$B$53,0),COLUMN()-COLUMN($CI$5)+1)&gt;0,INDEX($D$6:$CB$53,MATCH($CG6,$B$6:$B$53,0),COLUMN()-COLUMN($CI$5)+1),""))</f>
        <v/>
      </c>
      <c r="EQ6" s="1753" t="str" cm="1">
        <f t="array" ref="EQ6">IF($CG6="","",IF(INDEX($D$6:$CB$53,MATCH($CG6,$B$6:$B$53,0),COLUMN()-COLUMN($CI$5)+1)&gt;0,INDEX($D$6:$CB$53,MATCH($CG6,$B$6:$B$53,0),COLUMN()-COLUMN($CI$5)+1),""))</f>
        <v/>
      </c>
      <c r="ER6" s="1753" t="str" cm="1">
        <f t="array" ref="ER6">IF($CG6="","",IF(INDEX($D$6:$CB$53,MATCH($CG6,$B$6:$B$53,0),COLUMN()-COLUMN($CI$5)+1)&gt;0,INDEX($D$6:$CB$53,MATCH($CG6,$B$6:$B$53,0),COLUMN()-COLUMN($CI$5)+1),""))</f>
        <v/>
      </c>
      <c r="ES6" s="1753" t="str" cm="1">
        <f t="array" ref="ES6">IF($CG6="","",IF(INDEX($D$6:$CB$53,MATCH($CG6,$B$6:$B$53,0),COLUMN()-COLUMN($CI$5)+1)&gt;0,INDEX($D$6:$CB$53,MATCH($CG6,$B$6:$B$53,0),COLUMN()-COLUMN($CI$5)+1),""))</f>
        <v/>
      </c>
      <c r="ET6" s="1753" t="str" cm="1">
        <f t="array" ref="ET6">IF($CG6="","",IF(INDEX($D$6:$CB$53,MATCH($CG6,$B$6:$B$53,0),COLUMN()-COLUMN($CI$5)+1)&gt;0,INDEX($D$6:$CB$53,MATCH($CG6,$B$6:$B$53,0),COLUMN()-COLUMN($CI$5)+1),""))</f>
        <v/>
      </c>
      <c r="EU6" s="1753" t="str" cm="1">
        <f t="array" ref="EU6">IF($CG6="","",IF(INDEX($D$6:$CB$53,MATCH($CG6,$B$6:$B$53,0),COLUMN()-COLUMN($CI$5)+1)&gt;0,INDEX($D$6:$CB$53,MATCH($CG6,$B$6:$B$53,0),COLUMN()-COLUMN($CI$5)+1),""))</f>
        <v/>
      </c>
      <c r="EV6" s="1753" t="str" cm="1">
        <f t="array" ref="EV6">IF($CG6="","",IF(INDEX($D$6:$CB$53,MATCH($CG6,$B$6:$B$53,0),COLUMN()-COLUMN($CI$5)+1)&gt;0,INDEX($D$6:$CB$53,MATCH($CG6,$B$6:$B$53,0),COLUMN()-COLUMN($CI$5)+1),""))</f>
        <v/>
      </c>
      <c r="EW6" s="1753" t="str" cm="1">
        <f t="array" ref="EW6">IF($CG6="","",IF(INDEX($D$6:$CB$53,MATCH($CG6,$B$6:$B$53,0),COLUMN()-COLUMN($CI$5)+1)&gt;0,INDEX($D$6:$CB$53,MATCH($CG6,$B$6:$B$53,0),COLUMN()-COLUMN($CI$5)+1),""))</f>
        <v/>
      </c>
      <c r="EX6" s="1753" t="str" cm="1">
        <f t="array" ref="EX6">IF($CG6="","",IF(INDEX($D$6:$CB$53,MATCH($CG6,$B$6:$B$53,0),COLUMN()-COLUMN($CI$5)+1)&gt;0,INDEX($D$6:$CB$53,MATCH($CG6,$B$6:$B$53,0),COLUMN()-COLUMN($CI$5)+1),""))</f>
        <v/>
      </c>
      <c r="EY6" s="1753" t="str" cm="1">
        <f t="array" ref="EY6">IF($CG6="","",IF(INDEX($D$6:$CB$53,MATCH($CG6,$B$6:$B$53,0),COLUMN()-COLUMN($CI$5)+1)&gt;0,INDEX($D$6:$CB$53,MATCH($CG6,$B$6:$B$53,0),COLUMN()-COLUMN($CI$5)+1),""))</f>
        <v/>
      </c>
      <c r="EZ6" s="1753" t="str" cm="1">
        <f t="array" ref="EZ6">IF($CG6="","",IF(INDEX($D$6:$CB$53,MATCH($CG6,$B$6:$B$53,0),COLUMN()-COLUMN($CI$5)+1)&gt;0,INDEX($D$6:$CB$53,MATCH($CG6,$B$6:$B$53,0),COLUMN()-COLUMN($CI$5)+1),""))</f>
        <v/>
      </c>
      <c r="FA6" s="1753" t="str" cm="1">
        <f t="array" ref="FA6">IF($CG6="","",IF(INDEX($D$6:$CB$53,MATCH($CG6,$B$6:$B$53,0),COLUMN()-COLUMN($CI$5)+1)&gt;0,INDEX($D$6:$CB$53,MATCH($CG6,$B$6:$B$53,0),COLUMN()-COLUMN($CI$5)+1),""))</f>
        <v/>
      </c>
      <c r="FB6" s="1753" t="str" cm="1">
        <f t="array" ref="FB6">IF($CG6="","",IF(INDEX($D$6:$CB$53,MATCH($CG6,$B$6:$B$53,0),COLUMN()-COLUMN($CI$5)+1)&gt;0,INDEX($D$6:$CB$53,MATCH($CG6,$B$6:$B$53,0),COLUMN()-COLUMN($CI$5)+1),""))</f>
        <v/>
      </c>
      <c r="FC6" s="1753" t="str" cm="1">
        <f t="array" ref="FC6">IF($CG6="","",IF(INDEX($D$6:$CB$53,MATCH($CG6,$B$6:$B$53,0),COLUMN()-COLUMN($CI$5)+1)&gt;0,INDEX($D$6:$CB$53,MATCH($CG6,$B$6:$B$53,0),COLUMN()-COLUMN($CI$5)+1),""))</f>
        <v/>
      </c>
      <c r="FD6" s="1753" t="str" cm="1">
        <f t="array" ref="FD6">IF($CG6="","",IF(INDEX($D$6:$CB$53,MATCH($CG6,$B$6:$B$53,0),COLUMN()-COLUMN($CI$5)+1)&gt;0,INDEX($D$6:$CB$53,MATCH($CG6,$B$6:$B$53,0),COLUMN()-COLUMN($CI$5)+1),""))</f>
        <v/>
      </c>
      <c r="FE6" s="1753" t="str" cm="1">
        <f t="array" ref="FE6">IF($CG6="","",IF(INDEX($D$6:$CB$53,MATCH($CG6,$B$6:$B$53,0),COLUMN()-COLUMN($CI$5)+1)&gt;0,INDEX($D$6:$CB$53,MATCH($CG6,$B$6:$B$53,0),COLUMN()-COLUMN($CI$5)+1),""))</f>
        <v/>
      </c>
      <c r="FF6" s="1753" t="str" cm="1">
        <f t="array" ref="FF6">IF($CG6="","",IF(INDEX($D$6:$CB$53,MATCH($CG6,$B$6:$B$53,0),COLUMN()-COLUMN($CI$5)+1)&gt;0,INDEX($D$6:$CB$53,MATCH($CG6,$B$6:$B$53,0),COLUMN()-COLUMN($CI$5)+1),""))</f>
        <v/>
      </c>
      <c r="FG6" s="1758" t="str" cm="1">
        <f t="array" ref="FG6">IF($CG6="","",IF(INDEX($D$6:$CB$53,MATCH($CG6,$B$6:$B$53,0),COLUMN()-COLUMN($CI$5)+1)&gt;0,INDEX($D$6:$CB$53,MATCH($CG6,$B$6:$B$53,0),COLUMN()-COLUMN($CI$5)+1),""))</f>
        <v/>
      </c>
      <c r="FH6" s="1764" t="str">
        <f t="shared" ref="FH6:FH37" si="4">IF($CG6="","",SUM(CI6:DZ6))</f>
        <v/>
      </c>
      <c r="FI6" s="1756" t="str">
        <f t="shared" ref="FI6:FI37" si="5">IF($CG6="","",FH6*2)</f>
        <v/>
      </c>
      <c r="FJ6" s="1767" t="str">
        <f t="shared" ref="FJ6:FJ37" si="6">IF($CG6="","",FH6*20)</f>
        <v/>
      </c>
      <c r="FK6" s="1760"/>
    </row>
    <row r="7" spans="1:167" ht="15.75" customHeight="1">
      <c r="A7" s="1220"/>
      <c r="B7" s="1278">
        <f>+PP!B25</f>
        <v>2</v>
      </c>
      <c r="C7" s="1279" t="str">
        <f>+PP!C25</f>
        <v>ANILLAS AMARILLAS SM ST</v>
      </c>
      <c r="D7" s="1404"/>
      <c r="E7" s="1405"/>
      <c r="F7" s="1405"/>
      <c r="G7" s="1405"/>
      <c r="H7" s="1405"/>
      <c r="I7" s="1405"/>
      <c r="J7" s="1405"/>
      <c r="K7" s="1405"/>
      <c r="L7" s="1405"/>
      <c r="M7" s="1405"/>
      <c r="N7" s="1405"/>
      <c r="O7" s="1405"/>
      <c r="P7" s="1405"/>
      <c r="Q7" s="1405"/>
      <c r="R7" s="1405"/>
      <c r="S7" s="1405"/>
      <c r="T7" s="1405"/>
      <c r="U7" s="1405"/>
      <c r="V7" s="1405"/>
      <c r="W7" s="1405"/>
      <c r="X7" s="1405"/>
      <c r="Y7" s="1405"/>
      <c r="Z7" s="1405"/>
      <c r="AA7" s="1405"/>
      <c r="AB7" s="1405"/>
      <c r="AC7" s="1405"/>
      <c r="AD7" s="1405"/>
      <c r="AE7" s="1405"/>
      <c r="AF7" s="1405"/>
      <c r="AG7" s="1405"/>
      <c r="AH7" s="1406"/>
      <c r="AI7" s="1235"/>
      <c r="AJ7" s="1235"/>
      <c r="AK7" s="1235"/>
      <c r="AL7" s="1235"/>
      <c r="AM7" s="1235"/>
      <c r="AN7" s="1235"/>
      <c r="AO7" s="1235"/>
      <c r="AP7" s="1235"/>
      <c r="AQ7" s="1235"/>
      <c r="AR7" s="1235"/>
      <c r="AS7" s="1235"/>
      <c r="AT7" s="1235"/>
      <c r="AU7" s="1235"/>
      <c r="AV7" s="1235"/>
      <c r="AW7" s="1235"/>
      <c r="AX7" s="1235"/>
      <c r="AY7" s="1235"/>
      <c r="AZ7" s="1235"/>
      <c r="BA7" s="1235"/>
      <c r="BB7" s="1235"/>
      <c r="BC7" s="1235"/>
      <c r="BD7" s="1235"/>
      <c r="BE7" s="1235"/>
      <c r="BF7" s="1235"/>
      <c r="BG7" s="1235"/>
      <c r="BH7" s="1235"/>
      <c r="BI7" s="1235"/>
      <c r="BJ7" s="1235"/>
      <c r="BK7" s="1235"/>
      <c r="BL7" s="1235"/>
      <c r="BM7" s="1235"/>
      <c r="BN7" s="1235"/>
      <c r="BO7" s="1235"/>
      <c r="BP7" s="1235"/>
      <c r="BQ7" s="1235"/>
      <c r="BR7" s="1557"/>
      <c r="BS7" s="1557"/>
      <c r="BT7" s="1557"/>
      <c r="BU7" s="1557"/>
      <c r="BV7" s="1557"/>
      <c r="BW7" s="1557"/>
      <c r="BX7" s="1557"/>
      <c r="BY7" s="1557"/>
      <c r="BZ7" s="1557"/>
      <c r="CA7" s="1557"/>
      <c r="CB7" s="1564"/>
      <c r="CC7" s="1550">
        <f t="shared" si="0"/>
        <v>0</v>
      </c>
      <c r="CD7" s="1236">
        <f t="shared" si="1"/>
        <v>0</v>
      </c>
      <c r="CE7" s="1237">
        <f t="shared" si="2"/>
        <v>0</v>
      </c>
      <c r="CF7" s="1220"/>
      <c r="CG7" s="1751" t="str" cm="1">
        <f t="array" ref="CG7">IFERROR(INDEX($B$6:$B$53,_xlfn.AGGREGATE(15,6,(ROW($B$6:$B$53)-ROW($B$6)+1)/(MMULT(--($D$6:$CB$53&gt;0),TRANSPOSE(COLUMN($D$6:$CB$6)^0))&gt;0),ROWS($CG$6:CG7))),"")</f>
        <v/>
      </c>
      <c r="CH7" s="1752" t="str">
        <f t="shared" si="3"/>
        <v/>
      </c>
      <c r="CI7" s="1753" t="str" cm="1">
        <f t="array" ref="CI7">IF($CG7="","",IF(INDEX($D$6:$CB$53,MATCH($CG7,$B$6:$B$53,0),COLUMN()-COLUMN($CI$5)+1)&gt;0,INDEX($D$6:$CB$53,MATCH($CG7,$B$6:$B$53,0),COLUMN()-COLUMN($CI$5)+1),""))</f>
        <v/>
      </c>
      <c r="CJ7" s="1753" t="str" cm="1">
        <f t="array" ref="CJ7">IF($CG7="","",IF(INDEX($D$6:$CB$53,MATCH($CG7,$B$6:$B$53,0),COLUMN()-COLUMN($CI$5)+1)&gt;0,INDEX($D$6:$CB$53,MATCH($CG7,$B$6:$B$53,0),COLUMN()-COLUMN($CI$5)+1),""))</f>
        <v/>
      </c>
      <c r="CK7" s="1753" t="str" cm="1">
        <f t="array" ref="CK7">IF($CG7="","",IF(INDEX($D$6:$CB$53,MATCH($CG7,$B$6:$B$53,0),COLUMN()-COLUMN($CI$5)+1)&gt;0,INDEX($D$6:$CB$53,MATCH($CG7,$B$6:$B$53,0),COLUMN()-COLUMN($CI$5)+1),""))</f>
        <v/>
      </c>
      <c r="CL7" s="1753" t="str" cm="1">
        <f t="array" ref="CL7">IF($CG7="","",IF(INDEX($D$6:$CB$53,MATCH($CG7,$B$6:$B$53,0),COLUMN()-COLUMN($CI$5)+1)&gt;0,INDEX($D$6:$CB$53,MATCH($CG7,$B$6:$B$53,0),COLUMN()-COLUMN($CI$5)+1),""))</f>
        <v/>
      </c>
      <c r="CM7" s="1753" t="str" cm="1">
        <f t="array" ref="CM7">IF($CG7="","",IF(INDEX($D$6:$CB$53,MATCH($CG7,$B$6:$B$53,0),COLUMN()-COLUMN($CI$5)+1)&gt;0,INDEX($D$6:$CB$53,MATCH($CG7,$B$6:$B$53,0),COLUMN()-COLUMN($CI$5)+1),""))</f>
        <v/>
      </c>
      <c r="CN7" s="1753" t="str" cm="1">
        <f t="array" ref="CN7">IF($CG7="","",IF(INDEX($D$6:$CB$53,MATCH($CG7,$B$6:$B$53,0),COLUMN()-COLUMN($CI$5)+1)&gt;0,INDEX($D$6:$CB$53,MATCH($CG7,$B$6:$B$53,0),COLUMN()-COLUMN($CI$5)+1),""))</f>
        <v/>
      </c>
      <c r="CO7" s="1753" t="str" cm="1">
        <f t="array" ref="CO7">IF($CG7="","",IF(INDEX($D$6:$CB$53,MATCH($CG7,$B$6:$B$53,0),COLUMN()-COLUMN($CI$5)+1)&gt;0,INDEX($D$6:$CB$53,MATCH($CG7,$B$6:$B$53,0),COLUMN()-COLUMN($CI$5)+1),""))</f>
        <v/>
      </c>
      <c r="CP7" s="1753" t="str" cm="1">
        <f t="array" ref="CP7">IF($CG7="","",IF(INDEX($D$6:$CB$53,MATCH($CG7,$B$6:$B$53,0),COLUMN()-COLUMN($CI$5)+1)&gt;0,INDEX($D$6:$CB$53,MATCH($CG7,$B$6:$B$53,0),COLUMN()-COLUMN($CI$5)+1),""))</f>
        <v/>
      </c>
      <c r="CQ7" s="1753" t="str" cm="1">
        <f t="array" ref="CQ7">IF($CG7="","",IF(INDEX($D$6:$CB$53,MATCH($CG7,$B$6:$B$53,0),COLUMN()-COLUMN($CI$5)+1)&gt;0,INDEX($D$6:$CB$53,MATCH($CG7,$B$6:$B$53,0),COLUMN()-COLUMN($CI$5)+1),""))</f>
        <v/>
      </c>
      <c r="CR7" s="1753" t="str" cm="1">
        <f t="array" ref="CR7">IF($CG7="","",IF(INDEX($D$6:$CB$53,MATCH($CG7,$B$6:$B$53,0),COLUMN()-COLUMN($CI$5)+1)&gt;0,INDEX($D$6:$CB$53,MATCH($CG7,$B$6:$B$53,0),COLUMN()-COLUMN($CI$5)+1),""))</f>
        <v/>
      </c>
      <c r="CS7" s="1753" t="str" cm="1">
        <f t="array" ref="CS7">IF($CG7="","",IF(INDEX($D$6:$CB$53,MATCH($CG7,$B$6:$B$53,0),COLUMN()-COLUMN($CI$5)+1)&gt;0,INDEX($D$6:$CB$53,MATCH($CG7,$B$6:$B$53,0),COLUMN()-COLUMN($CI$5)+1),""))</f>
        <v/>
      </c>
      <c r="CT7" s="1753" t="str" cm="1">
        <f t="array" ref="CT7">IF($CG7="","",IF(INDEX($D$6:$CB$53,MATCH($CG7,$B$6:$B$53,0),COLUMN()-COLUMN($CI$5)+1)&gt;0,INDEX($D$6:$CB$53,MATCH($CG7,$B$6:$B$53,0),COLUMN()-COLUMN($CI$5)+1),""))</f>
        <v/>
      </c>
      <c r="CU7" s="1753" t="str" cm="1">
        <f t="array" ref="CU7">IF($CG7="","",IF(INDEX($D$6:$CB$53,MATCH($CG7,$B$6:$B$53,0),COLUMN()-COLUMN($CI$5)+1)&gt;0,INDEX($D$6:$CB$53,MATCH($CG7,$B$6:$B$53,0),COLUMN()-COLUMN($CI$5)+1),""))</f>
        <v/>
      </c>
      <c r="CV7" s="1753" t="str" cm="1">
        <f t="array" ref="CV7">IF($CG7="","",IF(INDEX($D$6:$CB$53,MATCH($CG7,$B$6:$B$53,0),COLUMN()-COLUMN($CI$5)+1)&gt;0,INDEX($D$6:$CB$53,MATCH($CG7,$B$6:$B$53,0),COLUMN()-COLUMN($CI$5)+1),""))</f>
        <v/>
      </c>
      <c r="CW7" s="1753" t="str" cm="1">
        <f t="array" ref="CW7">IF($CG7="","",IF(INDEX($D$6:$CB$53,MATCH($CG7,$B$6:$B$53,0),COLUMN()-COLUMN($CI$5)+1)&gt;0,INDEX($D$6:$CB$53,MATCH($CG7,$B$6:$B$53,0),COLUMN()-COLUMN($CI$5)+1),""))</f>
        <v/>
      </c>
      <c r="CX7" s="1753" t="str" cm="1">
        <f t="array" ref="CX7">IF($CG7="","",IF(INDEX($D$6:$CB$53,MATCH($CG7,$B$6:$B$53,0),COLUMN()-COLUMN($CI$5)+1)&gt;0,INDEX($D$6:$CB$53,MATCH($CG7,$B$6:$B$53,0),COLUMN()-COLUMN($CI$5)+1),""))</f>
        <v/>
      </c>
      <c r="CY7" s="1753" t="str" cm="1">
        <f t="array" ref="CY7">IF($CG7="","",IF(INDEX($D$6:$CB$53,MATCH($CG7,$B$6:$B$53,0),COLUMN()-COLUMN($CI$5)+1)&gt;0,INDEX($D$6:$CB$53,MATCH($CG7,$B$6:$B$53,0),COLUMN()-COLUMN($CI$5)+1),""))</f>
        <v/>
      </c>
      <c r="CZ7" s="1753" t="str" cm="1">
        <f t="array" ref="CZ7">IF($CG7="","",IF(INDEX($D$6:$CB$53,MATCH($CG7,$B$6:$B$53,0),COLUMN()-COLUMN($CI$5)+1)&gt;0,INDEX($D$6:$CB$53,MATCH($CG7,$B$6:$B$53,0),COLUMN()-COLUMN($CI$5)+1),""))</f>
        <v/>
      </c>
      <c r="DA7" s="1753" t="str" cm="1">
        <f t="array" ref="DA7">IF($CG7="","",IF(INDEX($D$6:$CB$53,MATCH($CG7,$B$6:$B$53,0),COLUMN()-COLUMN($CI$5)+1)&gt;0,INDEX($D$6:$CB$53,MATCH($CG7,$B$6:$B$53,0),COLUMN()-COLUMN($CI$5)+1),""))</f>
        <v/>
      </c>
      <c r="DB7" s="1753" t="str" cm="1">
        <f t="array" ref="DB7">IF($CG7="","",IF(INDEX($D$6:$CB$53,MATCH($CG7,$B$6:$B$53,0),COLUMN()-COLUMN($CI$5)+1)&gt;0,INDEX($D$6:$CB$53,MATCH($CG7,$B$6:$B$53,0),COLUMN()-COLUMN($CI$5)+1),""))</f>
        <v/>
      </c>
      <c r="DC7" s="1753" t="str" cm="1">
        <f t="array" ref="DC7">IF($CG7="","",IF(INDEX($D$6:$CB$53,MATCH($CG7,$B$6:$B$53,0),COLUMN()-COLUMN($CI$5)+1)&gt;0,INDEX($D$6:$CB$53,MATCH($CG7,$B$6:$B$53,0),COLUMN()-COLUMN($CI$5)+1),""))</f>
        <v/>
      </c>
      <c r="DD7" s="1753" t="str" cm="1">
        <f t="array" ref="DD7">IF($CG7="","",IF(INDEX($D$6:$CB$53,MATCH($CG7,$B$6:$B$53,0),COLUMN()-COLUMN($CI$5)+1)&gt;0,INDEX($D$6:$CB$53,MATCH($CG7,$B$6:$B$53,0),COLUMN()-COLUMN($CI$5)+1),""))</f>
        <v/>
      </c>
      <c r="DE7" s="1753" t="str" cm="1">
        <f t="array" ref="DE7">IF($CG7="","",IF(INDEX($D$6:$CB$53,MATCH($CG7,$B$6:$B$53,0),COLUMN()-COLUMN($CI$5)+1)&gt;0,INDEX($D$6:$CB$53,MATCH($CG7,$B$6:$B$53,0),COLUMN()-COLUMN($CI$5)+1),""))</f>
        <v/>
      </c>
      <c r="DF7" s="1753" t="str" cm="1">
        <f t="array" ref="DF7">IF($CG7="","",IF(INDEX($D$6:$CB$53,MATCH($CG7,$B$6:$B$53,0),COLUMN()-COLUMN($CI$5)+1)&gt;0,INDEX($D$6:$CB$53,MATCH($CG7,$B$6:$B$53,0),COLUMN()-COLUMN($CI$5)+1),""))</f>
        <v/>
      </c>
      <c r="DG7" s="1753" t="str" cm="1">
        <f t="array" ref="DG7">IF($CG7="","",IF(INDEX($D$6:$CB$53,MATCH($CG7,$B$6:$B$53,0),COLUMN()-COLUMN($CI$5)+1)&gt;0,INDEX($D$6:$CB$53,MATCH($CG7,$B$6:$B$53,0),COLUMN()-COLUMN($CI$5)+1),""))</f>
        <v/>
      </c>
      <c r="DH7" s="1753" t="str" cm="1">
        <f t="array" ref="DH7">IF($CG7="","",IF(INDEX($D$6:$CB$53,MATCH($CG7,$B$6:$B$53,0),COLUMN()-COLUMN($CI$5)+1)&gt;0,INDEX($D$6:$CB$53,MATCH($CG7,$B$6:$B$53,0),COLUMN()-COLUMN($CI$5)+1),""))</f>
        <v/>
      </c>
      <c r="DI7" s="1753" t="str" cm="1">
        <f t="array" ref="DI7">IF($CG7="","",IF(INDEX($D$6:$CB$53,MATCH($CG7,$B$6:$B$53,0),COLUMN()-COLUMN($CI$5)+1)&gt;0,INDEX($D$6:$CB$53,MATCH($CG7,$B$6:$B$53,0),COLUMN()-COLUMN($CI$5)+1),""))</f>
        <v/>
      </c>
      <c r="DJ7" s="1753" t="str" cm="1">
        <f t="array" ref="DJ7">IF($CG7="","",IF(INDEX($D$6:$CB$53,MATCH($CG7,$B$6:$B$53,0),COLUMN()-COLUMN($CI$5)+1)&gt;0,INDEX($D$6:$CB$53,MATCH($CG7,$B$6:$B$53,0),COLUMN()-COLUMN($CI$5)+1),""))</f>
        <v/>
      </c>
      <c r="DK7" s="1753" t="str" cm="1">
        <f t="array" ref="DK7">IF($CG7="","",IF(INDEX($D$6:$CB$53,MATCH($CG7,$B$6:$B$53,0),COLUMN()-COLUMN($CI$5)+1)&gt;0,INDEX($D$6:$CB$53,MATCH($CG7,$B$6:$B$53,0),COLUMN()-COLUMN($CI$5)+1),""))</f>
        <v/>
      </c>
      <c r="DL7" s="1753" t="str" cm="1">
        <f t="array" ref="DL7">IF($CG7="","",IF(INDEX($D$6:$CB$53,MATCH($CG7,$B$6:$B$53,0),COLUMN()-COLUMN($CI$5)+1)&gt;0,INDEX($D$6:$CB$53,MATCH($CG7,$B$6:$B$53,0),COLUMN()-COLUMN($CI$5)+1),""))</f>
        <v/>
      </c>
      <c r="DM7" s="1753" t="str" cm="1">
        <f t="array" ref="DM7">IF($CG7="","",IF(INDEX($D$6:$CB$53,MATCH($CG7,$B$6:$B$53,0),COLUMN()-COLUMN($CI$5)+1)&gt;0,INDEX($D$6:$CB$53,MATCH($CG7,$B$6:$B$53,0),COLUMN()-COLUMN($CI$5)+1),""))</f>
        <v/>
      </c>
      <c r="DN7" s="1753" t="str" cm="1">
        <f t="array" ref="DN7">IF($CG7="","",IF(INDEX($D$6:$CB$53,MATCH($CG7,$B$6:$B$53,0),COLUMN()-COLUMN($CI$5)+1)&gt;0,INDEX($D$6:$CB$53,MATCH($CG7,$B$6:$B$53,0),COLUMN()-COLUMN($CI$5)+1),""))</f>
        <v/>
      </c>
      <c r="DO7" s="1753" t="str" cm="1">
        <f t="array" ref="DO7">IF($CG7="","",IF(INDEX($D$6:$CB$53,MATCH($CG7,$B$6:$B$53,0),COLUMN()-COLUMN($CI$5)+1)&gt;0,INDEX($D$6:$CB$53,MATCH($CG7,$B$6:$B$53,0),COLUMN()-COLUMN($CI$5)+1),""))</f>
        <v/>
      </c>
      <c r="DP7" s="1753" t="str" cm="1">
        <f t="array" ref="DP7">IF($CG7="","",IF(INDEX($D$6:$CB$53,MATCH($CG7,$B$6:$B$53,0),COLUMN()-COLUMN($CI$5)+1)&gt;0,INDEX($D$6:$CB$53,MATCH($CG7,$B$6:$B$53,0),COLUMN()-COLUMN($CI$5)+1),""))</f>
        <v/>
      </c>
      <c r="DQ7" s="1753" t="str" cm="1">
        <f t="array" ref="DQ7">IF($CG7="","",IF(INDEX($D$6:$CB$53,MATCH($CG7,$B$6:$B$53,0),COLUMN()-COLUMN($CI$5)+1)&gt;0,INDEX($D$6:$CB$53,MATCH($CG7,$B$6:$B$53,0),COLUMN()-COLUMN($CI$5)+1),""))</f>
        <v/>
      </c>
      <c r="DR7" s="1753" t="str" cm="1">
        <f t="array" ref="DR7">IF($CG7="","",IF(INDEX($D$6:$CB$53,MATCH($CG7,$B$6:$B$53,0),COLUMN()-COLUMN($CI$5)+1)&gt;0,INDEX($D$6:$CB$53,MATCH($CG7,$B$6:$B$53,0),COLUMN()-COLUMN($CI$5)+1),""))</f>
        <v/>
      </c>
      <c r="DS7" s="1753" t="str" cm="1">
        <f t="array" ref="DS7">IF($CG7="","",IF(INDEX($D$6:$CB$53,MATCH($CG7,$B$6:$B$53,0),COLUMN()-COLUMN($CI$5)+1)&gt;0,INDEX($D$6:$CB$53,MATCH($CG7,$B$6:$B$53,0),COLUMN()-COLUMN($CI$5)+1),""))</f>
        <v/>
      </c>
      <c r="DT7" s="1753" t="str" cm="1">
        <f t="array" ref="DT7">IF($CG7="","",IF(INDEX($D$6:$CB$53,MATCH($CG7,$B$6:$B$53,0),COLUMN()-COLUMN($CI$5)+1)&gt;0,INDEX($D$6:$CB$53,MATCH($CG7,$B$6:$B$53,0),COLUMN()-COLUMN($CI$5)+1),""))</f>
        <v/>
      </c>
      <c r="DU7" s="1753" t="str" cm="1">
        <f t="array" ref="DU7">IF($CG7="","",IF(INDEX($D$6:$CB$53,MATCH($CG7,$B$6:$B$53,0),COLUMN()-COLUMN($CI$5)+1)&gt;0,INDEX($D$6:$CB$53,MATCH($CG7,$B$6:$B$53,0),COLUMN()-COLUMN($CI$5)+1),""))</f>
        <v/>
      </c>
      <c r="DV7" s="1753" t="str" cm="1">
        <f t="array" ref="DV7">IF($CG7="","",IF(INDEX($D$6:$CB$53,MATCH($CG7,$B$6:$B$53,0),COLUMN()-COLUMN($CI$5)+1)&gt;0,INDEX($D$6:$CB$53,MATCH($CG7,$B$6:$B$53,0),COLUMN()-COLUMN($CI$5)+1),""))</f>
        <v/>
      </c>
      <c r="DW7" s="1753" t="str" cm="1">
        <f t="array" ref="DW7">IF($CG7="","",IF(INDEX($D$6:$CB$53,MATCH($CG7,$B$6:$B$53,0),COLUMN()-COLUMN($CI$5)+1)&gt;0,INDEX($D$6:$CB$53,MATCH($CG7,$B$6:$B$53,0),COLUMN()-COLUMN($CI$5)+1),""))</f>
        <v/>
      </c>
      <c r="DX7" s="1753" t="str" cm="1">
        <f t="array" ref="DX7">IF($CG7="","",IF(INDEX($D$6:$CB$53,MATCH($CG7,$B$6:$B$53,0),COLUMN()-COLUMN($CI$5)+1)&gt;0,INDEX($D$6:$CB$53,MATCH($CG7,$B$6:$B$53,0),COLUMN()-COLUMN($CI$5)+1),""))</f>
        <v/>
      </c>
      <c r="DY7" s="1753" t="str" cm="1">
        <f t="array" ref="DY7">IF($CG7="","",IF(INDEX($D$6:$CB$53,MATCH($CG7,$B$6:$B$53,0),COLUMN()-COLUMN($CI$5)+1)&gt;0,INDEX($D$6:$CB$53,MATCH($CG7,$B$6:$B$53,0),COLUMN()-COLUMN($CI$5)+1),""))</f>
        <v/>
      </c>
      <c r="DZ7" s="1753" t="str" cm="1">
        <f t="array" ref="DZ7">IF($CG7="","",IF(INDEX($D$6:$CB$53,MATCH($CG7,$B$6:$B$53,0),COLUMN()-COLUMN($CI$5)+1)&gt;0,INDEX($D$6:$CB$53,MATCH($CG7,$B$6:$B$53,0),COLUMN()-COLUMN($CI$5)+1),""))</f>
        <v/>
      </c>
      <c r="EA7" s="1753" t="str" cm="1">
        <f t="array" ref="EA7">IF($CG7="","",IF(INDEX($D$6:$CB$53,MATCH($CG7,$B$6:$B$53,0),COLUMN()-COLUMN($CI$5)+1)&gt;0,INDEX($D$6:$CB$53,MATCH($CG7,$B$6:$B$53,0),COLUMN()-COLUMN($CI$5)+1),""))</f>
        <v/>
      </c>
      <c r="EB7" s="1753" t="str" cm="1">
        <f t="array" ref="EB7">IF($CG7="","",IF(INDEX($D$6:$CB$53,MATCH($CG7,$B$6:$B$53,0),COLUMN()-COLUMN($CI$5)+1)&gt;0,INDEX($D$6:$CB$53,MATCH($CG7,$B$6:$B$53,0),COLUMN()-COLUMN($CI$5)+1),""))</f>
        <v/>
      </c>
      <c r="EC7" s="1753" t="str" cm="1">
        <f t="array" ref="EC7">IF($CG7="","",IF(INDEX($D$6:$CB$53,MATCH($CG7,$B$6:$B$53,0),COLUMN()-COLUMN($CI$5)+1)&gt;0,INDEX($D$6:$CB$53,MATCH($CG7,$B$6:$B$53,0),COLUMN()-COLUMN($CI$5)+1),""))</f>
        <v/>
      </c>
      <c r="ED7" s="1753" t="str" cm="1">
        <f t="array" ref="ED7">IF($CG7="","",IF(INDEX($D$6:$CB$53,MATCH($CG7,$B$6:$B$53,0),COLUMN()-COLUMN($CI$5)+1)&gt;0,INDEX($D$6:$CB$53,MATCH($CG7,$B$6:$B$53,0),COLUMN()-COLUMN($CI$5)+1),""))</f>
        <v/>
      </c>
      <c r="EE7" s="1753" t="str" cm="1">
        <f t="array" ref="EE7">IF($CG7="","",IF(INDEX($D$6:$CB$53,MATCH($CG7,$B$6:$B$53,0),COLUMN()-COLUMN($CI$5)+1)&gt;0,INDEX($D$6:$CB$53,MATCH($CG7,$B$6:$B$53,0),COLUMN()-COLUMN($CI$5)+1),""))</f>
        <v/>
      </c>
      <c r="EF7" s="1753" t="str" cm="1">
        <f t="array" ref="EF7">IF($CG7="","",IF(INDEX($D$6:$CB$53,MATCH($CG7,$B$6:$B$53,0),COLUMN()-COLUMN($CI$5)+1)&gt;0,INDEX($D$6:$CB$53,MATCH($CG7,$B$6:$B$53,0),COLUMN()-COLUMN($CI$5)+1),""))</f>
        <v/>
      </c>
      <c r="EG7" s="1753" t="str" cm="1">
        <f t="array" ref="EG7">IF($CG7="","",IF(INDEX($D$6:$CB$53,MATCH($CG7,$B$6:$B$53,0),COLUMN()-COLUMN($CI$5)+1)&gt;0,INDEX($D$6:$CB$53,MATCH($CG7,$B$6:$B$53,0),COLUMN()-COLUMN($CI$5)+1),""))</f>
        <v/>
      </c>
      <c r="EH7" s="1753" t="str" cm="1">
        <f t="array" ref="EH7">IF($CG7="","",IF(INDEX($D$6:$CB$53,MATCH($CG7,$B$6:$B$53,0),COLUMN()-COLUMN($CI$5)+1)&gt;0,INDEX($D$6:$CB$53,MATCH($CG7,$B$6:$B$53,0),COLUMN()-COLUMN($CI$5)+1),""))</f>
        <v/>
      </c>
      <c r="EI7" s="1753" t="str" cm="1">
        <f t="array" ref="EI7">IF($CG7="","",IF(INDEX($D$6:$CB$53,MATCH($CG7,$B$6:$B$53,0),COLUMN()-COLUMN($CI$5)+1)&gt;0,INDEX($D$6:$CB$53,MATCH($CG7,$B$6:$B$53,0),COLUMN()-COLUMN($CI$5)+1),""))</f>
        <v/>
      </c>
      <c r="EJ7" s="1753" t="str" cm="1">
        <f t="array" ref="EJ7">IF($CG7="","",IF(INDEX($D$6:$CB$53,MATCH($CG7,$B$6:$B$53,0),COLUMN()-COLUMN($CI$5)+1)&gt;0,INDEX($D$6:$CB$53,MATCH($CG7,$B$6:$B$53,0),COLUMN()-COLUMN($CI$5)+1),""))</f>
        <v/>
      </c>
      <c r="EK7" s="1753" t="str" cm="1">
        <f t="array" ref="EK7">IF($CG7="","",IF(INDEX($D$6:$CB$53,MATCH($CG7,$B$6:$B$53,0),COLUMN()-COLUMN($CI$5)+1)&gt;0,INDEX($D$6:$CB$53,MATCH($CG7,$B$6:$B$53,0),COLUMN()-COLUMN($CI$5)+1),""))</f>
        <v/>
      </c>
      <c r="EL7" s="1753" t="str" cm="1">
        <f t="array" ref="EL7">IF($CG7="","",IF(INDEX($D$6:$CB$53,MATCH($CG7,$B$6:$B$53,0),COLUMN()-COLUMN($CI$5)+1)&gt;0,INDEX($D$6:$CB$53,MATCH($CG7,$B$6:$B$53,0),COLUMN()-COLUMN($CI$5)+1),""))</f>
        <v/>
      </c>
      <c r="EM7" s="1753" t="str" cm="1">
        <f t="array" ref="EM7">IF($CG7="","",IF(INDEX($D$6:$CB$53,MATCH($CG7,$B$6:$B$53,0),COLUMN()-COLUMN($CI$5)+1)&gt;0,INDEX($D$6:$CB$53,MATCH($CG7,$B$6:$B$53,0),COLUMN()-COLUMN($CI$5)+1),""))</f>
        <v/>
      </c>
      <c r="EN7" s="1753" t="str" cm="1">
        <f t="array" ref="EN7">IF($CG7="","",IF(INDEX($D$6:$CB$53,MATCH($CG7,$B$6:$B$53,0),COLUMN()-COLUMN($CI$5)+1)&gt;0,INDEX($D$6:$CB$53,MATCH($CG7,$B$6:$B$53,0),COLUMN()-COLUMN($CI$5)+1),""))</f>
        <v/>
      </c>
      <c r="EO7" s="1753" t="str" cm="1">
        <f t="array" ref="EO7">IF($CG7="","",IF(INDEX($D$6:$CB$53,MATCH($CG7,$B$6:$B$53,0),COLUMN()-COLUMN($CI$5)+1)&gt;0,INDEX($D$6:$CB$53,MATCH($CG7,$B$6:$B$53,0),COLUMN()-COLUMN($CI$5)+1),""))</f>
        <v/>
      </c>
      <c r="EP7" s="1753" t="str" cm="1">
        <f t="array" ref="EP7">IF($CG7="","",IF(INDEX($D$6:$CB$53,MATCH($CG7,$B$6:$B$53,0),COLUMN()-COLUMN($CI$5)+1)&gt;0,INDEX($D$6:$CB$53,MATCH($CG7,$B$6:$B$53,0),COLUMN()-COLUMN($CI$5)+1),""))</f>
        <v/>
      </c>
      <c r="EQ7" s="1753" t="str" cm="1">
        <f t="array" ref="EQ7">IF($CG7="","",IF(INDEX($D$6:$CB$53,MATCH($CG7,$B$6:$B$53,0),COLUMN()-COLUMN($CI$5)+1)&gt;0,INDEX($D$6:$CB$53,MATCH($CG7,$B$6:$B$53,0),COLUMN()-COLUMN($CI$5)+1),""))</f>
        <v/>
      </c>
      <c r="ER7" s="1753" t="str" cm="1">
        <f t="array" ref="ER7">IF($CG7="","",IF(INDEX($D$6:$CB$53,MATCH($CG7,$B$6:$B$53,0),COLUMN()-COLUMN($CI$5)+1)&gt;0,INDEX($D$6:$CB$53,MATCH($CG7,$B$6:$B$53,0),COLUMN()-COLUMN($CI$5)+1),""))</f>
        <v/>
      </c>
      <c r="ES7" s="1753" t="str" cm="1">
        <f t="array" ref="ES7">IF($CG7="","",IF(INDEX($D$6:$CB$53,MATCH($CG7,$B$6:$B$53,0),COLUMN()-COLUMN($CI$5)+1)&gt;0,INDEX($D$6:$CB$53,MATCH($CG7,$B$6:$B$53,0),COLUMN()-COLUMN($CI$5)+1),""))</f>
        <v/>
      </c>
      <c r="ET7" s="1753" t="str" cm="1">
        <f t="array" ref="ET7">IF($CG7="","",IF(INDEX($D$6:$CB$53,MATCH($CG7,$B$6:$B$53,0),COLUMN()-COLUMN($CI$5)+1)&gt;0,INDEX($D$6:$CB$53,MATCH($CG7,$B$6:$B$53,0),COLUMN()-COLUMN($CI$5)+1),""))</f>
        <v/>
      </c>
      <c r="EU7" s="1753" t="str" cm="1">
        <f t="array" ref="EU7">IF($CG7="","",IF(INDEX($D$6:$CB$53,MATCH($CG7,$B$6:$B$53,0),COLUMN()-COLUMN($CI$5)+1)&gt;0,INDEX($D$6:$CB$53,MATCH($CG7,$B$6:$B$53,0),COLUMN()-COLUMN($CI$5)+1),""))</f>
        <v/>
      </c>
      <c r="EV7" s="1753" t="str" cm="1">
        <f t="array" ref="EV7">IF($CG7="","",IF(INDEX($D$6:$CB$53,MATCH($CG7,$B$6:$B$53,0),COLUMN()-COLUMN($CI$5)+1)&gt;0,INDEX($D$6:$CB$53,MATCH($CG7,$B$6:$B$53,0),COLUMN()-COLUMN($CI$5)+1),""))</f>
        <v/>
      </c>
      <c r="EW7" s="1753" t="str" cm="1">
        <f t="array" ref="EW7">IF($CG7="","",IF(INDEX($D$6:$CB$53,MATCH($CG7,$B$6:$B$53,0),COLUMN()-COLUMN($CI$5)+1)&gt;0,INDEX($D$6:$CB$53,MATCH($CG7,$B$6:$B$53,0),COLUMN()-COLUMN($CI$5)+1),""))</f>
        <v/>
      </c>
      <c r="EX7" s="1753" t="str" cm="1">
        <f t="array" ref="EX7">IF($CG7="","",IF(INDEX($D$6:$CB$53,MATCH($CG7,$B$6:$B$53,0),COLUMN()-COLUMN($CI$5)+1)&gt;0,INDEX($D$6:$CB$53,MATCH($CG7,$B$6:$B$53,0),COLUMN()-COLUMN($CI$5)+1),""))</f>
        <v/>
      </c>
      <c r="EY7" s="1753" t="str" cm="1">
        <f t="array" ref="EY7">IF($CG7="","",IF(INDEX($D$6:$CB$53,MATCH($CG7,$B$6:$B$53,0),COLUMN()-COLUMN($CI$5)+1)&gt;0,INDEX($D$6:$CB$53,MATCH($CG7,$B$6:$B$53,0),COLUMN()-COLUMN($CI$5)+1),""))</f>
        <v/>
      </c>
      <c r="EZ7" s="1753" t="str" cm="1">
        <f t="array" ref="EZ7">IF($CG7="","",IF(INDEX($D$6:$CB$53,MATCH($CG7,$B$6:$B$53,0),COLUMN()-COLUMN($CI$5)+1)&gt;0,INDEX($D$6:$CB$53,MATCH($CG7,$B$6:$B$53,0),COLUMN()-COLUMN($CI$5)+1),""))</f>
        <v/>
      </c>
      <c r="FA7" s="1753" t="str" cm="1">
        <f t="array" ref="FA7">IF($CG7="","",IF(INDEX($D$6:$CB$53,MATCH($CG7,$B$6:$B$53,0),COLUMN()-COLUMN($CI$5)+1)&gt;0,INDEX($D$6:$CB$53,MATCH($CG7,$B$6:$B$53,0),COLUMN()-COLUMN($CI$5)+1),""))</f>
        <v/>
      </c>
      <c r="FB7" s="1753" t="str" cm="1">
        <f t="array" ref="FB7">IF($CG7="","",IF(INDEX($D$6:$CB$53,MATCH($CG7,$B$6:$B$53,0),COLUMN()-COLUMN($CI$5)+1)&gt;0,INDEX($D$6:$CB$53,MATCH($CG7,$B$6:$B$53,0),COLUMN()-COLUMN($CI$5)+1),""))</f>
        <v/>
      </c>
      <c r="FC7" s="1753" t="str" cm="1">
        <f t="array" ref="FC7">IF($CG7="","",IF(INDEX($D$6:$CB$53,MATCH($CG7,$B$6:$B$53,0),COLUMN()-COLUMN($CI$5)+1)&gt;0,INDEX($D$6:$CB$53,MATCH($CG7,$B$6:$B$53,0),COLUMN()-COLUMN($CI$5)+1),""))</f>
        <v/>
      </c>
      <c r="FD7" s="1753" t="str" cm="1">
        <f t="array" ref="FD7">IF($CG7="","",IF(INDEX($D$6:$CB$53,MATCH($CG7,$B$6:$B$53,0),COLUMN()-COLUMN($CI$5)+1)&gt;0,INDEX($D$6:$CB$53,MATCH($CG7,$B$6:$B$53,0),COLUMN()-COLUMN($CI$5)+1),""))</f>
        <v/>
      </c>
      <c r="FE7" s="1753" t="str" cm="1">
        <f t="array" ref="FE7">IF($CG7="","",IF(INDEX($D$6:$CB$53,MATCH($CG7,$B$6:$B$53,0),COLUMN()-COLUMN($CI$5)+1)&gt;0,INDEX($D$6:$CB$53,MATCH($CG7,$B$6:$B$53,0),COLUMN()-COLUMN($CI$5)+1),""))</f>
        <v/>
      </c>
      <c r="FF7" s="1753" t="str" cm="1">
        <f t="array" ref="FF7">IF($CG7="","",IF(INDEX($D$6:$CB$53,MATCH($CG7,$B$6:$B$53,0),COLUMN()-COLUMN($CI$5)+1)&gt;0,INDEX($D$6:$CB$53,MATCH($CG7,$B$6:$B$53,0),COLUMN()-COLUMN($CI$5)+1),""))</f>
        <v/>
      </c>
      <c r="FG7" s="1758" t="str" cm="1">
        <f t="array" ref="FG7">IF($CG7="","",IF(INDEX($D$6:$CB$53,MATCH($CG7,$B$6:$B$53,0),COLUMN()-COLUMN($CI$5)+1)&gt;0,INDEX($D$6:$CB$53,MATCH($CG7,$B$6:$B$53,0),COLUMN()-COLUMN($CI$5)+1),""))</f>
        <v/>
      </c>
      <c r="FH7" s="1764" t="str">
        <f t="shared" si="4"/>
        <v/>
      </c>
      <c r="FI7" s="1756" t="str">
        <f t="shared" si="5"/>
        <v/>
      </c>
      <c r="FJ7" s="1767" t="str">
        <f t="shared" si="6"/>
        <v/>
      </c>
      <c r="FK7" s="1760"/>
    </row>
    <row r="8" spans="1:167" ht="15.75" customHeight="1" thickBot="1">
      <c r="A8" s="1220"/>
      <c r="B8" s="1278">
        <f>+PP!B26</f>
        <v>3</v>
      </c>
      <c r="C8" s="1280" t="str">
        <f>+PP!C26</f>
        <v>ANILLAS BLANCAS SM ST MEDIANA</v>
      </c>
      <c r="D8" s="1407"/>
      <c r="E8" s="1408"/>
      <c r="F8" s="1408"/>
      <c r="G8" s="1408"/>
      <c r="H8" s="1408"/>
      <c r="I8" s="1408"/>
      <c r="J8" s="1408"/>
      <c r="K8" s="1408"/>
      <c r="L8" s="1408"/>
      <c r="M8" s="1408"/>
      <c r="N8" s="1408"/>
      <c r="O8" s="1408"/>
      <c r="P8" s="1408"/>
      <c r="Q8" s="1408"/>
      <c r="R8" s="1408"/>
      <c r="S8" s="1408"/>
      <c r="T8" s="1408"/>
      <c r="U8" s="1408"/>
      <c r="V8" s="1408"/>
      <c r="W8" s="1408"/>
      <c r="X8" s="1408"/>
      <c r="Y8" s="1408"/>
      <c r="Z8" s="1408"/>
      <c r="AA8" s="1408"/>
      <c r="AB8" s="1408"/>
      <c r="AC8" s="1408"/>
      <c r="AD8" s="1408"/>
      <c r="AE8" s="1408"/>
      <c r="AF8" s="1408"/>
      <c r="AG8" s="1408"/>
      <c r="AH8" s="1409"/>
      <c r="AI8" s="1238"/>
      <c r="AJ8" s="1238"/>
      <c r="AK8" s="1238"/>
      <c r="AL8" s="1238"/>
      <c r="AM8" s="1238"/>
      <c r="AN8" s="1238"/>
      <c r="AO8" s="1238"/>
      <c r="AP8" s="1238"/>
      <c r="AQ8" s="1238"/>
      <c r="AR8" s="1238"/>
      <c r="AS8" s="1238"/>
      <c r="AT8" s="1238"/>
      <c r="AU8" s="1238"/>
      <c r="AV8" s="1238"/>
      <c r="AW8" s="1238"/>
      <c r="AX8" s="1238"/>
      <c r="AY8" s="1238"/>
      <c r="AZ8" s="1238"/>
      <c r="BA8" s="1238"/>
      <c r="BB8" s="1238"/>
      <c r="BC8" s="1238"/>
      <c r="BD8" s="1238"/>
      <c r="BE8" s="1238"/>
      <c r="BF8" s="1238"/>
      <c r="BG8" s="1238"/>
      <c r="BH8" s="1238"/>
      <c r="BI8" s="1238"/>
      <c r="BJ8" s="1238"/>
      <c r="BK8" s="1238"/>
      <c r="BL8" s="1238"/>
      <c r="BM8" s="1238"/>
      <c r="BN8" s="1238"/>
      <c r="BO8" s="1238"/>
      <c r="BP8" s="1238"/>
      <c r="BQ8" s="1238"/>
      <c r="BR8" s="1565"/>
      <c r="BS8" s="1565"/>
      <c r="BT8" s="1565"/>
      <c r="BU8" s="1565"/>
      <c r="BV8" s="1565"/>
      <c r="BW8" s="1565"/>
      <c r="BX8" s="1565"/>
      <c r="BY8" s="1565"/>
      <c r="BZ8" s="1565"/>
      <c r="CA8" s="1565"/>
      <c r="CB8" s="1566"/>
      <c r="CC8" s="1551">
        <f t="shared" si="0"/>
        <v>0</v>
      </c>
      <c r="CD8" s="1239">
        <f t="shared" si="1"/>
        <v>0</v>
      </c>
      <c r="CE8" s="1240">
        <f t="shared" si="2"/>
        <v>0</v>
      </c>
      <c r="CF8" s="1220"/>
      <c r="CG8" s="1751" t="str" cm="1">
        <f t="array" ref="CG8">IFERROR(INDEX($B$6:$B$53,_xlfn.AGGREGATE(15,6,(ROW($B$6:$B$53)-ROW($B$6)+1)/(MMULT(--($D$6:$CB$53&gt;0),TRANSPOSE(COLUMN($D$6:$CB$6)^0))&gt;0),ROWS($CG$6:CG8))),"")</f>
        <v/>
      </c>
      <c r="CH8" s="1752" t="str">
        <f t="shared" si="3"/>
        <v/>
      </c>
      <c r="CI8" s="1753" t="str" cm="1">
        <f t="array" ref="CI8">IF($CG8="","",IF(INDEX($D$6:$CB$53,MATCH($CG8,$B$6:$B$53,0),COLUMN()-COLUMN($CI$5)+1)&gt;0,INDEX($D$6:$CB$53,MATCH($CG8,$B$6:$B$53,0),COLUMN()-COLUMN($CI$5)+1),""))</f>
        <v/>
      </c>
      <c r="CJ8" s="1753" t="str" cm="1">
        <f t="array" ref="CJ8">IF($CG8="","",IF(INDEX($D$6:$CB$53,MATCH($CG8,$B$6:$B$53,0),COLUMN()-COLUMN($CI$5)+1)&gt;0,INDEX($D$6:$CB$53,MATCH($CG8,$B$6:$B$53,0),COLUMN()-COLUMN($CI$5)+1),""))</f>
        <v/>
      </c>
      <c r="CK8" s="1753" t="str" cm="1">
        <f t="array" ref="CK8">IF($CG8="","",IF(INDEX($D$6:$CB$53,MATCH($CG8,$B$6:$B$53,0),COLUMN()-COLUMN($CI$5)+1)&gt;0,INDEX($D$6:$CB$53,MATCH($CG8,$B$6:$B$53,0),COLUMN()-COLUMN($CI$5)+1),""))</f>
        <v/>
      </c>
      <c r="CL8" s="1753" t="str" cm="1">
        <f t="array" ref="CL8">IF($CG8="","",IF(INDEX($D$6:$CB$53,MATCH($CG8,$B$6:$B$53,0),COLUMN()-COLUMN($CI$5)+1)&gt;0,INDEX($D$6:$CB$53,MATCH($CG8,$B$6:$B$53,0),COLUMN()-COLUMN($CI$5)+1),""))</f>
        <v/>
      </c>
      <c r="CM8" s="1753" t="str" cm="1">
        <f t="array" ref="CM8">IF($CG8="","",IF(INDEX($D$6:$CB$53,MATCH($CG8,$B$6:$B$53,0),COLUMN()-COLUMN($CI$5)+1)&gt;0,INDEX($D$6:$CB$53,MATCH($CG8,$B$6:$B$53,0),COLUMN()-COLUMN($CI$5)+1),""))</f>
        <v/>
      </c>
      <c r="CN8" s="1753" t="str" cm="1">
        <f t="array" ref="CN8">IF($CG8="","",IF(INDEX($D$6:$CB$53,MATCH($CG8,$B$6:$B$53,0),COLUMN()-COLUMN($CI$5)+1)&gt;0,INDEX($D$6:$CB$53,MATCH($CG8,$B$6:$B$53,0),COLUMN()-COLUMN($CI$5)+1),""))</f>
        <v/>
      </c>
      <c r="CO8" s="1753" t="str" cm="1">
        <f t="array" ref="CO8">IF($CG8="","",IF(INDEX($D$6:$CB$53,MATCH($CG8,$B$6:$B$53,0),COLUMN()-COLUMN($CI$5)+1)&gt;0,INDEX($D$6:$CB$53,MATCH($CG8,$B$6:$B$53,0),COLUMN()-COLUMN($CI$5)+1),""))</f>
        <v/>
      </c>
      <c r="CP8" s="1753" t="str" cm="1">
        <f t="array" ref="CP8">IF($CG8="","",IF(INDEX($D$6:$CB$53,MATCH($CG8,$B$6:$B$53,0),COLUMN()-COLUMN($CI$5)+1)&gt;0,INDEX($D$6:$CB$53,MATCH($CG8,$B$6:$B$53,0),COLUMN()-COLUMN($CI$5)+1),""))</f>
        <v/>
      </c>
      <c r="CQ8" s="1753" t="str" cm="1">
        <f t="array" ref="CQ8">IF($CG8="","",IF(INDEX($D$6:$CB$53,MATCH($CG8,$B$6:$B$53,0),COLUMN()-COLUMN($CI$5)+1)&gt;0,INDEX($D$6:$CB$53,MATCH($CG8,$B$6:$B$53,0),COLUMN()-COLUMN($CI$5)+1),""))</f>
        <v/>
      </c>
      <c r="CR8" s="1753" t="str" cm="1">
        <f t="array" ref="CR8">IF($CG8="","",IF(INDEX($D$6:$CB$53,MATCH($CG8,$B$6:$B$53,0),COLUMN()-COLUMN($CI$5)+1)&gt;0,INDEX($D$6:$CB$53,MATCH($CG8,$B$6:$B$53,0),COLUMN()-COLUMN($CI$5)+1),""))</f>
        <v/>
      </c>
      <c r="CS8" s="1753" t="str" cm="1">
        <f t="array" ref="CS8">IF($CG8="","",IF(INDEX($D$6:$CB$53,MATCH($CG8,$B$6:$B$53,0),COLUMN()-COLUMN($CI$5)+1)&gt;0,INDEX($D$6:$CB$53,MATCH($CG8,$B$6:$B$53,0),COLUMN()-COLUMN($CI$5)+1),""))</f>
        <v/>
      </c>
      <c r="CT8" s="1753" t="str" cm="1">
        <f t="array" ref="CT8">IF($CG8="","",IF(INDEX($D$6:$CB$53,MATCH($CG8,$B$6:$B$53,0),COLUMN()-COLUMN($CI$5)+1)&gt;0,INDEX($D$6:$CB$53,MATCH($CG8,$B$6:$B$53,0),COLUMN()-COLUMN($CI$5)+1),""))</f>
        <v/>
      </c>
      <c r="CU8" s="1753" t="str" cm="1">
        <f t="array" ref="CU8">IF($CG8="","",IF(INDEX($D$6:$CB$53,MATCH($CG8,$B$6:$B$53,0),COLUMN()-COLUMN($CI$5)+1)&gt;0,INDEX($D$6:$CB$53,MATCH($CG8,$B$6:$B$53,0),COLUMN()-COLUMN($CI$5)+1),""))</f>
        <v/>
      </c>
      <c r="CV8" s="1753" t="str" cm="1">
        <f t="array" ref="CV8">IF($CG8="","",IF(INDEX($D$6:$CB$53,MATCH($CG8,$B$6:$B$53,0),COLUMN()-COLUMN($CI$5)+1)&gt;0,INDEX($D$6:$CB$53,MATCH($CG8,$B$6:$B$53,0),COLUMN()-COLUMN($CI$5)+1),""))</f>
        <v/>
      </c>
      <c r="CW8" s="1753" t="str" cm="1">
        <f t="array" ref="CW8">IF($CG8="","",IF(INDEX($D$6:$CB$53,MATCH($CG8,$B$6:$B$53,0),COLUMN()-COLUMN($CI$5)+1)&gt;0,INDEX($D$6:$CB$53,MATCH($CG8,$B$6:$B$53,0),COLUMN()-COLUMN($CI$5)+1),""))</f>
        <v/>
      </c>
      <c r="CX8" s="1753" t="str" cm="1">
        <f t="array" ref="CX8">IF($CG8="","",IF(INDEX($D$6:$CB$53,MATCH($CG8,$B$6:$B$53,0),COLUMN()-COLUMN($CI$5)+1)&gt;0,INDEX($D$6:$CB$53,MATCH($CG8,$B$6:$B$53,0),COLUMN()-COLUMN($CI$5)+1),""))</f>
        <v/>
      </c>
      <c r="CY8" s="1753" t="str" cm="1">
        <f t="array" ref="CY8">IF($CG8="","",IF(INDEX($D$6:$CB$53,MATCH($CG8,$B$6:$B$53,0),COLUMN()-COLUMN($CI$5)+1)&gt;0,INDEX($D$6:$CB$53,MATCH($CG8,$B$6:$B$53,0),COLUMN()-COLUMN($CI$5)+1),""))</f>
        <v/>
      </c>
      <c r="CZ8" s="1753" t="str" cm="1">
        <f t="array" ref="CZ8">IF($CG8="","",IF(INDEX($D$6:$CB$53,MATCH($CG8,$B$6:$B$53,0),COLUMN()-COLUMN($CI$5)+1)&gt;0,INDEX($D$6:$CB$53,MATCH($CG8,$B$6:$B$53,0),COLUMN()-COLUMN($CI$5)+1),""))</f>
        <v/>
      </c>
      <c r="DA8" s="1753" t="str" cm="1">
        <f t="array" ref="DA8">IF($CG8="","",IF(INDEX($D$6:$CB$53,MATCH($CG8,$B$6:$B$53,0),COLUMN()-COLUMN($CI$5)+1)&gt;0,INDEX($D$6:$CB$53,MATCH($CG8,$B$6:$B$53,0),COLUMN()-COLUMN($CI$5)+1),""))</f>
        <v/>
      </c>
      <c r="DB8" s="1753" t="str" cm="1">
        <f t="array" ref="DB8">IF($CG8="","",IF(INDEX($D$6:$CB$53,MATCH($CG8,$B$6:$B$53,0),COLUMN()-COLUMN($CI$5)+1)&gt;0,INDEX($D$6:$CB$53,MATCH($CG8,$B$6:$B$53,0),COLUMN()-COLUMN($CI$5)+1),""))</f>
        <v/>
      </c>
      <c r="DC8" s="1753" t="str" cm="1">
        <f t="array" ref="DC8">IF($CG8="","",IF(INDEX($D$6:$CB$53,MATCH($CG8,$B$6:$B$53,0),COLUMN()-COLUMN($CI$5)+1)&gt;0,INDEX($D$6:$CB$53,MATCH($CG8,$B$6:$B$53,0),COLUMN()-COLUMN($CI$5)+1),""))</f>
        <v/>
      </c>
      <c r="DD8" s="1753" t="str" cm="1">
        <f t="array" ref="DD8">IF($CG8="","",IF(INDEX($D$6:$CB$53,MATCH($CG8,$B$6:$B$53,0),COLUMN()-COLUMN($CI$5)+1)&gt;0,INDEX($D$6:$CB$53,MATCH($CG8,$B$6:$B$53,0),COLUMN()-COLUMN($CI$5)+1),""))</f>
        <v/>
      </c>
      <c r="DE8" s="1753" t="str" cm="1">
        <f t="array" ref="DE8">IF($CG8="","",IF(INDEX($D$6:$CB$53,MATCH($CG8,$B$6:$B$53,0),COLUMN()-COLUMN($CI$5)+1)&gt;0,INDEX($D$6:$CB$53,MATCH($CG8,$B$6:$B$53,0),COLUMN()-COLUMN($CI$5)+1),""))</f>
        <v/>
      </c>
      <c r="DF8" s="1753" t="str" cm="1">
        <f t="array" ref="DF8">IF($CG8="","",IF(INDEX($D$6:$CB$53,MATCH($CG8,$B$6:$B$53,0),COLUMN()-COLUMN($CI$5)+1)&gt;0,INDEX($D$6:$CB$53,MATCH($CG8,$B$6:$B$53,0),COLUMN()-COLUMN($CI$5)+1),""))</f>
        <v/>
      </c>
      <c r="DG8" s="1753" t="str" cm="1">
        <f t="array" ref="DG8">IF($CG8="","",IF(INDEX($D$6:$CB$53,MATCH($CG8,$B$6:$B$53,0),COLUMN()-COLUMN($CI$5)+1)&gt;0,INDEX($D$6:$CB$53,MATCH($CG8,$B$6:$B$53,0),COLUMN()-COLUMN($CI$5)+1),""))</f>
        <v/>
      </c>
      <c r="DH8" s="1753" t="str" cm="1">
        <f t="array" ref="DH8">IF($CG8="","",IF(INDEX($D$6:$CB$53,MATCH($CG8,$B$6:$B$53,0),COLUMN()-COLUMN($CI$5)+1)&gt;0,INDEX($D$6:$CB$53,MATCH($CG8,$B$6:$B$53,0),COLUMN()-COLUMN($CI$5)+1),""))</f>
        <v/>
      </c>
      <c r="DI8" s="1753" t="str" cm="1">
        <f t="array" ref="DI8">IF($CG8="","",IF(INDEX($D$6:$CB$53,MATCH($CG8,$B$6:$B$53,0),COLUMN()-COLUMN($CI$5)+1)&gt;0,INDEX($D$6:$CB$53,MATCH($CG8,$B$6:$B$53,0),COLUMN()-COLUMN($CI$5)+1),""))</f>
        <v/>
      </c>
      <c r="DJ8" s="1753" t="str" cm="1">
        <f t="array" ref="DJ8">IF($CG8="","",IF(INDEX($D$6:$CB$53,MATCH($CG8,$B$6:$B$53,0),COLUMN()-COLUMN($CI$5)+1)&gt;0,INDEX($D$6:$CB$53,MATCH($CG8,$B$6:$B$53,0),COLUMN()-COLUMN($CI$5)+1),""))</f>
        <v/>
      </c>
      <c r="DK8" s="1753" t="str" cm="1">
        <f t="array" ref="DK8">IF($CG8="","",IF(INDEX($D$6:$CB$53,MATCH($CG8,$B$6:$B$53,0),COLUMN()-COLUMN($CI$5)+1)&gt;0,INDEX($D$6:$CB$53,MATCH($CG8,$B$6:$B$53,0),COLUMN()-COLUMN($CI$5)+1),""))</f>
        <v/>
      </c>
      <c r="DL8" s="1753" t="str" cm="1">
        <f t="array" ref="DL8">IF($CG8="","",IF(INDEX($D$6:$CB$53,MATCH($CG8,$B$6:$B$53,0),COLUMN()-COLUMN($CI$5)+1)&gt;0,INDEX($D$6:$CB$53,MATCH($CG8,$B$6:$B$53,0),COLUMN()-COLUMN($CI$5)+1),""))</f>
        <v/>
      </c>
      <c r="DM8" s="1753" t="str" cm="1">
        <f t="array" ref="DM8">IF($CG8="","",IF(INDEX($D$6:$CB$53,MATCH($CG8,$B$6:$B$53,0),COLUMN()-COLUMN($CI$5)+1)&gt;0,INDEX($D$6:$CB$53,MATCH($CG8,$B$6:$B$53,0),COLUMN()-COLUMN($CI$5)+1),""))</f>
        <v/>
      </c>
      <c r="DN8" s="1753" t="str" cm="1">
        <f t="array" ref="DN8">IF($CG8="","",IF(INDEX($D$6:$CB$53,MATCH($CG8,$B$6:$B$53,0),COLUMN()-COLUMN($CI$5)+1)&gt;0,INDEX($D$6:$CB$53,MATCH($CG8,$B$6:$B$53,0),COLUMN()-COLUMN($CI$5)+1),""))</f>
        <v/>
      </c>
      <c r="DO8" s="1753" t="str" cm="1">
        <f t="array" ref="DO8">IF($CG8="","",IF(INDEX($D$6:$CB$53,MATCH($CG8,$B$6:$B$53,0),COLUMN()-COLUMN($CI$5)+1)&gt;0,INDEX($D$6:$CB$53,MATCH($CG8,$B$6:$B$53,0),COLUMN()-COLUMN($CI$5)+1),""))</f>
        <v/>
      </c>
      <c r="DP8" s="1753" t="str" cm="1">
        <f t="array" ref="DP8">IF($CG8="","",IF(INDEX($D$6:$CB$53,MATCH($CG8,$B$6:$B$53,0),COLUMN()-COLUMN($CI$5)+1)&gt;0,INDEX($D$6:$CB$53,MATCH($CG8,$B$6:$B$53,0),COLUMN()-COLUMN($CI$5)+1),""))</f>
        <v/>
      </c>
      <c r="DQ8" s="1753" t="str" cm="1">
        <f t="array" ref="DQ8">IF($CG8="","",IF(INDEX($D$6:$CB$53,MATCH($CG8,$B$6:$B$53,0),COLUMN()-COLUMN($CI$5)+1)&gt;0,INDEX($D$6:$CB$53,MATCH($CG8,$B$6:$B$53,0),COLUMN()-COLUMN($CI$5)+1),""))</f>
        <v/>
      </c>
      <c r="DR8" s="1753" t="str" cm="1">
        <f t="array" ref="DR8">IF($CG8="","",IF(INDEX($D$6:$CB$53,MATCH($CG8,$B$6:$B$53,0),COLUMN()-COLUMN($CI$5)+1)&gt;0,INDEX($D$6:$CB$53,MATCH($CG8,$B$6:$B$53,0),COLUMN()-COLUMN($CI$5)+1),""))</f>
        <v/>
      </c>
      <c r="DS8" s="1753" t="str" cm="1">
        <f t="array" ref="DS8">IF($CG8="","",IF(INDEX($D$6:$CB$53,MATCH($CG8,$B$6:$B$53,0),COLUMN()-COLUMN($CI$5)+1)&gt;0,INDEX($D$6:$CB$53,MATCH($CG8,$B$6:$B$53,0),COLUMN()-COLUMN($CI$5)+1),""))</f>
        <v/>
      </c>
      <c r="DT8" s="1753" t="str" cm="1">
        <f t="array" ref="DT8">IF($CG8="","",IF(INDEX($D$6:$CB$53,MATCH($CG8,$B$6:$B$53,0),COLUMN()-COLUMN($CI$5)+1)&gt;0,INDEX($D$6:$CB$53,MATCH($CG8,$B$6:$B$53,0),COLUMN()-COLUMN($CI$5)+1),""))</f>
        <v/>
      </c>
      <c r="DU8" s="1753" t="str" cm="1">
        <f t="array" ref="DU8">IF($CG8="","",IF(INDEX($D$6:$CB$53,MATCH($CG8,$B$6:$B$53,0),COLUMN()-COLUMN($CI$5)+1)&gt;0,INDEX($D$6:$CB$53,MATCH($CG8,$B$6:$B$53,0),COLUMN()-COLUMN($CI$5)+1),""))</f>
        <v/>
      </c>
      <c r="DV8" s="1753" t="str" cm="1">
        <f t="array" ref="DV8">IF($CG8="","",IF(INDEX($D$6:$CB$53,MATCH($CG8,$B$6:$B$53,0),COLUMN()-COLUMN($CI$5)+1)&gt;0,INDEX($D$6:$CB$53,MATCH($CG8,$B$6:$B$53,0),COLUMN()-COLUMN($CI$5)+1),""))</f>
        <v/>
      </c>
      <c r="DW8" s="1753" t="str" cm="1">
        <f t="array" ref="DW8">IF($CG8="","",IF(INDEX($D$6:$CB$53,MATCH($CG8,$B$6:$B$53,0),COLUMN()-COLUMN($CI$5)+1)&gt;0,INDEX($D$6:$CB$53,MATCH($CG8,$B$6:$B$53,0),COLUMN()-COLUMN($CI$5)+1),""))</f>
        <v/>
      </c>
      <c r="DX8" s="1753" t="str" cm="1">
        <f t="array" ref="DX8">IF($CG8="","",IF(INDEX($D$6:$CB$53,MATCH($CG8,$B$6:$B$53,0),COLUMN()-COLUMN($CI$5)+1)&gt;0,INDEX($D$6:$CB$53,MATCH($CG8,$B$6:$B$53,0),COLUMN()-COLUMN($CI$5)+1),""))</f>
        <v/>
      </c>
      <c r="DY8" s="1753" t="str" cm="1">
        <f t="array" ref="DY8">IF($CG8="","",IF(INDEX($D$6:$CB$53,MATCH($CG8,$B$6:$B$53,0),COLUMN()-COLUMN($CI$5)+1)&gt;0,INDEX($D$6:$CB$53,MATCH($CG8,$B$6:$B$53,0),COLUMN()-COLUMN($CI$5)+1),""))</f>
        <v/>
      </c>
      <c r="DZ8" s="1753" t="str" cm="1">
        <f t="array" ref="DZ8">IF($CG8="","",IF(INDEX($D$6:$CB$53,MATCH($CG8,$B$6:$B$53,0),COLUMN()-COLUMN($CI$5)+1)&gt;0,INDEX($D$6:$CB$53,MATCH($CG8,$B$6:$B$53,0),COLUMN()-COLUMN($CI$5)+1),""))</f>
        <v/>
      </c>
      <c r="EA8" s="1753" t="str" cm="1">
        <f t="array" ref="EA8">IF($CG8="","",IF(INDEX($D$6:$CB$53,MATCH($CG8,$B$6:$B$53,0),COLUMN()-COLUMN($CI$5)+1)&gt;0,INDEX($D$6:$CB$53,MATCH($CG8,$B$6:$B$53,0),COLUMN()-COLUMN($CI$5)+1),""))</f>
        <v/>
      </c>
      <c r="EB8" s="1753" t="str" cm="1">
        <f t="array" ref="EB8">IF($CG8="","",IF(INDEX($D$6:$CB$53,MATCH($CG8,$B$6:$B$53,0),COLUMN()-COLUMN($CI$5)+1)&gt;0,INDEX($D$6:$CB$53,MATCH($CG8,$B$6:$B$53,0),COLUMN()-COLUMN($CI$5)+1),""))</f>
        <v/>
      </c>
      <c r="EC8" s="1753" t="str" cm="1">
        <f t="array" ref="EC8">IF($CG8="","",IF(INDEX($D$6:$CB$53,MATCH($CG8,$B$6:$B$53,0),COLUMN()-COLUMN($CI$5)+1)&gt;0,INDEX($D$6:$CB$53,MATCH($CG8,$B$6:$B$53,0),COLUMN()-COLUMN($CI$5)+1),""))</f>
        <v/>
      </c>
      <c r="ED8" s="1753" t="str" cm="1">
        <f t="array" ref="ED8">IF($CG8="","",IF(INDEX($D$6:$CB$53,MATCH($CG8,$B$6:$B$53,0),COLUMN()-COLUMN($CI$5)+1)&gt;0,INDEX($D$6:$CB$53,MATCH($CG8,$B$6:$B$53,0),COLUMN()-COLUMN($CI$5)+1),""))</f>
        <v/>
      </c>
      <c r="EE8" s="1753" t="str" cm="1">
        <f t="array" ref="EE8">IF($CG8="","",IF(INDEX($D$6:$CB$53,MATCH($CG8,$B$6:$B$53,0),COLUMN()-COLUMN($CI$5)+1)&gt;0,INDEX($D$6:$CB$53,MATCH($CG8,$B$6:$B$53,0),COLUMN()-COLUMN($CI$5)+1),""))</f>
        <v/>
      </c>
      <c r="EF8" s="1753" t="str" cm="1">
        <f t="array" ref="EF8">IF($CG8="","",IF(INDEX($D$6:$CB$53,MATCH($CG8,$B$6:$B$53,0),COLUMN()-COLUMN($CI$5)+1)&gt;0,INDEX($D$6:$CB$53,MATCH($CG8,$B$6:$B$53,0),COLUMN()-COLUMN($CI$5)+1),""))</f>
        <v/>
      </c>
      <c r="EG8" s="1753" t="str" cm="1">
        <f t="array" ref="EG8">IF($CG8="","",IF(INDEX($D$6:$CB$53,MATCH($CG8,$B$6:$B$53,0),COLUMN()-COLUMN($CI$5)+1)&gt;0,INDEX($D$6:$CB$53,MATCH($CG8,$B$6:$B$53,0),COLUMN()-COLUMN($CI$5)+1),""))</f>
        <v/>
      </c>
      <c r="EH8" s="1753" t="str" cm="1">
        <f t="array" ref="EH8">IF($CG8="","",IF(INDEX($D$6:$CB$53,MATCH($CG8,$B$6:$B$53,0),COLUMN()-COLUMN($CI$5)+1)&gt;0,INDEX($D$6:$CB$53,MATCH($CG8,$B$6:$B$53,0),COLUMN()-COLUMN($CI$5)+1),""))</f>
        <v/>
      </c>
      <c r="EI8" s="1753" t="str" cm="1">
        <f t="array" ref="EI8">IF($CG8="","",IF(INDEX($D$6:$CB$53,MATCH($CG8,$B$6:$B$53,0),COLUMN()-COLUMN($CI$5)+1)&gt;0,INDEX($D$6:$CB$53,MATCH($CG8,$B$6:$B$53,0),COLUMN()-COLUMN($CI$5)+1),""))</f>
        <v/>
      </c>
      <c r="EJ8" s="1753" t="str" cm="1">
        <f t="array" ref="EJ8">IF($CG8="","",IF(INDEX($D$6:$CB$53,MATCH($CG8,$B$6:$B$53,0),COLUMN()-COLUMN($CI$5)+1)&gt;0,INDEX($D$6:$CB$53,MATCH($CG8,$B$6:$B$53,0),COLUMN()-COLUMN($CI$5)+1),""))</f>
        <v/>
      </c>
      <c r="EK8" s="1753" t="str" cm="1">
        <f t="array" ref="EK8">IF($CG8="","",IF(INDEX($D$6:$CB$53,MATCH($CG8,$B$6:$B$53,0),COLUMN()-COLUMN($CI$5)+1)&gt;0,INDEX($D$6:$CB$53,MATCH($CG8,$B$6:$B$53,0),COLUMN()-COLUMN($CI$5)+1),""))</f>
        <v/>
      </c>
      <c r="EL8" s="1753" t="str" cm="1">
        <f t="array" ref="EL8">IF($CG8="","",IF(INDEX($D$6:$CB$53,MATCH($CG8,$B$6:$B$53,0),COLUMN()-COLUMN($CI$5)+1)&gt;0,INDEX($D$6:$CB$53,MATCH($CG8,$B$6:$B$53,0),COLUMN()-COLUMN($CI$5)+1),""))</f>
        <v/>
      </c>
      <c r="EM8" s="1753" t="str" cm="1">
        <f t="array" ref="EM8">IF($CG8="","",IF(INDEX($D$6:$CB$53,MATCH($CG8,$B$6:$B$53,0),COLUMN()-COLUMN($CI$5)+1)&gt;0,INDEX($D$6:$CB$53,MATCH($CG8,$B$6:$B$53,0),COLUMN()-COLUMN($CI$5)+1),""))</f>
        <v/>
      </c>
      <c r="EN8" s="1753" t="str" cm="1">
        <f t="array" ref="EN8">IF($CG8="","",IF(INDEX($D$6:$CB$53,MATCH($CG8,$B$6:$B$53,0),COLUMN()-COLUMN($CI$5)+1)&gt;0,INDEX($D$6:$CB$53,MATCH($CG8,$B$6:$B$53,0),COLUMN()-COLUMN($CI$5)+1),""))</f>
        <v/>
      </c>
      <c r="EO8" s="1753" t="str" cm="1">
        <f t="array" ref="EO8">IF($CG8="","",IF(INDEX($D$6:$CB$53,MATCH($CG8,$B$6:$B$53,0),COLUMN()-COLUMN($CI$5)+1)&gt;0,INDEX($D$6:$CB$53,MATCH($CG8,$B$6:$B$53,0),COLUMN()-COLUMN($CI$5)+1),""))</f>
        <v/>
      </c>
      <c r="EP8" s="1753" t="str" cm="1">
        <f t="array" ref="EP8">IF($CG8="","",IF(INDEX($D$6:$CB$53,MATCH($CG8,$B$6:$B$53,0),COLUMN()-COLUMN($CI$5)+1)&gt;0,INDEX($D$6:$CB$53,MATCH($CG8,$B$6:$B$53,0),COLUMN()-COLUMN($CI$5)+1),""))</f>
        <v/>
      </c>
      <c r="EQ8" s="1753" t="str" cm="1">
        <f t="array" ref="EQ8">IF($CG8="","",IF(INDEX($D$6:$CB$53,MATCH($CG8,$B$6:$B$53,0),COLUMN()-COLUMN($CI$5)+1)&gt;0,INDEX($D$6:$CB$53,MATCH($CG8,$B$6:$B$53,0),COLUMN()-COLUMN($CI$5)+1),""))</f>
        <v/>
      </c>
      <c r="ER8" s="1753" t="str" cm="1">
        <f t="array" ref="ER8">IF($CG8="","",IF(INDEX($D$6:$CB$53,MATCH($CG8,$B$6:$B$53,0),COLUMN()-COLUMN($CI$5)+1)&gt;0,INDEX($D$6:$CB$53,MATCH($CG8,$B$6:$B$53,0),COLUMN()-COLUMN($CI$5)+1),""))</f>
        <v/>
      </c>
      <c r="ES8" s="1753" t="str" cm="1">
        <f t="array" ref="ES8">IF($CG8="","",IF(INDEX($D$6:$CB$53,MATCH($CG8,$B$6:$B$53,0),COLUMN()-COLUMN($CI$5)+1)&gt;0,INDEX($D$6:$CB$53,MATCH($CG8,$B$6:$B$53,0),COLUMN()-COLUMN($CI$5)+1),""))</f>
        <v/>
      </c>
      <c r="ET8" s="1753" t="str" cm="1">
        <f t="array" ref="ET8">IF($CG8="","",IF(INDEX($D$6:$CB$53,MATCH($CG8,$B$6:$B$53,0),COLUMN()-COLUMN($CI$5)+1)&gt;0,INDEX($D$6:$CB$53,MATCH($CG8,$B$6:$B$53,0),COLUMN()-COLUMN($CI$5)+1),""))</f>
        <v/>
      </c>
      <c r="EU8" s="1753" t="str" cm="1">
        <f t="array" ref="EU8">IF($CG8="","",IF(INDEX($D$6:$CB$53,MATCH($CG8,$B$6:$B$53,0),COLUMN()-COLUMN($CI$5)+1)&gt;0,INDEX($D$6:$CB$53,MATCH($CG8,$B$6:$B$53,0),COLUMN()-COLUMN($CI$5)+1),""))</f>
        <v/>
      </c>
      <c r="EV8" s="1753" t="str" cm="1">
        <f t="array" ref="EV8">IF($CG8="","",IF(INDEX($D$6:$CB$53,MATCH($CG8,$B$6:$B$53,0),COLUMN()-COLUMN($CI$5)+1)&gt;0,INDEX($D$6:$CB$53,MATCH($CG8,$B$6:$B$53,0),COLUMN()-COLUMN($CI$5)+1),""))</f>
        <v/>
      </c>
      <c r="EW8" s="1753" t="str" cm="1">
        <f t="array" ref="EW8">IF($CG8="","",IF(INDEX($D$6:$CB$53,MATCH($CG8,$B$6:$B$53,0),COLUMN()-COLUMN($CI$5)+1)&gt;0,INDEX($D$6:$CB$53,MATCH($CG8,$B$6:$B$53,0),COLUMN()-COLUMN($CI$5)+1),""))</f>
        <v/>
      </c>
      <c r="EX8" s="1753" t="str" cm="1">
        <f t="array" ref="EX8">IF($CG8="","",IF(INDEX($D$6:$CB$53,MATCH($CG8,$B$6:$B$53,0),COLUMN()-COLUMN($CI$5)+1)&gt;0,INDEX($D$6:$CB$53,MATCH($CG8,$B$6:$B$53,0),COLUMN()-COLUMN($CI$5)+1),""))</f>
        <v/>
      </c>
      <c r="EY8" s="1753" t="str" cm="1">
        <f t="array" ref="EY8">IF($CG8="","",IF(INDEX($D$6:$CB$53,MATCH($CG8,$B$6:$B$53,0),COLUMN()-COLUMN($CI$5)+1)&gt;0,INDEX($D$6:$CB$53,MATCH($CG8,$B$6:$B$53,0),COLUMN()-COLUMN($CI$5)+1),""))</f>
        <v/>
      </c>
      <c r="EZ8" s="1753" t="str" cm="1">
        <f t="array" ref="EZ8">IF($CG8="","",IF(INDEX($D$6:$CB$53,MATCH($CG8,$B$6:$B$53,0),COLUMN()-COLUMN($CI$5)+1)&gt;0,INDEX($D$6:$CB$53,MATCH($CG8,$B$6:$B$53,0),COLUMN()-COLUMN($CI$5)+1),""))</f>
        <v/>
      </c>
      <c r="FA8" s="1753" t="str" cm="1">
        <f t="array" ref="FA8">IF($CG8="","",IF(INDEX($D$6:$CB$53,MATCH($CG8,$B$6:$B$53,0),COLUMN()-COLUMN($CI$5)+1)&gt;0,INDEX($D$6:$CB$53,MATCH($CG8,$B$6:$B$53,0),COLUMN()-COLUMN($CI$5)+1),""))</f>
        <v/>
      </c>
      <c r="FB8" s="1753" t="str" cm="1">
        <f t="array" ref="FB8">IF($CG8="","",IF(INDEX($D$6:$CB$53,MATCH($CG8,$B$6:$B$53,0),COLUMN()-COLUMN($CI$5)+1)&gt;0,INDEX($D$6:$CB$53,MATCH($CG8,$B$6:$B$53,0),COLUMN()-COLUMN($CI$5)+1),""))</f>
        <v/>
      </c>
      <c r="FC8" s="1753" t="str" cm="1">
        <f t="array" ref="FC8">IF($CG8="","",IF(INDEX($D$6:$CB$53,MATCH($CG8,$B$6:$B$53,0),COLUMN()-COLUMN($CI$5)+1)&gt;0,INDEX($D$6:$CB$53,MATCH($CG8,$B$6:$B$53,0),COLUMN()-COLUMN($CI$5)+1),""))</f>
        <v/>
      </c>
      <c r="FD8" s="1753" t="str" cm="1">
        <f t="array" ref="FD8">IF($CG8="","",IF(INDEX($D$6:$CB$53,MATCH($CG8,$B$6:$B$53,0),COLUMN()-COLUMN($CI$5)+1)&gt;0,INDEX($D$6:$CB$53,MATCH($CG8,$B$6:$B$53,0),COLUMN()-COLUMN($CI$5)+1),""))</f>
        <v/>
      </c>
      <c r="FE8" s="1753" t="str" cm="1">
        <f t="array" ref="FE8">IF($CG8="","",IF(INDEX($D$6:$CB$53,MATCH($CG8,$B$6:$B$53,0),COLUMN()-COLUMN($CI$5)+1)&gt;0,INDEX($D$6:$CB$53,MATCH($CG8,$B$6:$B$53,0),COLUMN()-COLUMN($CI$5)+1),""))</f>
        <v/>
      </c>
      <c r="FF8" s="1753" t="str" cm="1">
        <f t="array" ref="FF8">IF($CG8="","",IF(INDEX($D$6:$CB$53,MATCH($CG8,$B$6:$B$53,0),COLUMN()-COLUMN($CI$5)+1)&gt;0,INDEX($D$6:$CB$53,MATCH($CG8,$B$6:$B$53,0),COLUMN()-COLUMN($CI$5)+1),""))</f>
        <v/>
      </c>
      <c r="FG8" s="1758" t="str" cm="1">
        <f t="array" ref="FG8">IF($CG8="","",IF(INDEX($D$6:$CB$53,MATCH($CG8,$B$6:$B$53,0),COLUMN()-COLUMN($CI$5)+1)&gt;0,INDEX($D$6:$CB$53,MATCH($CG8,$B$6:$B$53,0),COLUMN()-COLUMN($CI$5)+1),""))</f>
        <v/>
      </c>
      <c r="FH8" s="1764" t="str">
        <f t="shared" si="4"/>
        <v/>
      </c>
      <c r="FI8" s="1756" t="str">
        <f t="shared" si="5"/>
        <v/>
      </c>
      <c r="FJ8" s="1767" t="str">
        <f t="shared" si="6"/>
        <v/>
      </c>
      <c r="FK8" s="1760"/>
    </row>
    <row r="9" spans="1:167" ht="15.75" customHeight="1">
      <c r="A9" s="1220"/>
      <c r="B9" s="1278">
        <f>+PP!B27</f>
        <v>4</v>
      </c>
      <c r="C9" s="1277" t="str">
        <f>+PP!C27</f>
        <v>ALETA FRESCA CORTE CRUZ</v>
      </c>
      <c r="D9" s="1401"/>
      <c r="E9" s="1402"/>
      <c r="F9" s="1402"/>
      <c r="G9" s="1402"/>
      <c r="H9" s="1402"/>
      <c r="I9" s="1402"/>
      <c r="J9" s="1402"/>
      <c r="K9" s="1402"/>
      <c r="L9" s="1402"/>
      <c r="M9" s="1402"/>
      <c r="N9" s="1402"/>
      <c r="O9" s="1402"/>
      <c r="P9" s="1402"/>
      <c r="Q9" s="1402"/>
      <c r="R9" s="1402"/>
      <c r="S9" s="1402"/>
      <c r="T9" s="1402"/>
      <c r="U9" s="1402"/>
      <c r="V9" s="1402"/>
      <c r="W9" s="1402"/>
      <c r="X9" s="1402"/>
      <c r="Y9" s="1402"/>
      <c r="Z9" s="1402"/>
      <c r="AA9" s="1402"/>
      <c r="AB9" s="1402"/>
      <c r="AC9" s="1402"/>
      <c r="AD9" s="1402"/>
      <c r="AE9" s="1402"/>
      <c r="AF9" s="1402"/>
      <c r="AG9" s="1402"/>
      <c r="AH9" s="1403"/>
      <c r="AI9" s="1232"/>
      <c r="AJ9" s="1232"/>
      <c r="AK9" s="1232"/>
      <c r="AL9" s="1232"/>
      <c r="AM9" s="1232"/>
      <c r="AN9" s="1232"/>
      <c r="AO9" s="1232"/>
      <c r="AP9" s="1232"/>
      <c r="AQ9" s="1232"/>
      <c r="AR9" s="1232"/>
      <c r="AS9" s="1232"/>
      <c r="AT9" s="1232"/>
      <c r="AU9" s="1232"/>
      <c r="AV9" s="1232"/>
      <c r="AW9" s="1232"/>
      <c r="AX9" s="1232"/>
      <c r="AY9" s="1232"/>
      <c r="AZ9" s="1232"/>
      <c r="BA9" s="1232"/>
      <c r="BB9" s="1232"/>
      <c r="BC9" s="1232"/>
      <c r="BD9" s="1232"/>
      <c r="BE9" s="1232"/>
      <c r="BF9" s="1232"/>
      <c r="BG9" s="1232"/>
      <c r="BH9" s="1232"/>
      <c r="BI9" s="1232"/>
      <c r="BJ9" s="1232"/>
      <c r="BK9" s="1232"/>
      <c r="BL9" s="1232"/>
      <c r="BM9" s="1232"/>
      <c r="BN9" s="1232"/>
      <c r="BO9" s="1232"/>
      <c r="BP9" s="1232"/>
      <c r="BQ9" s="1232"/>
      <c r="BR9" s="1562"/>
      <c r="BS9" s="1562"/>
      <c r="BT9" s="1562"/>
      <c r="BU9" s="1562"/>
      <c r="BV9" s="1562"/>
      <c r="BW9" s="1562"/>
      <c r="BX9" s="1562"/>
      <c r="BY9" s="1562"/>
      <c r="BZ9" s="1562"/>
      <c r="CA9" s="1562"/>
      <c r="CB9" s="1563"/>
      <c r="CC9" s="1549">
        <f t="shared" si="0"/>
        <v>0</v>
      </c>
      <c r="CD9" s="1233">
        <f t="shared" si="1"/>
        <v>0</v>
      </c>
      <c r="CE9" s="1234">
        <f t="shared" si="2"/>
        <v>0</v>
      </c>
      <c r="CF9" s="1220"/>
      <c r="CG9" s="1751" t="str" cm="1">
        <f t="array" ref="CG9">IFERROR(INDEX($B$6:$B$53,_xlfn.AGGREGATE(15,6,(ROW($B$6:$B$53)-ROW($B$6)+1)/(MMULT(--($D$6:$CB$53&gt;0),TRANSPOSE(COLUMN($D$6:$CB$6)^0))&gt;0),ROWS($CG$6:CG9))),"")</f>
        <v/>
      </c>
      <c r="CH9" s="1752" t="str">
        <f t="shared" si="3"/>
        <v/>
      </c>
      <c r="CI9" s="1753" t="str" cm="1">
        <f t="array" ref="CI9">IF($CG9="","",IF(INDEX($D$6:$CB$53,MATCH($CG9,$B$6:$B$53,0),COLUMN()-COLUMN($CI$5)+1)&gt;0,INDEX($D$6:$CB$53,MATCH($CG9,$B$6:$B$53,0),COLUMN()-COLUMN($CI$5)+1),""))</f>
        <v/>
      </c>
      <c r="CJ9" s="1753" t="str" cm="1">
        <f t="array" ref="CJ9">IF($CG9="","",IF(INDEX($D$6:$CB$53,MATCH($CG9,$B$6:$B$53,0),COLUMN()-COLUMN($CI$5)+1)&gt;0,INDEX($D$6:$CB$53,MATCH($CG9,$B$6:$B$53,0),COLUMN()-COLUMN($CI$5)+1),""))</f>
        <v/>
      </c>
      <c r="CK9" s="1753" t="str" cm="1">
        <f t="array" ref="CK9">IF($CG9="","",IF(INDEX($D$6:$CB$53,MATCH($CG9,$B$6:$B$53,0),COLUMN()-COLUMN($CI$5)+1)&gt;0,INDEX($D$6:$CB$53,MATCH($CG9,$B$6:$B$53,0),COLUMN()-COLUMN($CI$5)+1),""))</f>
        <v/>
      </c>
      <c r="CL9" s="1753" t="str" cm="1">
        <f t="array" ref="CL9">IF($CG9="","",IF(INDEX($D$6:$CB$53,MATCH($CG9,$B$6:$B$53,0),COLUMN()-COLUMN($CI$5)+1)&gt;0,INDEX($D$6:$CB$53,MATCH($CG9,$B$6:$B$53,0),COLUMN()-COLUMN($CI$5)+1),""))</f>
        <v/>
      </c>
      <c r="CM9" s="1753" t="str" cm="1">
        <f t="array" ref="CM9">IF($CG9="","",IF(INDEX($D$6:$CB$53,MATCH($CG9,$B$6:$B$53,0),COLUMN()-COLUMN($CI$5)+1)&gt;0,INDEX($D$6:$CB$53,MATCH($CG9,$B$6:$B$53,0),COLUMN()-COLUMN($CI$5)+1),""))</f>
        <v/>
      </c>
      <c r="CN9" s="1753" t="str" cm="1">
        <f t="array" ref="CN9">IF($CG9="","",IF(INDEX($D$6:$CB$53,MATCH($CG9,$B$6:$B$53,0),COLUMN()-COLUMN($CI$5)+1)&gt;0,INDEX($D$6:$CB$53,MATCH($CG9,$B$6:$B$53,0),COLUMN()-COLUMN($CI$5)+1),""))</f>
        <v/>
      </c>
      <c r="CO9" s="1753" t="str" cm="1">
        <f t="array" ref="CO9">IF($CG9="","",IF(INDEX($D$6:$CB$53,MATCH($CG9,$B$6:$B$53,0),COLUMN()-COLUMN($CI$5)+1)&gt;0,INDEX($D$6:$CB$53,MATCH($CG9,$B$6:$B$53,0),COLUMN()-COLUMN($CI$5)+1),""))</f>
        <v/>
      </c>
      <c r="CP9" s="1753" t="str" cm="1">
        <f t="array" ref="CP9">IF($CG9="","",IF(INDEX($D$6:$CB$53,MATCH($CG9,$B$6:$B$53,0),COLUMN()-COLUMN($CI$5)+1)&gt;0,INDEX($D$6:$CB$53,MATCH($CG9,$B$6:$B$53,0),COLUMN()-COLUMN($CI$5)+1),""))</f>
        <v/>
      </c>
      <c r="CQ9" s="1753" t="str" cm="1">
        <f t="array" ref="CQ9">IF($CG9="","",IF(INDEX($D$6:$CB$53,MATCH($CG9,$B$6:$B$53,0),COLUMN()-COLUMN($CI$5)+1)&gt;0,INDEX($D$6:$CB$53,MATCH($CG9,$B$6:$B$53,0),COLUMN()-COLUMN($CI$5)+1),""))</f>
        <v/>
      </c>
      <c r="CR9" s="1753" t="str" cm="1">
        <f t="array" ref="CR9">IF($CG9="","",IF(INDEX($D$6:$CB$53,MATCH($CG9,$B$6:$B$53,0),COLUMN()-COLUMN($CI$5)+1)&gt;0,INDEX($D$6:$CB$53,MATCH($CG9,$B$6:$B$53,0),COLUMN()-COLUMN($CI$5)+1),""))</f>
        <v/>
      </c>
      <c r="CS9" s="1753" t="str" cm="1">
        <f t="array" ref="CS9">IF($CG9="","",IF(INDEX($D$6:$CB$53,MATCH($CG9,$B$6:$B$53,0),COLUMN()-COLUMN($CI$5)+1)&gt;0,INDEX($D$6:$CB$53,MATCH($CG9,$B$6:$B$53,0),COLUMN()-COLUMN($CI$5)+1),""))</f>
        <v/>
      </c>
      <c r="CT9" s="1753" t="str" cm="1">
        <f t="array" ref="CT9">IF($CG9="","",IF(INDEX($D$6:$CB$53,MATCH($CG9,$B$6:$B$53,0),COLUMN()-COLUMN($CI$5)+1)&gt;0,INDEX($D$6:$CB$53,MATCH($CG9,$B$6:$B$53,0),COLUMN()-COLUMN($CI$5)+1),""))</f>
        <v/>
      </c>
      <c r="CU9" s="1753" t="str" cm="1">
        <f t="array" ref="CU9">IF($CG9="","",IF(INDEX($D$6:$CB$53,MATCH($CG9,$B$6:$B$53,0),COLUMN()-COLUMN($CI$5)+1)&gt;0,INDEX($D$6:$CB$53,MATCH($CG9,$B$6:$B$53,0),COLUMN()-COLUMN($CI$5)+1),""))</f>
        <v/>
      </c>
      <c r="CV9" s="1753" t="str" cm="1">
        <f t="array" ref="CV9">IF($CG9="","",IF(INDEX($D$6:$CB$53,MATCH($CG9,$B$6:$B$53,0),COLUMN()-COLUMN($CI$5)+1)&gt;0,INDEX($D$6:$CB$53,MATCH($CG9,$B$6:$B$53,0),COLUMN()-COLUMN($CI$5)+1),""))</f>
        <v/>
      </c>
      <c r="CW9" s="1753" t="str" cm="1">
        <f t="array" ref="CW9">IF($CG9="","",IF(INDEX($D$6:$CB$53,MATCH($CG9,$B$6:$B$53,0),COLUMN()-COLUMN($CI$5)+1)&gt;0,INDEX($D$6:$CB$53,MATCH($CG9,$B$6:$B$53,0),COLUMN()-COLUMN($CI$5)+1),""))</f>
        <v/>
      </c>
      <c r="CX9" s="1753" t="str" cm="1">
        <f t="array" ref="CX9">IF($CG9="","",IF(INDEX($D$6:$CB$53,MATCH($CG9,$B$6:$B$53,0),COLUMN()-COLUMN($CI$5)+1)&gt;0,INDEX($D$6:$CB$53,MATCH($CG9,$B$6:$B$53,0),COLUMN()-COLUMN($CI$5)+1),""))</f>
        <v/>
      </c>
      <c r="CY9" s="1753" t="str" cm="1">
        <f t="array" ref="CY9">IF($CG9="","",IF(INDEX($D$6:$CB$53,MATCH($CG9,$B$6:$B$53,0),COLUMN()-COLUMN($CI$5)+1)&gt;0,INDEX($D$6:$CB$53,MATCH($CG9,$B$6:$B$53,0),COLUMN()-COLUMN($CI$5)+1),""))</f>
        <v/>
      </c>
      <c r="CZ9" s="1753" t="str" cm="1">
        <f t="array" ref="CZ9">IF($CG9="","",IF(INDEX($D$6:$CB$53,MATCH($CG9,$B$6:$B$53,0),COLUMN()-COLUMN($CI$5)+1)&gt;0,INDEX($D$6:$CB$53,MATCH($CG9,$B$6:$B$53,0),COLUMN()-COLUMN($CI$5)+1),""))</f>
        <v/>
      </c>
      <c r="DA9" s="1753" t="str" cm="1">
        <f t="array" ref="DA9">IF($CG9="","",IF(INDEX($D$6:$CB$53,MATCH($CG9,$B$6:$B$53,0),COLUMN()-COLUMN($CI$5)+1)&gt;0,INDEX($D$6:$CB$53,MATCH($CG9,$B$6:$B$53,0),COLUMN()-COLUMN($CI$5)+1),""))</f>
        <v/>
      </c>
      <c r="DB9" s="1753" t="str" cm="1">
        <f t="array" ref="DB9">IF($CG9="","",IF(INDEX($D$6:$CB$53,MATCH($CG9,$B$6:$B$53,0),COLUMN()-COLUMN($CI$5)+1)&gt;0,INDEX($D$6:$CB$53,MATCH($CG9,$B$6:$B$53,0),COLUMN()-COLUMN($CI$5)+1),""))</f>
        <v/>
      </c>
      <c r="DC9" s="1753" t="str" cm="1">
        <f t="array" ref="DC9">IF($CG9="","",IF(INDEX($D$6:$CB$53,MATCH($CG9,$B$6:$B$53,0),COLUMN()-COLUMN($CI$5)+1)&gt;0,INDEX($D$6:$CB$53,MATCH($CG9,$B$6:$B$53,0),COLUMN()-COLUMN($CI$5)+1),""))</f>
        <v/>
      </c>
      <c r="DD9" s="1753" t="str" cm="1">
        <f t="array" ref="DD9">IF($CG9="","",IF(INDEX($D$6:$CB$53,MATCH($CG9,$B$6:$B$53,0),COLUMN()-COLUMN($CI$5)+1)&gt;0,INDEX($D$6:$CB$53,MATCH($CG9,$B$6:$B$53,0),COLUMN()-COLUMN($CI$5)+1),""))</f>
        <v/>
      </c>
      <c r="DE9" s="1753" t="str" cm="1">
        <f t="array" ref="DE9">IF($CG9="","",IF(INDEX($D$6:$CB$53,MATCH($CG9,$B$6:$B$53,0),COLUMN()-COLUMN($CI$5)+1)&gt;0,INDEX($D$6:$CB$53,MATCH($CG9,$B$6:$B$53,0),COLUMN()-COLUMN($CI$5)+1),""))</f>
        <v/>
      </c>
      <c r="DF9" s="1753" t="str" cm="1">
        <f t="array" ref="DF9">IF($CG9="","",IF(INDEX($D$6:$CB$53,MATCH($CG9,$B$6:$B$53,0),COLUMN()-COLUMN($CI$5)+1)&gt;0,INDEX($D$6:$CB$53,MATCH($CG9,$B$6:$B$53,0),COLUMN()-COLUMN($CI$5)+1),""))</f>
        <v/>
      </c>
      <c r="DG9" s="1753" t="str" cm="1">
        <f t="array" ref="DG9">IF($CG9="","",IF(INDEX($D$6:$CB$53,MATCH($CG9,$B$6:$B$53,0),COLUMN()-COLUMN($CI$5)+1)&gt;0,INDEX($D$6:$CB$53,MATCH($CG9,$B$6:$B$53,0),COLUMN()-COLUMN($CI$5)+1),""))</f>
        <v/>
      </c>
      <c r="DH9" s="1753" t="str" cm="1">
        <f t="array" ref="DH9">IF($CG9="","",IF(INDEX($D$6:$CB$53,MATCH($CG9,$B$6:$B$53,0),COLUMN()-COLUMN($CI$5)+1)&gt;0,INDEX($D$6:$CB$53,MATCH($CG9,$B$6:$B$53,0),COLUMN()-COLUMN($CI$5)+1),""))</f>
        <v/>
      </c>
      <c r="DI9" s="1753" t="str" cm="1">
        <f t="array" ref="DI9">IF($CG9="","",IF(INDEX($D$6:$CB$53,MATCH($CG9,$B$6:$B$53,0),COLUMN()-COLUMN($CI$5)+1)&gt;0,INDEX($D$6:$CB$53,MATCH($CG9,$B$6:$B$53,0),COLUMN()-COLUMN($CI$5)+1),""))</f>
        <v/>
      </c>
      <c r="DJ9" s="1753" t="str" cm="1">
        <f t="array" ref="DJ9">IF($CG9="","",IF(INDEX($D$6:$CB$53,MATCH($CG9,$B$6:$B$53,0),COLUMN()-COLUMN($CI$5)+1)&gt;0,INDEX($D$6:$CB$53,MATCH($CG9,$B$6:$B$53,0),COLUMN()-COLUMN($CI$5)+1),""))</f>
        <v/>
      </c>
      <c r="DK9" s="1753" t="str" cm="1">
        <f t="array" ref="DK9">IF($CG9="","",IF(INDEX($D$6:$CB$53,MATCH($CG9,$B$6:$B$53,0),COLUMN()-COLUMN($CI$5)+1)&gt;0,INDEX($D$6:$CB$53,MATCH($CG9,$B$6:$B$53,0),COLUMN()-COLUMN($CI$5)+1),""))</f>
        <v/>
      </c>
      <c r="DL9" s="1753" t="str" cm="1">
        <f t="array" ref="DL9">IF($CG9="","",IF(INDEX($D$6:$CB$53,MATCH($CG9,$B$6:$B$53,0),COLUMN()-COLUMN($CI$5)+1)&gt;0,INDEX($D$6:$CB$53,MATCH($CG9,$B$6:$B$53,0),COLUMN()-COLUMN($CI$5)+1),""))</f>
        <v/>
      </c>
      <c r="DM9" s="1753" t="str" cm="1">
        <f t="array" ref="DM9">IF($CG9="","",IF(INDEX($D$6:$CB$53,MATCH($CG9,$B$6:$B$53,0),COLUMN()-COLUMN($CI$5)+1)&gt;0,INDEX($D$6:$CB$53,MATCH($CG9,$B$6:$B$53,0),COLUMN()-COLUMN($CI$5)+1),""))</f>
        <v/>
      </c>
      <c r="DN9" s="1753" t="str" cm="1">
        <f t="array" ref="DN9">IF($CG9="","",IF(INDEX($D$6:$CB$53,MATCH($CG9,$B$6:$B$53,0),COLUMN()-COLUMN($CI$5)+1)&gt;0,INDEX($D$6:$CB$53,MATCH($CG9,$B$6:$B$53,0),COLUMN()-COLUMN($CI$5)+1),""))</f>
        <v/>
      </c>
      <c r="DO9" s="1753" t="str" cm="1">
        <f t="array" ref="DO9">IF($CG9="","",IF(INDEX($D$6:$CB$53,MATCH($CG9,$B$6:$B$53,0),COLUMN()-COLUMN($CI$5)+1)&gt;0,INDEX($D$6:$CB$53,MATCH($CG9,$B$6:$B$53,0),COLUMN()-COLUMN($CI$5)+1),""))</f>
        <v/>
      </c>
      <c r="DP9" s="1753" t="str" cm="1">
        <f t="array" ref="DP9">IF($CG9="","",IF(INDEX($D$6:$CB$53,MATCH($CG9,$B$6:$B$53,0),COLUMN()-COLUMN($CI$5)+1)&gt;0,INDEX($D$6:$CB$53,MATCH($CG9,$B$6:$B$53,0),COLUMN()-COLUMN($CI$5)+1),""))</f>
        <v/>
      </c>
      <c r="DQ9" s="1753" t="str" cm="1">
        <f t="array" ref="DQ9">IF($CG9="","",IF(INDEX($D$6:$CB$53,MATCH($CG9,$B$6:$B$53,0),COLUMN()-COLUMN($CI$5)+1)&gt;0,INDEX($D$6:$CB$53,MATCH($CG9,$B$6:$B$53,0),COLUMN()-COLUMN($CI$5)+1),""))</f>
        <v/>
      </c>
      <c r="DR9" s="1753" t="str" cm="1">
        <f t="array" ref="DR9">IF($CG9="","",IF(INDEX($D$6:$CB$53,MATCH($CG9,$B$6:$B$53,0),COLUMN()-COLUMN($CI$5)+1)&gt;0,INDEX($D$6:$CB$53,MATCH($CG9,$B$6:$B$53,0),COLUMN()-COLUMN($CI$5)+1),""))</f>
        <v/>
      </c>
      <c r="DS9" s="1753" t="str" cm="1">
        <f t="array" ref="DS9">IF($CG9="","",IF(INDEX($D$6:$CB$53,MATCH($CG9,$B$6:$B$53,0),COLUMN()-COLUMN($CI$5)+1)&gt;0,INDEX($D$6:$CB$53,MATCH($CG9,$B$6:$B$53,0),COLUMN()-COLUMN($CI$5)+1),""))</f>
        <v/>
      </c>
      <c r="DT9" s="1753" t="str" cm="1">
        <f t="array" ref="DT9">IF($CG9="","",IF(INDEX($D$6:$CB$53,MATCH($CG9,$B$6:$B$53,0),COLUMN()-COLUMN($CI$5)+1)&gt;0,INDEX($D$6:$CB$53,MATCH($CG9,$B$6:$B$53,0),COLUMN()-COLUMN($CI$5)+1),""))</f>
        <v/>
      </c>
      <c r="DU9" s="1753" t="str" cm="1">
        <f t="array" ref="DU9">IF($CG9="","",IF(INDEX($D$6:$CB$53,MATCH($CG9,$B$6:$B$53,0),COLUMN()-COLUMN($CI$5)+1)&gt;0,INDEX($D$6:$CB$53,MATCH($CG9,$B$6:$B$53,0),COLUMN()-COLUMN($CI$5)+1),""))</f>
        <v/>
      </c>
      <c r="DV9" s="1753" t="str" cm="1">
        <f t="array" ref="DV9">IF($CG9="","",IF(INDEX($D$6:$CB$53,MATCH($CG9,$B$6:$B$53,0),COLUMN()-COLUMN($CI$5)+1)&gt;0,INDEX($D$6:$CB$53,MATCH($CG9,$B$6:$B$53,0),COLUMN()-COLUMN($CI$5)+1),""))</f>
        <v/>
      </c>
      <c r="DW9" s="1753" t="str" cm="1">
        <f t="array" ref="DW9">IF($CG9="","",IF(INDEX($D$6:$CB$53,MATCH($CG9,$B$6:$B$53,0),COLUMN()-COLUMN($CI$5)+1)&gt;0,INDEX($D$6:$CB$53,MATCH($CG9,$B$6:$B$53,0),COLUMN()-COLUMN($CI$5)+1),""))</f>
        <v/>
      </c>
      <c r="DX9" s="1753" t="str" cm="1">
        <f t="array" ref="DX9">IF($CG9="","",IF(INDEX($D$6:$CB$53,MATCH($CG9,$B$6:$B$53,0),COLUMN()-COLUMN($CI$5)+1)&gt;0,INDEX($D$6:$CB$53,MATCH($CG9,$B$6:$B$53,0),COLUMN()-COLUMN($CI$5)+1),""))</f>
        <v/>
      </c>
      <c r="DY9" s="1753" t="str" cm="1">
        <f t="array" ref="DY9">IF($CG9="","",IF(INDEX($D$6:$CB$53,MATCH($CG9,$B$6:$B$53,0),COLUMN()-COLUMN($CI$5)+1)&gt;0,INDEX($D$6:$CB$53,MATCH($CG9,$B$6:$B$53,0),COLUMN()-COLUMN($CI$5)+1),""))</f>
        <v/>
      </c>
      <c r="DZ9" s="1753" t="str" cm="1">
        <f t="array" ref="DZ9">IF($CG9="","",IF(INDEX($D$6:$CB$53,MATCH($CG9,$B$6:$B$53,0),COLUMN()-COLUMN($CI$5)+1)&gt;0,INDEX($D$6:$CB$53,MATCH($CG9,$B$6:$B$53,0),COLUMN()-COLUMN($CI$5)+1),""))</f>
        <v/>
      </c>
      <c r="EA9" s="1753" t="str" cm="1">
        <f t="array" ref="EA9">IF($CG9="","",IF(INDEX($D$6:$CB$53,MATCH($CG9,$B$6:$B$53,0),COLUMN()-COLUMN($CI$5)+1)&gt;0,INDEX($D$6:$CB$53,MATCH($CG9,$B$6:$B$53,0),COLUMN()-COLUMN($CI$5)+1),""))</f>
        <v/>
      </c>
      <c r="EB9" s="1753" t="str" cm="1">
        <f t="array" ref="EB9">IF($CG9="","",IF(INDEX($D$6:$CB$53,MATCH($CG9,$B$6:$B$53,0),COLUMN()-COLUMN($CI$5)+1)&gt;0,INDEX($D$6:$CB$53,MATCH($CG9,$B$6:$B$53,0),COLUMN()-COLUMN($CI$5)+1),""))</f>
        <v/>
      </c>
      <c r="EC9" s="1753" t="str" cm="1">
        <f t="array" ref="EC9">IF($CG9="","",IF(INDEX($D$6:$CB$53,MATCH($CG9,$B$6:$B$53,0),COLUMN()-COLUMN($CI$5)+1)&gt;0,INDEX($D$6:$CB$53,MATCH($CG9,$B$6:$B$53,0),COLUMN()-COLUMN($CI$5)+1),""))</f>
        <v/>
      </c>
      <c r="ED9" s="1753" t="str" cm="1">
        <f t="array" ref="ED9">IF($CG9="","",IF(INDEX($D$6:$CB$53,MATCH($CG9,$B$6:$B$53,0),COLUMN()-COLUMN($CI$5)+1)&gt;0,INDEX($D$6:$CB$53,MATCH($CG9,$B$6:$B$53,0),COLUMN()-COLUMN($CI$5)+1),""))</f>
        <v/>
      </c>
      <c r="EE9" s="1753" t="str" cm="1">
        <f t="array" ref="EE9">IF($CG9="","",IF(INDEX($D$6:$CB$53,MATCH($CG9,$B$6:$B$53,0),COLUMN()-COLUMN($CI$5)+1)&gt;0,INDEX($D$6:$CB$53,MATCH($CG9,$B$6:$B$53,0),COLUMN()-COLUMN($CI$5)+1),""))</f>
        <v/>
      </c>
      <c r="EF9" s="1753" t="str" cm="1">
        <f t="array" ref="EF9">IF($CG9="","",IF(INDEX($D$6:$CB$53,MATCH($CG9,$B$6:$B$53,0),COLUMN()-COLUMN($CI$5)+1)&gt;0,INDEX($D$6:$CB$53,MATCH($CG9,$B$6:$B$53,0),COLUMN()-COLUMN($CI$5)+1),""))</f>
        <v/>
      </c>
      <c r="EG9" s="1753" t="str" cm="1">
        <f t="array" ref="EG9">IF($CG9="","",IF(INDEX($D$6:$CB$53,MATCH($CG9,$B$6:$B$53,0),COLUMN()-COLUMN($CI$5)+1)&gt;0,INDEX($D$6:$CB$53,MATCH($CG9,$B$6:$B$53,0),COLUMN()-COLUMN($CI$5)+1),""))</f>
        <v/>
      </c>
      <c r="EH9" s="1753" t="str" cm="1">
        <f t="array" ref="EH9">IF($CG9="","",IF(INDEX($D$6:$CB$53,MATCH($CG9,$B$6:$B$53,0),COLUMN()-COLUMN($CI$5)+1)&gt;0,INDEX($D$6:$CB$53,MATCH($CG9,$B$6:$B$53,0),COLUMN()-COLUMN($CI$5)+1),""))</f>
        <v/>
      </c>
      <c r="EI9" s="1753" t="str" cm="1">
        <f t="array" ref="EI9">IF($CG9="","",IF(INDEX($D$6:$CB$53,MATCH($CG9,$B$6:$B$53,0),COLUMN()-COLUMN($CI$5)+1)&gt;0,INDEX($D$6:$CB$53,MATCH($CG9,$B$6:$B$53,0),COLUMN()-COLUMN($CI$5)+1),""))</f>
        <v/>
      </c>
      <c r="EJ9" s="1753" t="str" cm="1">
        <f t="array" ref="EJ9">IF($CG9="","",IF(INDEX($D$6:$CB$53,MATCH($CG9,$B$6:$B$53,0),COLUMN()-COLUMN($CI$5)+1)&gt;0,INDEX($D$6:$CB$53,MATCH($CG9,$B$6:$B$53,0),COLUMN()-COLUMN($CI$5)+1),""))</f>
        <v/>
      </c>
      <c r="EK9" s="1753" t="str" cm="1">
        <f t="array" ref="EK9">IF($CG9="","",IF(INDEX($D$6:$CB$53,MATCH($CG9,$B$6:$B$53,0),COLUMN()-COLUMN($CI$5)+1)&gt;0,INDEX($D$6:$CB$53,MATCH($CG9,$B$6:$B$53,0),COLUMN()-COLUMN($CI$5)+1),""))</f>
        <v/>
      </c>
      <c r="EL9" s="1753" t="str" cm="1">
        <f t="array" ref="EL9">IF($CG9="","",IF(INDEX($D$6:$CB$53,MATCH($CG9,$B$6:$B$53,0),COLUMN()-COLUMN($CI$5)+1)&gt;0,INDEX($D$6:$CB$53,MATCH($CG9,$B$6:$B$53,0),COLUMN()-COLUMN($CI$5)+1),""))</f>
        <v/>
      </c>
      <c r="EM9" s="1753" t="str" cm="1">
        <f t="array" ref="EM9">IF($CG9="","",IF(INDEX($D$6:$CB$53,MATCH($CG9,$B$6:$B$53,0),COLUMN()-COLUMN($CI$5)+1)&gt;0,INDEX($D$6:$CB$53,MATCH($CG9,$B$6:$B$53,0),COLUMN()-COLUMN($CI$5)+1),""))</f>
        <v/>
      </c>
      <c r="EN9" s="1753" t="str" cm="1">
        <f t="array" ref="EN9">IF($CG9="","",IF(INDEX($D$6:$CB$53,MATCH($CG9,$B$6:$B$53,0),COLUMN()-COLUMN($CI$5)+1)&gt;0,INDEX($D$6:$CB$53,MATCH($CG9,$B$6:$B$53,0),COLUMN()-COLUMN($CI$5)+1),""))</f>
        <v/>
      </c>
      <c r="EO9" s="1753" t="str" cm="1">
        <f t="array" ref="EO9">IF($CG9="","",IF(INDEX($D$6:$CB$53,MATCH($CG9,$B$6:$B$53,0),COLUMN()-COLUMN($CI$5)+1)&gt;0,INDEX($D$6:$CB$53,MATCH($CG9,$B$6:$B$53,0),COLUMN()-COLUMN($CI$5)+1),""))</f>
        <v/>
      </c>
      <c r="EP9" s="1753" t="str" cm="1">
        <f t="array" ref="EP9">IF($CG9="","",IF(INDEX($D$6:$CB$53,MATCH($CG9,$B$6:$B$53,0),COLUMN()-COLUMN($CI$5)+1)&gt;0,INDEX($D$6:$CB$53,MATCH($CG9,$B$6:$B$53,0),COLUMN()-COLUMN($CI$5)+1),""))</f>
        <v/>
      </c>
      <c r="EQ9" s="1753" t="str" cm="1">
        <f t="array" ref="EQ9">IF($CG9="","",IF(INDEX($D$6:$CB$53,MATCH($CG9,$B$6:$B$53,0),COLUMN()-COLUMN($CI$5)+1)&gt;0,INDEX($D$6:$CB$53,MATCH($CG9,$B$6:$B$53,0),COLUMN()-COLUMN($CI$5)+1),""))</f>
        <v/>
      </c>
      <c r="ER9" s="1753" t="str" cm="1">
        <f t="array" ref="ER9">IF($CG9="","",IF(INDEX($D$6:$CB$53,MATCH($CG9,$B$6:$B$53,0),COLUMN()-COLUMN($CI$5)+1)&gt;0,INDEX($D$6:$CB$53,MATCH($CG9,$B$6:$B$53,0),COLUMN()-COLUMN($CI$5)+1),""))</f>
        <v/>
      </c>
      <c r="ES9" s="1753" t="str" cm="1">
        <f t="array" ref="ES9">IF($CG9="","",IF(INDEX($D$6:$CB$53,MATCH($CG9,$B$6:$B$53,0),COLUMN()-COLUMN($CI$5)+1)&gt;0,INDEX($D$6:$CB$53,MATCH($CG9,$B$6:$B$53,0),COLUMN()-COLUMN($CI$5)+1),""))</f>
        <v/>
      </c>
      <c r="ET9" s="1753" t="str" cm="1">
        <f t="array" ref="ET9">IF($CG9="","",IF(INDEX($D$6:$CB$53,MATCH($CG9,$B$6:$B$53,0),COLUMN()-COLUMN($CI$5)+1)&gt;0,INDEX($D$6:$CB$53,MATCH($CG9,$B$6:$B$53,0),COLUMN()-COLUMN($CI$5)+1),""))</f>
        <v/>
      </c>
      <c r="EU9" s="1753" t="str" cm="1">
        <f t="array" ref="EU9">IF($CG9="","",IF(INDEX($D$6:$CB$53,MATCH($CG9,$B$6:$B$53,0),COLUMN()-COLUMN($CI$5)+1)&gt;0,INDEX($D$6:$CB$53,MATCH($CG9,$B$6:$B$53,0),COLUMN()-COLUMN($CI$5)+1),""))</f>
        <v/>
      </c>
      <c r="EV9" s="1753" t="str" cm="1">
        <f t="array" ref="EV9">IF($CG9="","",IF(INDEX($D$6:$CB$53,MATCH($CG9,$B$6:$B$53,0),COLUMN()-COLUMN($CI$5)+1)&gt;0,INDEX($D$6:$CB$53,MATCH($CG9,$B$6:$B$53,0),COLUMN()-COLUMN($CI$5)+1),""))</f>
        <v/>
      </c>
      <c r="EW9" s="1753" t="str" cm="1">
        <f t="array" ref="EW9">IF($CG9="","",IF(INDEX($D$6:$CB$53,MATCH($CG9,$B$6:$B$53,0),COLUMN()-COLUMN($CI$5)+1)&gt;0,INDEX($D$6:$CB$53,MATCH($CG9,$B$6:$B$53,0),COLUMN()-COLUMN($CI$5)+1),""))</f>
        <v/>
      </c>
      <c r="EX9" s="1753" t="str" cm="1">
        <f t="array" ref="EX9">IF($CG9="","",IF(INDEX($D$6:$CB$53,MATCH($CG9,$B$6:$B$53,0),COLUMN()-COLUMN($CI$5)+1)&gt;0,INDEX($D$6:$CB$53,MATCH($CG9,$B$6:$B$53,0),COLUMN()-COLUMN($CI$5)+1),""))</f>
        <v/>
      </c>
      <c r="EY9" s="1753" t="str" cm="1">
        <f t="array" ref="EY9">IF($CG9="","",IF(INDEX($D$6:$CB$53,MATCH($CG9,$B$6:$B$53,0),COLUMN()-COLUMN($CI$5)+1)&gt;0,INDEX($D$6:$CB$53,MATCH($CG9,$B$6:$B$53,0),COLUMN()-COLUMN($CI$5)+1),""))</f>
        <v/>
      </c>
      <c r="EZ9" s="1753" t="str" cm="1">
        <f t="array" ref="EZ9">IF($CG9="","",IF(INDEX($D$6:$CB$53,MATCH($CG9,$B$6:$B$53,0),COLUMN()-COLUMN($CI$5)+1)&gt;0,INDEX($D$6:$CB$53,MATCH($CG9,$B$6:$B$53,0),COLUMN()-COLUMN($CI$5)+1),""))</f>
        <v/>
      </c>
      <c r="FA9" s="1753" t="str" cm="1">
        <f t="array" ref="FA9">IF($CG9="","",IF(INDEX($D$6:$CB$53,MATCH($CG9,$B$6:$B$53,0),COLUMN()-COLUMN($CI$5)+1)&gt;0,INDEX($D$6:$CB$53,MATCH($CG9,$B$6:$B$53,0),COLUMN()-COLUMN($CI$5)+1),""))</f>
        <v/>
      </c>
      <c r="FB9" s="1753" t="str" cm="1">
        <f t="array" ref="FB9">IF($CG9="","",IF(INDEX($D$6:$CB$53,MATCH($CG9,$B$6:$B$53,0),COLUMN()-COLUMN($CI$5)+1)&gt;0,INDEX($D$6:$CB$53,MATCH($CG9,$B$6:$B$53,0),COLUMN()-COLUMN($CI$5)+1),""))</f>
        <v/>
      </c>
      <c r="FC9" s="1753" t="str" cm="1">
        <f t="array" ref="FC9">IF($CG9="","",IF(INDEX($D$6:$CB$53,MATCH($CG9,$B$6:$B$53,0),COLUMN()-COLUMN($CI$5)+1)&gt;0,INDEX($D$6:$CB$53,MATCH($CG9,$B$6:$B$53,0),COLUMN()-COLUMN($CI$5)+1),""))</f>
        <v/>
      </c>
      <c r="FD9" s="1753" t="str" cm="1">
        <f t="array" ref="FD9">IF($CG9="","",IF(INDEX($D$6:$CB$53,MATCH($CG9,$B$6:$B$53,0),COLUMN()-COLUMN($CI$5)+1)&gt;0,INDEX($D$6:$CB$53,MATCH($CG9,$B$6:$B$53,0),COLUMN()-COLUMN($CI$5)+1),""))</f>
        <v/>
      </c>
      <c r="FE9" s="1753" t="str" cm="1">
        <f t="array" ref="FE9">IF($CG9="","",IF(INDEX($D$6:$CB$53,MATCH($CG9,$B$6:$B$53,0),COLUMN()-COLUMN($CI$5)+1)&gt;0,INDEX($D$6:$CB$53,MATCH($CG9,$B$6:$B$53,0),COLUMN()-COLUMN($CI$5)+1),""))</f>
        <v/>
      </c>
      <c r="FF9" s="1753" t="str" cm="1">
        <f t="array" ref="FF9">IF($CG9="","",IF(INDEX($D$6:$CB$53,MATCH($CG9,$B$6:$B$53,0),COLUMN()-COLUMN($CI$5)+1)&gt;0,INDEX($D$6:$CB$53,MATCH($CG9,$B$6:$B$53,0),COLUMN()-COLUMN($CI$5)+1),""))</f>
        <v/>
      </c>
      <c r="FG9" s="1758" t="str" cm="1">
        <f t="array" ref="FG9">IF($CG9="","",IF(INDEX($D$6:$CB$53,MATCH($CG9,$B$6:$B$53,0),COLUMN()-COLUMN($CI$5)+1)&gt;0,INDEX($D$6:$CB$53,MATCH($CG9,$B$6:$B$53,0),COLUMN()-COLUMN($CI$5)+1),""))</f>
        <v/>
      </c>
      <c r="FH9" s="1764" t="str">
        <f t="shared" si="4"/>
        <v/>
      </c>
      <c r="FI9" s="1756" t="str">
        <f t="shared" si="5"/>
        <v/>
      </c>
      <c r="FJ9" s="1767" t="str">
        <f t="shared" si="6"/>
        <v/>
      </c>
      <c r="FK9" s="1760"/>
    </row>
    <row r="10" spans="1:167" ht="15.75" customHeight="1">
      <c r="A10" s="1220"/>
      <c r="B10" s="1278">
        <f>+PP!B28</f>
        <v>5</v>
      </c>
      <c r="C10" s="1279" t="str">
        <f>+PP!C28</f>
        <v>ALETA ENTERA 100-500 g/pza</v>
      </c>
      <c r="D10" s="1404"/>
      <c r="E10" s="1405"/>
      <c r="F10" s="1405"/>
      <c r="G10" s="1405"/>
      <c r="H10" s="1405"/>
      <c r="I10" s="1405"/>
      <c r="J10" s="1405"/>
      <c r="K10" s="1405"/>
      <c r="L10" s="1405"/>
      <c r="M10" s="1405"/>
      <c r="N10" s="1405"/>
      <c r="O10" s="1405"/>
      <c r="P10" s="1405"/>
      <c r="Q10" s="1405"/>
      <c r="R10" s="1405"/>
      <c r="S10" s="1405"/>
      <c r="T10" s="1405"/>
      <c r="U10" s="1405"/>
      <c r="V10" s="1405"/>
      <c r="W10" s="1405"/>
      <c r="X10" s="1405"/>
      <c r="Y10" s="1405"/>
      <c r="Z10" s="1405"/>
      <c r="AA10" s="1405"/>
      <c r="AB10" s="1405"/>
      <c r="AC10" s="1405"/>
      <c r="AD10" s="1405"/>
      <c r="AE10" s="1405"/>
      <c r="AF10" s="1405"/>
      <c r="AG10" s="1405"/>
      <c r="AH10" s="1406"/>
      <c r="AI10" s="1235"/>
      <c r="AJ10" s="1235"/>
      <c r="AK10" s="1235"/>
      <c r="AL10" s="1235"/>
      <c r="AM10" s="1235"/>
      <c r="AN10" s="1235"/>
      <c r="AO10" s="1235"/>
      <c r="AP10" s="1235"/>
      <c r="AQ10" s="1235"/>
      <c r="AR10" s="1235"/>
      <c r="AS10" s="1235"/>
      <c r="AT10" s="1235"/>
      <c r="AU10" s="1235"/>
      <c r="AV10" s="1235"/>
      <c r="AW10" s="1235"/>
      <c r="AX10" s="1235"/>
      <c r="AY10" s="1235"/>
      <c r="AZ10" s="1235"/>
      <c r="BA10" s="1235"/>
      <c r="BB10" s="1235"/>
      <c r="BC10" s="1235"/>
      <c r="BD10" s="1235"/>
      <c r="BE10" s="1235"/>
      <c r="BF10" s="1235"/>
      <c r="BG10" s="1235"/>
      <c r="BH10" s="1235"/>
      <c r="BI10" s="1235"/>
      <c r="BJ10" s="1235"/>
      <c r="BK10" s="1235"/>
      <c r="BL10" s="1235"/>
      <c r="BM10" s="1235"/>
      <c r="BN10" s="1235"/>
      <c r="BO10" s="1235"/>
      <c r="BP10" s="1235"/>
      <c r="BQ10" s="1235"/>
      <c r="BR10" s="1557"/>
      <c r="BS10" s="1557"/>
      <c r="BT10" s="1557"/>
      <c r="BU10" s="1557"/>
      <c r="BV10" s="1557"/>
      <c r="BW10" s="1557"/>
      <c r="BX10" s="1557"/>
      <c r="BY10" s="1557"/>
      <c r="BZ10" s="1557"/>
      <c r="CA10" s="1557"/>
      <c r="CB10" s="1564"/>
      <c r="CC10" s="1550">
        <f t="shared" si="0"/>
        <v>0</v>
      </c>
      <c r="CD10" s="1236">
        <f t="shared" si="1"/>
        <v>0</v>
      </c>
      <c r="CE10" s="1237">
        <f t="shared" si="2"/>
        <v>0</v>
      </c>
      <c r="CF10" s="1220"/>
      <c r="CG10" s="1751" t="str" cm="1">
        <f t="array" ref="CG10">IFERROR(INDEX($B$6:$B$53,_xlfn.AGGREGATE(15,6,(ROW($B$6:$B$53)-ROW($B$6)+1)/(MMULT(--($D$6:$CB$53&gt;0),TRANSPOSE(COLUMN($D$6:$CB$6)^0))&gt;0),ROWS($CG$6:CG10))),"")</f>
        <v/>
      </c>
      <c r="CH10" s="1752" t="str">
        <f t="shared" si="3"/>
        <v/>
      </c>
      <c r="CI10" s="1753" t="str" cm="1">
        <f t="array" ref="CI10">IF($CG10="","",IF(INDEX($D$6:$CB$53,MATCH($CG10,$B$6:$B$53,0),COLUMN()-COLUMN($CI$5)+1)&gt;0,INDEX($D$6:$CB$53,MATCH($CG10,$B$6:$B$53,0),COLUMN()-COLUMN($CI$5)+1),""))</f>
        <v/>
      </c>
      <c r="CJ10" s="1753" t="str" cm="1">
        <f t="array" ref="CJ10">IF($CG10="","",IF(INDEX($D$6:$CB$53,MATCH($CG10,$B$6:$B$53,0),COLUMN()-COLUMN($CI$5)+1)&gt;0,INDEX($D$6:$CB$53,MATCH($CG10,$B$6:$B$53,0),COLUMN()-COLUMN($CI$5)+1),""))</f>
        <v/>
      </c>
      <c r="CK10" s="1753" t="str" cm="1">
        <f t="array" ref="CK10">IF($CG10="","",IF(INDEX($D$6:$CB$53,MATCH($CG10,$B$6:$B$53,0),COLUMN()-COLUMN($CI$5)+1)&gt;0,INDEX($D$6:$CB$53,MATCH($CG10,$B$6:$B$53,0),COLUMN()-COLUMN($CI$5)+1),""))</f>
        <v/>
      </c>
      <c r="CL10" s="1753" t="str" cm="1">
        <f t="array" ref="CL10">IF($CG10="","",IF(INDEX($D$6:$CB$53,MATCH($CG10,$B$6:$B$53,0),COLUMN()-COLUMN($CI$5)+1)&gt;0,INDEX($D$6:$CB$53,MATCH($CG10,$B$6:$B$53,0),COLUMN()-COLUMN($CI$5)+1),""))</f>
        <v/>
      </c>
      <c r="CM10" s="1753" t="str" cm="1">
        <f t="array" ref="CM10">IF($CG10="","",IF(INDEX($D$6:$CB$53,MATCH($CG10,$B$6:$B$53,0),COLUMN()-COLUMN($CI$5)+1)&gt;0,INDEX($D$6:$CB$53,MATCH($CG10,$B$6:$B$53,0),COLUMN()-COLUMN($CI$5)+1),""))</f>
        <v/>
      </c>
      <c r="CN10" s="1753" t="str" cm="1">
        <f t="array" ref="CN10">IF($CG10="","",IF(INDEX($D$6:$CB$53,MATCH($CG10,$B$6:$B$53,0),COLUMN()-COLUMN($CI$5)+1)&gt;0,INDEX($D$6:$CB$53,MATCH($CG10,$B$6:$B$53,0),COLUMN()-COLUMN($CI$5)+1),""))</f>
        <v/>
      </c>
      <c r="CO10" s="1753" t="str" cm="1">
        <f t="array" ref="CO10">IF($CG10="","",IF(INDEX($D$6:$CB$53,MATCH($CG10,$B$6:$B$53,0),COLUMN()-COLUMN($CI$5)+1)&gt;0,INDEX($D$6:$CB$53,MATCH($CG10,$B$6:$B$53,0),COLUMN()-COLUMN($CI$5)+1),""))</f>
        <v/>
      </c>
      <c r="CP10" s="1753" t="str" cm="1">
        <f t="array" ref="CP10">IF($CG10="","",IF(INDEX($D$6:$CB$53,MATCH($CG10,$B$6:$B$53,0),COLUMN()-COLUMN($CI$5)+1)&gt;0,INDEX($D$6:$CB$53,MATCH($CG10,$B$6:$B$53,0),COLUMN()-COLUMN($CI$5)+1),""))</f>
        <v/>
      </c>
      <c r="CQ10" s="1753" t="str" cm="1">
        <f t="array" ref="CQ10">IF($CG10="","",IF(INDEX($D$6:$CB$53,MATCH($CG10,$B$6:$B$53,0),COLUMN()-COLUMN($CI$5)+1)&gt;0,INDEX($D$6:$CB$53,MATCH($CG10,$B$6:$B$53,0),COLUMN()-COLUMN($CI$5)+1),""))</f>
        <v/>
      </c>
      <c r="CR10" s="1753" t="str" cm="1">
        <f t="array" ref="CR10">IF($CG10="","",IF(INDEX($D$6:$CB$53,MATCH($CG10,$B$6:$B$53,0),COLUMN()-COLUMN($CI$5)+1)&gt;0,INDEX($D$6:$CB$53,MATCH($CG10,$B$6:$B$53,0),COLUMN()-COLUMN($CI$5)+1),""))</f>
        <v/>
      </c>
      <c r="CS10" s="1753" t="str" cm="1">
        <f t="array" ref="CS10">IF($CG10="","",IF(INDEX($D$6:$CB$53,MATCH($CG10,$B$6:$B$53,0),COLUMN()-COLUMN($CI$5)+1)&gt;0,INDEX($D$6:$CB$53,MATCH($CG10,$B$6:$B$53,0),COLUMN()-COLUMN($CI$5)+1),""))</f>
        <v/>
      </c>
      <c r="CT10" s="1753" t="str" cm="1">
        <f t="array" ref="CT10">IF($CG10="","",IF(INDEX($D$6:$CB$53,MATCH($CG10,$B$6:$B$53,0),COLUMN()-COLUMN($CI$5)+1)&gt;0,INDEX($D$6:$CB$53,MATCH($CG10,$B$6:$B$53,0),COLUMN()-COLUMN($CI$5)+1),""))</f>
        <v/>
      </c>
      <c r="CU10" s="1753" t="str" cm="1">
        <f t="array" ref="CU10">IF($CG10="","",IF(INDEX($D$6:$CB$53,MATCH($CG10,$B$6:$B$53,0),COLUMN()-COLUMN($CI$5)+1)&gt;0,INDEX($D$6:$CB$53,MATCH($CG10,$B$6:$B$53,0),COLUMN()-COLUMN($CI$5)+1),""))</f>
        <v/>
      </c>
      <c r="CV10" s="1753" t="str" cm="1">
        <f t="array" ref="CV10">IF($CG10="","",IF(INDEX($D$6:$CB$53,MATCH($CG10,$B$6:$B$53,0),COLUMN()-COLUMN($CI$5)+1)&gt;0,INDEX($D$6:$CB$53,MATCH($CG10,$B$6:$B$53,0),COLUMN()-COLUMN($CI$5)+1),""))</f>
        <v/>
      </c>
      <c r="CW10" s="1753" t="str" cm="1">
        <f t="array" ref="CW10">IF($CG10="","",IF(INDEX($D$6:$CB$53,MATCH($CG10,$B$6:$B$53,0),COLUMN()-COLUMN($CI$5)+1)&gt;0,INDEX($D$6:$CB$53,MATCH($CG10,$B$6:$B$53,0),COLUMN()-COLUMN($CI$5)+1),""))</f>
        <v/>
      </c>
      <c r="CX10" s="1753" t="str" cm="1">
        <f t="array" ref="CX10">IF($CG10="","",IF(INDEX($D$6:$CB$53,MATCH($CG10,$B$6:$B$53,0),COLUMN()-COLUMN($CI$5)+1)&gt;0,INDEX($D$6:$CB$53,MATCH($CG10,$B$6:$B$53,0),COLUMN()-COLUMN($CI$5)+1),""))</f>
        <v/>
      </c>
      <c r="CY10" s="1753" t="str" cm="1">
        <f t="array" ref="CY10">IF($CG10="","",IF(INDEX($D$6:$CB$53,MATCH($CG10,$B$6:$B$53,0),COLUMN()-COLUMN($CI$5)+1)&gt;0,INDEX($D$6:$CB$53,MATCH($CG10,$B$6:$B$53,0),COLUMN()-COLUMN($CI$5)+1),""))</f>
        <v/>
      </c>
      <c r="CZ10" s="1753" t="str" cm="1">
        <f t="array" ref="CZ10">IF($CG10="","",IF(INDEX($D$6:$CB$53,MATCH($CG10,$B$6:$B$53,0),COLUMN()-COLUMN($CI$5)+1)&gt;0,INDEX($D$6:$CB$53,MATCH($CG10,$B$6:$B$53,0),COLUMN()-COLUMN($CI$5)+1),""))</f>
        <v/>
      </c>
      <c r="DA10" s="1753" t="str" cm="1">
        <f t="array" ref="DA10">IF($CG10="","",IF(INDEX($D$6:$CB$53,MATCH($CG10,$B$6:$B$53,0),COLUMN()-COLUMN($CI$5)+1)&gt;0,INDEX($D$6:$CB$53,MATCH($CG10,$B$6:$B$53,0),COLUMN()-COLUMN($CI$5)+1),""))</f>
        <v/>
      </c>
      <c r="DB10" s="1753" t="str" cm="1">
        <f t="array" ref="DB10">IF($CG10="","",IF(INDEX($D$6:$CB$53,MATCH($CG10,$B$6:$B$53,0),COLUMN()-COLUMN($CI$5)+1)&gt;0,INDEX($D$6:$CB$53,MATCH($CG10,$B$6:$B$53,0),COLUMN()-COLUMN($CI$5)+1),""))</f>
        <v/>
      </c>
      <c r="DC10" s="1753" t="str" cm="1">
        <f t="array" ref="DC10">IF($CG10="","",IF(INDEX($D$6:$CB$53,MATCH($CG10,$B$6:$B$53,0),COLUMN()-COLUMN($CI$5)+1)&gt;0,INDEX($D$6:$CB$53,MATCH($CG10,$B$6:$B$53,0),COLUMN()-COLUMN($CI$5)+1),""))</f>
        <v/>
      </c>
      <c r="DD10" s="1753" t="str" cm="1">
        <f t="array" ref="DD10">IF($CG10="","",IF(INDEX($D$6:$CB$53,MATCH($CG10,$B$6:$B$53,0),COLUMN()-COLUMN($CI$5)+1)&gt;0,INDEX($D$6:$CB$53,MATCH($CG10,$B$6:$B$53,0),COLUMN()-COLUMN($CI$5)+1),""))</f>
        <v/>
      </c>
      <c r="DE10" s="1753" t="str" cm="1">
        <f t="array" ref="DE10">IF($CG10="","",IF(INDEX($D$6:$CB$53,MATCH($CG10,$B$6:$B$53,0),COLUMN()-COLUMN($CI$5)+1)&gt;0,INDEX($D$6:$CB$53,MATCH($CG10,$B$6:$B$53,0),COLUMN()-COLUMN($CI$5)+1),""))</f>
        <v/>
      </c>
      <c r="DF10" s="1753" t="str" cm="1">
        <f t="array" ref="DF10">IF($CG10="","",IF(INDEX($D$6:$CB$53,MATCH($CG10,$B$6:$B$53,0),COLUMN()-COLUMN($CI$5)+1)&gt;0,INDEX($D$6:$CB$53,MATCH($CG10,$B$6:$B$53,0),COLUMN()-COLUMN($CI$5)+1),""))</f>
        <v/>
      </c>
      <c r="DG10" s="1753" t="str" cm="1">
        <f t="array" ref="DG10">IF($CG10="","",IF(INDEX($D$6:$CB$53,MATCH($CG10,$B$6:$B$53,0),COLUMN()-COLUMN($CI$5)+1)&gt;0,INDEX($D$6:$CB$53,MATCH($CG10,$B$6:$B$53,0),COLUMN()-COLUMN($CI$5)+1),""))</f>
        <v/>
      </c>
      <c r="DH10" s="1753" t="str" cm="1">
        <f t="array" ref="DH10">IF($CG10="","",IF(INDEX($D$6:$CB$53,MATCH($CG10,$B$6:$B$53,0),COLUMN()-COLUMN($CI$5)+1)&gt;0,INDEX($D$6:$CB$53,MATCH($CG10,$B$6:$B$53,0),COLUMN()-COLUMN($CI$5)+1),""))</f>
        <v/>
      </c>
      <c r="DI10" s="1753" t="str" cm="1">
        <f t="array" ref="DI10">IF($CG10="","",IF(INDEX($D$6:$CB$53,MATCH($CG10,$B$6:$B$53,0),COLUMN()-COLUMN($CI$5)+1)&gt;0,INDEX($D$6:$CB$53,MATCH($CG10,$B$6:$B$53,0),COLUMN()-COLUMN($CI$5)+1),""))</f>
        <v/>
      </c>
      <c r="DJ10" s="1753" t="str" cm="1">
        <f t="array" ref="DJ10">IF($CG10="","",IF(INDEX($D$6:$CB$53,MATCH($CG10,$B$6:$B$53,0),COLUMN()-COLUMN($CI$5)+1)&gt;0,INDEX($D$6:$CB$53,MATCH($CG10,$B$6:$B$53,0),COLUMN()-COLUMN($CI$5)+1),""))</f>
        <v/>
      </c>
      <c r="DK10" s="1753" t="str" cm="1">
        <f t="array" ref="DK10">IF($CG10="","",IF(INDEX($D$6:$CB$53,MATCH($CG10,$B$6:$B$53,0),COLUMN()-COLUMN($CI$5)+1)&gt;0,INDEX($D$6:$CB$53,MATCH($CG10,$B$6:$B$53,0),COLUMN()-COLUMN($CI$5)+1),""))</f>
        <v/>
      </c>
      <c r="DL10" s="1753" t="str" cm="1">
        <f t="array" ref="DL10">IF($CG10="","",IF(INDEX($D$6:$CB$53,MATCH($CG10,$B$6:$B$53,0),COLUMN()-COLUMN($CI$5)+1)&gt;0,INDEX($D$6:$CB$53,MATCH($CG10,$B$6:$B$53,0),COLUMN()-COLUMN($CI$5)+1),""))</f>
        <v/>
      </c>
      <c r="DM10" s="1753" t="str" cm="1">
        <f t="array" ref="DM10">IF($CG10="","",IF(INDEX($D$6:$CB$53,MATCH($CG10,$B$6:$B$53,0),COLUMN()-COLUMN($CI$5)+1)&gt;0,INDEX($D$6:$CB$53,MATCH($CG10,$B$6:$B$53,0),COLUMN()-COLUMN($CI$5)+1),""))</f>
        <v/>
      </c>
      <c r="DN10" s="1753" t="str" cm="1">
        <f t="array" ref="DN10">IF($CG10="","",IF(INDEX($D$6:$CB$53,MATCH($CG10,$B$6:$B$53,0),COLUMN()-COLUMN($CI$5)+1)&gt;0,INDEX($D$6:$CB$53,MATCH($CG10,$B$6:$B$53,0),COLUMN()-COLUMN($CI$5)+1),""))</f>
        <v/>
      </c>
      <c r="DO10" s="1753" t="str" cm="1">
        <f t="array" ref="DO10">IF($CG10="","",IF(INDEX($D$6:$CB$53,MATCH($CG10,$B$6:$B$53,0),COLUMN()-COLUMN($CI$5)+1)&gt;0,INDEX($D$6:$CB$53,MATCH($CG10,$B$6:$B$53,0),COLUMN()-COLUMN($CI$5)+1),""))</f>
        <v/>
      </c>
      <c r="DP10" s="1753" t="str" cm="1">
        <f t="array" ref="DP10">IF($CG10="","",IF(INDEX($D$6:$CB$53,MATCH($CG10,$B$6:$B$53,0),COLUMN()-COLUMN($CI$5)+1)&gt;0,INDEX($D$6:$CB$53,MATCH($CG10,$B$6:$B$53,0),COLUMN()-COLUMN($CI$5)+1),""))</f>
        <v/>
      </c>
      <c r="DQ10" s="1753" t="str" cm="1">
        <f t="array" ref="DQ10">IF($CG10="","",IF(INDEX($D$6:$CB$53,MATCH($CG10,$B$6:$B$53,0),COLUMN()-COLUMN($CI$5)+1)&gt;0,INDEX($D$6:$CB$53,MATCH($CG10,$B$6:$B$53,0),COLUMN()-COLUMN($CI$5)+1),""))</f>
        <v/>
      </c>
      <c r="DR10" s="1753" t="str" cm="1">
        <f t="array" ref="DR10">IF($CG10="","",IF(INDEX($D$6:$CB$53,MATCH($CG10,$B$6:$B$53,0),COLUMN()-COLUMN($CI$5)+1)&gt;0,INDEX($D$6:$CB$53,MATCH($CG10,$B$6:$B$53,0),COLUMN()-COLUMN($CI$5)+1),""))</f>
        <v/>
      </c>
      <c r="DS10" s="1753" t="str" cm="1">
        <f t="array" ref="DS10">IF($CG10="","",IF(INDEX($D$6:$CB$53,MATCH($CG10,$B$6:$B$53,0),COLUMN()-COLUMN($CI$5)+1)&gt;0,INDEX($D$6:$CB$53,MATCH($CG10,$B$6:$B$53,0),COLUMN()-COLUMN($CI$5)+1),""))</f>
        <v/>
      </c>
      <c r="DT10" s="1753" t="str" cm="1">
        <f t="array" ref="DT10">IF($CG10="","",IF(INDEX($D$6:$CB$53,MATCH($CG10,$B$6:$B$53,0),COLUMN()-COLUMN($CI$5)+1)&gt;0,INDEX($D$6:$CB$53,MATCH($CG10,$B$6:$B$53,0),COLUMN()-COLUMN($CI$5)+1),""))</f>
        <v/>
      </c>
      <c r="DU10" s="1753" t="str" cm="1">
        <f t="array" ref="DU10">IF($CG10="","",IF(INDEX($D$6:$CB$53,MATCH($CG10,$B$6:$B$53,0),COLUMN()-COLUMN($CI$5)+1)&gt;0,INDEX($D$6:$CB$53,MATCH($CG10,$B$6:$B$53,0),COLUMN()-COLUMN($CI$5)+1),""))</f>
        <v/>
      </c>
      <c r="DV10" s="1753" t="str" cm="1">
        <f t="array" ref="DV10">IF($CG10="","",IF(INDEX($D$6:$CB$53,MATCH($CG10,$B$6:$B$53,0),COLUMN()-COLUMN($CI$5)+1)&gt;0,INDEX($D$6:$CB$53,MATCH($CG10,$B$6:$B$53,0),COLUMN()-COLUMN($CI$5)+1),""))</f>
        <v/>
      </c>
      <c r="DW10" s="1753" t="str" cm="1">
        <f t="array" ref="DW10">IF($CG10="","",IF(INDEX($D$6:$CB$53,MATCH($CG10,$B$6:$B$53,0),COLUMN()-COLUMN($CI$5)+1)&gt;0,INDEX($D$6:$CB$53,MATCH($CG10,$B$6:$B$53,0),COLUMN()-COLUMN($CI$5)+1),""))</f>
        <v/>
      </c>
      <c r="DX10" s="1753" t="str" cm="1">
        <f t="array" ref="DX10">IF($CG10="","",IF(INDEX($D$6:$CB$53,MATCH($CG10,$B$6:$B$53,0),COLUMN()-COLUMN($CI$5)+1)&gt;0,INDEX($D$6:$CB$53,MATCH($CG10,$B$6:$B$53,0),COLUMN()-COLUMN($CI$5)+1),""))</f>
        <v/>
      </c>
      <c r="DY10" s="1753" t="str" cm="1">
        <f t="array" ref="DY10">IF($CG10="","",IF(INDEX($D$6:$CB$53,MATCH($CG10,$B$6:$B$53,0),COLUMN()-COLUMN($CI$5)+1)&gt;0,INDEX($D$6:$CB$53,MATCH($CG10,$B$6:$B$53,0),COLUMN()-COLUMN($CI$5)+1),""))</f>
        <v/>
      </c>
      <c r="DZ10" s="1753" t="str" cm="1">
        <f t="array" ref="DZ10">IF($CG10="","",IF(INDEX($D$6:$CB$53,MATCH($CG10,$B$6:$B$53,0),COLUMN()-COLUMN($CI$5)+1)&gt;0,INDEX($D$6:$CB$53,MATCH($CG10,$B$6:$B$53,0),COLUMN()-COLUMN($CI$5)+1),""))</f>
        <v/>
      </c>
      <c r="EA10" s="1753" t="str" cm="1">
        <f t="array" ref="EA10">IF($CG10="","",IF(INDEX($D$6:$CB$53,MATCH($CG10,$B$6:$B$53,0),COLUMN()-COLUMN($CI$5)+1)&gt;0,INDEX($D$6:$CB$53,MATCH($CG10,$B$6:$B$53,0),COLUMN()-COLUMN($CI$5)+1),""))</f>
        <v/>
      </c>
      <c r="EB10" s="1753" t="str" cm="1">
        <f t="array" ref="EB10">IF($CG10="","",IF(INDEX($D$6:$CB$53,MATCH($CG10,$B$6:$B$53,0),COLUMN()-COLUMN($CI$5)+1)&gt;0,INDEX($D$6:$CB$53,MATCH($CG10,$B$6:$B$53,0),COLUMN()-COLUMN($CI$5)+1),""))</f>
        <v/>
      </c>
      <c r="EC10" s="1753" t="str" cm="1">
        <f t="array" ref="EC10">IF($CG10="","",IF(INDEX($D$6:$CB$53,MATCH($CG10,$B$6:$B$53,0),COLUMN()-COLUMN($CI$5)+1)&gt;0,INDEX($D$6:$CB$53,MATCH($CG10,$B$6:$B$53,0),COLUMN()-COLUMN($CI$5)+1),""))</f>
        <v/>
      </c>
      <c r="ED10" s="1753" t="str" cm="1">
        <f t="array" ref="ED10">IF($CG10="","",IF(INDEX($D$6:$CB$53,MATCH($CG10,$B$6:$B$53,0),COLUMN()-COLUMN($CI$5)+1)&gt;0,INDEX($D$6:$CB$53,MATCH($CG10,$B$6:$B$53,0),COLUMN()-COLUMN($CI$5)+1),""))</f>
        <v/>
      </c>
      <c r="EE10" s="1753" t="str" cm="1">
        <f t="array" ref="EE10">IF($CG10="","",IF(INDEX($D$6:$CB$53,MATCH($CG10,$B$6:$B$53,0),COLUMN()-COLUMN($CI$5)+1)&gt;0,INDEX($D$6:$CB$53,MATCH($CG10,$B$6:$B$53,0),COLUMN()-COLUMN($CI$5)+1),""))</f>
        <v/>
      </c>
      <c r="EF10" s="1753" t="str" cm="1">
        <f t="array" ref="EF10">IF($CG10="","",IF(INDEX($D$6:$CB$53,MATCH($CG10,$B$6:$B$53,0),COLUMN()-COLUMN($CI$5)+1)&gt;0,INDEX($D$6:$CB$53,MATCH($CG10,$B$6:$B$53,0),COLUMN()-COLUMN($CI$5)+1),""))</f>
        <v/>
      </c>
      <c r="EG10" s="1753" t="str" cm="1">
        <f t="array" ref="EG10">IF($CG10="","",IF(INDEX($D$6:$CB$53,MATCH($CG10,$B$6:$B$53,0),COLUMN()-COLUMN($CI$5)+1)&gt;0,INDEX($D$6:$CB$53,MATCH($CG10,$B$6:$B$53,0),COLUMN()-COLUMN($CI$5)+1),""))</f>
        <v/>
      </c>
      <c r="EH10" s="1753" t="str" cm="1">
        <f t="array" ref="EH10">IF($CG10="","",IF(INDEX($D$6:$CB$53,MATCH($CG10,$B$6:$B$53,0),COLUMN()-COLUMN($CI$5)+1)&gt;0,INDEX($D$6:$CB$53,MATCH($CG10,$B$6:$B$53,0),COLUMN()-COLUMN($CI$5)+1),""))</f>
        <v/>
      </c>
      <c r="EI10" s="1753" t="str" cm="1">
        <f t="array" ref="EI10">IF($CG10="","",IF(INDEX($D$6:$CB$53,MATCH($CG10,$B$6:$B$53,0),COLUMN()-COLUMN($CI$5)+1)&gt;0,INDEX($D$6:$CB$53,MATCH($CG10,$B$6:$B$53,0),COLUMN()-COLUMN($CI$5)+1),""))</f>
        <v/>
      </c>
      <c r="EJ10" s="1753" t="str" cm="1">
        <f t="array" ref="EJ10">IF($CG10="","",IF(INDEX($D$6:$CB$53,MATCH($CG10,$B$6:$B$53,0),COLUMN()-COLUMN($CI$5)+1)&gt;0,INDEX($D$6:$CB$53,MATCH($CG10,$B$6:$B$53,0),COLUMN()-COLUMN($CI$5)+1),""))</f>
        <v/>
      </c>
      <c r="EK10" s="1753" t="str" cm="1">
        <f t="array" ref="EK10">IF($CG10="","",IF(INDEX($D$6:$CB$53,MATCH($CG10,$B$6:$B$53,0),COLUMN()-COLUMN($CI$5)+1)&gt;0,INDEX($D$6:$CB$53,MATCH($CG10,$B$6:$B$53,0),COLUMN()-COLUMN($CI$5)+1),""))</f>
        <v/>
      </c>
      <c r="EL10" s="1753" t="str" cm="1">
        <f t="array" ref="EL10">IF($CG10="","",IF(INDEX($D$6:$CB$53,MATCH($CG10,$B$6:$B$53,0),COLUMN()-COLUMN($CI$5)+1)&gt;0,INDEX($D$6:$CB$53,MATCH($CG10,$B$6:$B$53,0),COLUMN()-COLUMN($CI$5)+1),""))</f>
        <v/>
      </c>
      <c r="EM10" s="1753" t="str" cm="1">
        <f t="array" ref="EM10">IF($CG10="","",IF(INDEX($D$6:$CB$53,MATCH($CG10,$B$6:$B$53,0),COLUMN()-COLUMN($CI$5)+1)&gt;0,INDEX($D$6:$CB$53,MATCH($CG10,$B$6:$B$53,0),COLUMN()-COLUMN($CI$5)+1),""))</f>
        <v/>
      </c>
      <c r="EN10" s="1753" t="str" cm="1">
        <f t="array" ref="EN10">IF($CG10="","",IF(INDEX($D$6:$CB$53,MATCH($CG10,$B$6:$B$53,0),COLUMN()-COLUMN($CI$5)+1)&gt;0,INDEX($D$6:$CB$53,MATCH($CG10,$B$6:$B$53,0),COLUMN()-COLUMN($CI$5)+1),""))</f>
        <v/>
      </c>
      <c r="EO10" s="1753" t="str" cm="1">
        <f t="array" ref="EO10">IF($CG10="","",IF(INDEX($D$6:$CB$53,MATCH($CG10,$B$6:$B$53,0),COLUMN()-COLUMN($CI$5)+1)&gt;0,INDEX($D$6:$CB$53,MATCH($CG10,$B$6:$B$53,0),COLUMN()-COLUMN($CI$5)+1),""))</f>
        <v/>
      </c>
      <c r="EP10" s="1753" t="str" cm="1">
        <f t="array" ref="EP10">IF($CG10="","",IF(INDEX($D$6:$CB$53,MATCH($CG10,$B$6:$B$53,0),COLUMN()-COLUMN($CI$5)+1)&gt;0,INDEX($D$6:$CB$53,MATCH($CG10,$B$6:$B$53,0),COLUMN()-COLUMN($CI$5)+1),""))</f>
        <v/>
      </c>
      <c r="EQ10" s="1753" t="str" cm="1">
        <f t="array" ref="EQ10">IF($CG10="","",IF(INDEX($D$6:$CB$53,MATCH($CG10,$B$6:$B$53,0),COLUMN()-COLUMN($CI$5)+1)&gt;0,INDEX($D$6:$CB$53,MATCH($CG10,$B$6:$B$53,0),COLUMN()-COLUMN($CI$5)+1),""))</f>
        <v/>
      </c>
      <c r="ER10" s="1753" t="str" cm="1">
        <f t="array" ref="ER10">IF($CG10="","",IF(INDEX($D$6:$CB$53,MATCH($CG10,$B$6:$B$53,0),COLUMN()-COLUMN($CI$5)+1)&gt;0,INDEX($D$6:$CB$53,MATCH($CG10,$B$6:$B$53,0),COLUMN()-COLUMN($CI$5)+1),""))</f>
        <v/>
      </c>
      <c r="ES10" s="1753" t="str" cm="1">
        <f t="array" ref="ES10">IF($CG10="","",IF(INDEX($D$6:$CB$53,MATCH($CG10,$B$6:$B$53,0),COLUMN()-COLUMN($CI$5)+1)&gt;0,INDEX($D$6:$CB$53,MATCH($CG10,$B$6:$B$53,0),COLUMN()-COLUMN($CI$5)+1),""))</f>
        <v/>
      </c>
      <c r="ET10" s="1753" t="str" cm="1">
        <f t="array" ref="ET10">IF($CG10="","",IF(INDEX($D$6:$CB$53,MATCH($CG10,$B$6:$B$53,0),COLUMN()-COLUMN($CI$5)+1)&gt;0,INDEX($D$6:$CB$53,MATCH($CG10,$B$6:$B$53,0),COLUMN()-COLUMN($CI$5)+1),""))</f>
        <v/>
      </c>
      <c r="EU10" s="1753" t="str" cm="1">
        <f t="array" ref="EU10">IF($CG10="","",IF(INDEX($D$6:$CB$53,MATCH($CG10,$B$6:$B$53,0),COLUMN()-COLUMN($CI$5)+1)&gt;0,INDEX($D$6:$CB$53,MATCH($CG10,$B$6:$B$53,0),COLUMN()-COLUMN($CI$5)+1),""))</f>
        <v/>
      </c>
      <c r="EV10" s="1753" t="str" cm="1">
        <f t="array" ref="EV10">IF($CG10="","",IF(INDEX($D$6:$CB$53,MATCH($CG10,$B$6:$B$53,0),COLUMN()-COLUMN($CI$5)+1)&gt;0,INDEX($D$6:$CB$53,MATCH($CG10,$B$6:$B$53,0),COLUMN()-COLUMN($CI$5)+1),""))</f>
        <v/>
      </c>
      <c r="EW10" s="1753" t="str" cm="1">
        <f t="array" ref="EW10">IF($CG10="","",IF(INDEX($D$6:$CB$53,MATCH($CG10,$B$6:$B$53,0),COLUMN()-COLUMN($CI$5)+1)&gt;0,INDEX($D$6:$CB$53,MATCH($CG10,$B$6:$B$53,0),COLUMN()-COLUMN($CI$5)+1),""))</f>
        <v/>
      </c>
      <c r="EX10" s="1753" t="str" cm="1">
        <f t="array" ref="EX10">IF($CG10="","",IF(INDEX($D$6:$CB$53,MATCH($CG10,$B$6:$B$53,0),COLUMN()-COLUMN($CI$5)+1)&gt;0,INDEX($D$6:$CB$53,MATCH($CG10,$B$6:$B$53,0),COLUMN()-COLUMN($CI$5)+1),""))</f>
        <v/>
      </c>
      <c r="EY10" s="1753" t="str" cm="1">
        <f t="array" ref="EY10">IF($CG10="","",IF(INDEX($D$6:$CB$53,MATCH($CG10,$B$6:$B$53,0),COLUMN()-COLUMN($CI$5)+1)&gt;0,INDEX($D$6:$CB$53,MATCH($CG10,$B$6:$B$53,0),COLUMN()-COLUMN($CI$5)+1),""))</f>
        <v/>
      </c>
      <c r="EZ10" s="1753" t="str" cm="1">
        <f t="array" ref="EZ10">IF($CG10="","",IF(INDEX($D$6:$CB$53,MATCH($CG10,$B$6:$B$53,0),COLUMN()-COLUMN($CI$5)+1)&gt;0,INDEX($D$6:$CB$53,MATCH($CG10,$B$6:$B$53,0),COLUMN()-COLUMN($CI$5)+1),""))</f>
        <v/>
      </c>
      <c r="FA10" s="1753" t="str" cm="1">
        <f t="array" ref="FA10">IF($CG10="","",IF(INDEX($D$6:$CB$53,MATCH($CG10,$B$6:$B$53,0),COLUMN()-COLUMN($CI$5)+1)&gt;0,INDEX($D$6:$CB$53,MATCH($CG10,$B$6:$B$53,0),COLUMN()-COLUMN($CI$5)+1),""))</f>
        <v/>
      </c>
      <c r="FB10" s="1753" t="str" cm="1">
        <f t="array" ref="FB10">IF($CG10="","",IF(INDEX($D$6:$CB$53,MATCH($CG10,$B$6:$B$53,0),COLUMN()-COLUMN($CI$5)+1)&gt;0,INDEX($D$6:$CB$53,MATCH($CG10,$B$6:$B$53,0),COLUMN()-COLUMN($CI$5)+1),""))</f>
        <v/>
      </c>
      <c r="FC10" s="1753" t="str" cm="1">
        <f t="array" ref="FC10">IF($CG10="","",IF(INDEX($D$6:$CB$53,MATCH($CG10,$B$6:$B$53,0),COLUMN()-COLUMN($CI$5)+1)&gt;0,INDEX($D$6:$CB$53,MATCH($CG10,$B$6:$B$53,0),COLUMN()-COLUMN($CI$5)+1),""))</f>
        <v/>
      </c>
      <c r="FD10" s="1753" t="str" cm="1">
        <f t="array" ref="FD10">IF($CG10="","",IF(INDEX($D$6:$CB$53,MATCH($CG10,$B$6:$B$53,0),COLUMN()-COLUMN($CI$5)+1)&gt;0,INDEX($D$6:$CB$53,MATCH($CG10,$B$6:$B$53,0),COLUMN()-COLUMN($CI$5)+1),""))</f>
        <v/>
      </c>
      <c r="FE10" s="1753" t="str" cm="1">
        <f t="array" ref="FE10">IF($CG10="","",IF(INDEX($D$6:$CB$53,MATCH($CG10,$B$6:$B$53,0),COLUMN()-COLUMN($CI$5)+1)&gt;0,INDEX($D$6:$CB$53,MATCH($CG10,$B$6:$B$53,0),COLUMN()-COLUMN($CI$5)+1),""))</f>
        <v/>
      </c>
      <c r="FF10" s="1753" t="str" cm="1">
        <f t="array" ref="FF10">IF($CG10="","",IF(INDEX($D$6:$CB$53,MATCH($CG10,$B$6:$B$53,0),COLUMN()-COLUMN($CI$5)+1)&gt;0,INDEX($D$6:$CB$53,MATCH($CG10,$B$6:$B$53,0),COLUMN()-COLUMN($CI$5)+1),""))</f>
        <v/>
      </c>
      <c r="FG10" s="1758" t="str" cm="1">
        <f t="array" ref="FG10">IF($CG10="","",IF(INDEX($D$6:$CB$53,MATCH($CG10,$B$6:$B$53,0),COLUMN()-COLUMN($CI$5)+1)&gt;0,INDEX($D$6:$CB$53,MATCH($CG10,$B$6:$B$53,0),COLUMN()-COLUMN($CI$5)+1),""))</f>
        <v/>
      </c>
      <c r="FH10" s="1764" t="str">
        <f t="shared" si="4"/>
        <v/>
      </c>
      <c r="FI10" s="1756" t="str">
        <f t="shared" si="5"/>
        <v/>
      </c>
      <c r="FJ10" s="1767" t="str">
        <f t="shared" si="6"/>
        <v/>
      </c>
      <c r="FK10" s="1760"/>
    </row>
    <row r="11" spans="1:167" ht="15.75" customHeight="1">
      <c r="A11" s="1220"/>
      <c r="B11" s="1278">
        <f>+PP!B29</f>
        <v>6</v>
      </c>
      <c r="C11" s="1279" t="str">
        <f>+PP!C29</f>
        <v>ALETA ENTERA 500-1000 g/pza</v>
      </c>
      <c r="D11" s="1404"/>
      <c r="E11" s="1405"/>
      <c r="F11" s="1405"/>
      <c r="G11" s="1405"/>
      <c r="H11" s="1405"/>
      <c r="I11" s="1405"/>
      <c r="J11" s="1405"/>
      <c r="K11" s="1405"/>
      <c r="L11" s="1405"/>
      <c r="M11" s="1405"/>
      <c r="N11" s="1405"/>
      <c r="O11" s="1405"/>
      <c r="P11" s="1405"/>
      <c r="Q11" s="1405"/>
      <c r="R11" s="1405"/>
      <c r="S11" s="1405"/>
      <c r="T11" s="1405"/>
      <c r="U11" s="1405"/>
      <c r="V11" s="1405"/>
      <c r="W11" s="1405"/>
      <c r="X11" s="1405"/>
      <c r="Y11" s="1405"/>
      <c r="Z11" s="1405"/>
      <c r="AA11" s="1405"/>
      <c r="AB11" s="1405"/>
      <c r="AC11" s="1405"/>
      <c r="AD11" s="1405"/>
      <c r="AE11" s="1405"/>
      <c r="AF11" s="1405"/>
      <c r="AG11" s="1405"/>
      <c r="AH11" s="1406"/>
      <c r="AI11" s="1235"/>
      <c r="AJ11" s="1235"/>
      <c r="AK11" s="1235"/>
      <c r="AL11" s="1235"/>
      <c r="AM11" s="1235"/>
      <c r="AN11" s="1235"/>
      <c r="AO11" s="1235"/>
      <c r="AP11" s="1218"/>
      <c r="AQ11" s="1218"/>
      <c r="AR11" s="1218"/>
      <c r="AS11" s="1218"/>
      <c r="AT11" s="1218"/>
      <c r="AU11" s="1218"/>
      <c r="AV11" s="1218"/>
      <c r="AW11" s="1218"/>
      <c r="AX11" s="1218"/>
      <c r="AY11" s="1218"/>
      <c r="AZ11" s="1218"/>
      <c r="BA11" s="1218"/>
      <c r="BB11" s="1218"/>
      <c r="BC11" s="1218"/>
      <c r="BD11" s="1218"/>
      <c r="BE11" s="1218"/>
      <c r="BF11" s="1218"/>
      <c r="BG11" s="1218"/>
      <c r="BH11" s="1218"/>
      <c r="BI11" s="1218"/>
      <c r="BJ11" s="1218"/>
      <c r="BK11" s="1218"/>
      <c r="BL11" s="1218"/>
      <c r="BM11" s="1218"/>
      <c r="BN11" s="1218"/>
      <c r="BO11" s="1218"/>
      <c r="BP11" s="1218"/>
      <c r="BQ11" s="1218"/>
      <c r="BR11" s="1557"/>
      <c r="BS11" s="1557"/>
      <c r="BT11" s="1557"/>
      <c r="BU11" s="1557"/>
      <c r="BV11" s="1557"/>
      <c r="BW11" s="1557"/>
      <c r="BX11" s="1557"/>
      <c r="BY11" s="1557"/>
      <c r="BZ11" s="1557"/>
      <c r="CA11" s="1557"/>
      <c r="CB11" s="1564"/>
      <c r="CC11" s="1550">
        <f t="shared" si="0"/>
        <v>0</v>
      </c>
      <c r="CD11" s="1236">
        <f t="shared" si="1"/>
        <v>0</v>
      </c>
      <c r="CE11" s="1237">
        <f t="shared" si="2"/>
        <v>0</v>
      </c>
      <c r="CF11" s="1220"/>
      <c r="CG11" s="1751" t="str" cm="1">
        <f t="array" ref="CG11">IFERROR(INDEX($B$6:$B$53,_xlfn.AGGREGATE(15,6,(ROW($B$6:$B$53)-ROW($B$6)+1)/(MMULT(--($D$6:$CB$53&gt;0),TRANSPOSE(COLUMN($D$6:$CB$6)^0))&gt;0),ROWS($CG$6:CG11))),"")</f>
        <v/>
      </c>
      <c r="CH11" s="1752" t="str">
        <f t="shared" si="3"/>
        <v/>
      </c>
      <c r="CI11" s="1753" t="str" cm="1">
        <f t="array" ref="CI11">IF($CG11="","",IF(INDEX($D$6:$CB$53,MATCH($CG11,$B$6:$B$53,0),COLUMN()-COLUMN($CI$5)+1)&gt;0,INDEX($D$6:$CB$53,MATCH($CG11,$B$6:$B$53,0),COLUMN()-COLUMN($CI$5)+1),""))</f>
        <v/>
      </c>
      <c r="CJ11" s="1753" t="str" cm="1">
        <f t="array" ref="CJ11">IF($CG11="","",IF(INDEX($D$6:$CB$53,MATCH($CG11,$B$6:$B$53,0),COLUMN()-COLUMN($CI$5)+1)&gt;0,INDEX($D$6:$CB$53,MATCH($CG11,$B$6:$B$53,0),COLUMN()-COLUMN($CI$5)+1),""))</f>
        <v/>
      </c>
      <c r="CK11" s="1753" t="str" cm="1">
        <f t="array" ref="CK11">IF($CG11="","",IF(INDEX($D$6:$CB$53,MATCH($CG11,$B$6:$B$53,0),COLUMN()-COLUMN($CI$5)+1)&gt;0,INDEX($D$6:$CB$53,MATCH($CG11,$B$6:$B$53,0),COLUMN()-COLUMN($CI$5)+1),""))</f>
        <v/>
      </c>
      <c r="CL11" s="1753" t="str" cm="1">
        <f t="array" ref="CL11">IF($CG11="","",IF(INDEX($D$6:$CB$53,MATCH($CG11,$B$6:$B$53,0),COLUMN()-COLUMN($CI$5)+1)&gt;0,INDEX($D$6:$CB$53,MATCH($CG11,$B$6:$B$53,0),COLUMN()-COLUMN($CI$5)+1),""))</f>
        <v/>
      </c>
      <c r="CM11" s="1753" t="str" cm="1">
        <f t="array" ref="CM11">IF($CG11="","",IF(INDEX($D$6:$CB$53,MATCH($CG11,$B$6:$B$53,0),COLUMN()-COLUMN($CI$5)+1)&gt;0,INDEX($D$6:$CB$53,MATCH($CG11,$B$6:$B$53,0),COLUMN()-COLUMN($CI$5)+1),""))</f>
        <v/>
      </c>
      <c r="CN11" s="1753" t="str" cm="1">
        <f t="array" ref="CN11">IF($CG11="","",IF(INDEX($D$6:$CB$53,MATCH($CG11,$B$6:$B$53,0),COLUMN()-COLUMN($CI$5)+1)&gt;0,INDEX($D$6:$CB$53,MATCH($CG11,$B$6:$B$53,0),COLUMN()-COLUMN($CI$5)+1),""))</f>
        <v/>
      </c>
      <c r="CO11" s="1753" t="str" cm="1">
        <f t="array" ref="CO11">IF($CG11="","",IF(INDEX($D$6:$CB$53,MATCH($CG11,$B$6:$B$53,0),COLUMN()-COLUMN($CI$5)+1)&gt;0,INDEX($D$6:$CB$53,MATCH($CG11,$B$6:$B$53,0),COLUMN()-COLUMN($CI$5)+1),""))</f>
        <v/>
      </c>
      <c r="CP11" s="1753" t="str" cm="1">
        <f t="array" ref="CP11">IF($CG11="","",IF(INDEX($D$6:$CB$53,MATCH($CG11,$B$6:$B$53,0),COLUMN()-COLUMN($CI$5)+1)&gt;0,INDEX($D$6:$CB$53,MATCH($CG11,$B$6:$B$53,0),COLUMN()-COLUMN($CI$5)+1),""))</f>
        <v/>
      </c>
      <c r="CQ11" s="1753" t="str" cm="1">
        <f t="array" ref="CQ11">IF($CG11="","",IF(INDEX($D$6:$CB$53,MATCH($CG11,$B$6:$B$53,0),COLUMN()-COLUMN($CI$5)+1)&gt;0,INDEX($D$6:$CB$53,MATCH($CG11,$B$6:$B$53,0),COLUMN()-COLUMN($CI$5)+1),""))</f>
        <v/>
      </c>
      <c r="CR11" s="1753" t="str" cm="1">
        <f t="array" ref="CR11">IF($CG11="","",IF(INDEX($D$6:$CB$53,MATCH($CG11,$B$6:$B$53,0),COLUMN()-COLUMN($CI$5)+1)&gt;0,INDEX($D$6:$CB$53,MATCH($CG11,$B$6:$B$53,0),COLUMN()-COLUMN($CI$5)+1),""))</f>
        <v/>
      </c>
      <c r="CS11" s="1753" t="str" cm="1">
        <f t="array" ref="CS11">IF($CG11="","",IF(INDEX($D$6:$CB$53,MATCH($CG11,$B$6:$B$53,0),COLUMN()-COLUMN($CI$5)+1)&gt;0,INDEX($D$6:$CB$53,MATCH($CG11,$B$6:$B$53,0),COLUMN()-COLUMN($CI$5)+1),""))</f>
        <v/>
      </c>
      <c r="CT11" s="1753" t="str" cm="1">
        <f t="array" ref="CT11">IF($CG11="","",IF(INDEX($D$6:$CB$53,MATCH($CG11,$B$6:$B$53,0),COLUMN()-COLUMN($CI$5)+1)&gt;0,INDEX($D$6:$CB$53,MATCH($CG11,$B$6:$B$53,0),COLUMN()-COLUMN($CI$5)+1),""))</f>
        <v/>
      </c>
      <c r="CU11" s="1753" t="str" cm="1">
        <f t="array" ref="CU11">IF($CG11="","",IF(INDEX($D$6:$CB$53,MATCH($CG11,$B$6:$B$53,0),COLUMN()-COLUMN($CI$5)+1)&gt;0,INDEX($D$6:$CB$53,MATCH($CG11,$B$6:$B$53,0),COLUMN()-COLUMN($CI$5)+1),""))</f>
        <v/>
      </c>
      <c r="CV11" s="1753" t="str" cm="1">
        <f t="array" ref="CV11">IF($CG11="","",IF(INDEX($D$6:$CB$53,MATCH($CG11,$B$6:$B$53,0),COLUMN()-COLUMN($CI$5)+1)&gt;0,INDEX($D$6:$CB$53,MATCH($CG11,$B$6:$B$53,0),COLUMN()-COLUMN($CI$5)+1),""))</f>
        <v/>
      </c>
      <c r="CW11" s="1753" t="str" cm="1">
        <f t="array" ref="CW11">IF($CG11="","",IF(INDEX($D$6:$CB$53,MATCH($CG11,$B$6:$B$53,0),COLUMN()-COLUMN($CI$5)+1)&gt;0,INDEX($D$6:$CB$53,MATCH($CG11,$B$6:$B$53,0),COLUMN()-COLUMN($CI$5)+1),""))</f>
        <v/>
      </c>
      <c r="CX11" s="1753" t="str" cm="1">
        <f t="array" ref="CX11">IF($CG11="","",IF(INDEX($D$6:$CB$53,MATCH($CG11,$B$6:$B$53,0),COLUMN()-COLUMN($CI$5)+1)&gt;0,INDEX($D$6:$CB$53,MATCH($CG11,$B$6:$B$53,0),COLUMN()-COLUMN($CI$5)+1),""))</f>
        <v/>
      </c>
      <c r="CY11" s="1753" t="str" cm="1">
        <f t="array" ref="CY11">IF($CG11="","",IF(INDEX($D$6:$CB$53,MATCH($CG11,$B$6:$B$53,0),COLUMN()-COLUMN($CI$5)+1)&gt;0,INDEX($D$6:$CB$53,MATCH($CG11,$B$6:$B$53,0),COLUMN()-COLUMN($CI$5)+1),""))</f>
        <v/>
      </c>
      <c r="CZ11" s="1753" t="str" cm="1">
        <f t="array" ref="CZ11">IF($CG11="","",IF(INDEX($D$6:$CB$53,MATCH($CG11,$B$6:$B$53,0),COLUMN()-COLUMN($CI$5)+1)&gt;0,INDEX($D$6:$CB$53,MATCH($CG11,$B$6:$B$53,0),COLUMN()-COLUMN($CI$5)+1),""))</f>
        <v/>
      </c>
      <c r="DA11" s="1753" t="str" cm="1">
        <f t="array" ref="DA11">IF($CG11="","",IF(INDEX($D$6:$CB$53,MATCH($CG11,$B$6:$B$53,0),COLUMN()-COLUMN($CI$5)+1)&gt;0,INDEX($D$6:$CB$53,MATCH($CG11,$B$6:$B$53,0),COLUMN()-COLUMN($CI$5)+1),""))</f>
        <v/>
      </c>
      <c r="DB11" s="1753" t="str" cm="1">
        <f t="array" ref="DB11">IF($CG11="","",IF(INDEX($D$6:$CB$53,MATCH($CG11,$B$6:$B$53,0),COLUMN()-COLUMN($CI$5)+1)&gt;0,INDEX($D$6:$CB$53,MATCH($CG11,$B$6:$B$53,0),COLUMN()-COLUMN($CI$5)+1),""))</f>
        <v/>
      </c>
      <c r="DC11" s="1753" t="str" cm="1">
        <f t="array" ref="DC11">IF($CG11="","",IF(INDEX($D$6:$CB$53,MATCH($CG11,$B$6:$B$53,0),COLUMN()-COLUMN($CI$5)+1)&gt;0,INDEX($D$6:$CB$53,MATCH($CG11,$B$6:$B$53,0),COLUMN()-COLUMN($CI$5)+1),""))</f>
        <v/>
      </c>
      <c r="DD11" s="1753" t="str" cm="1">
        <f t="array" ref="DD11">IF($CG11="","",IF(INDEX($D$6:$CB$53,MATCH($CG11,$B$6:$B$53,0),COLUMN()-COLUMN($CI$5)+1)&gt;0,INDEX($D$6:$CB$53,MATCH($CG11,$B$6:$B$53,0),COLUMN()-COLUMN($CI$5)+1),""))</f>
        <v/>
      </c>
      <c r="DE11" s="1753" t="str" cm="1">
        <f t="array" ref="DE11">IF($CG11="","",IF(INDEX($D$6:$CB$53,MATCH($CG11,$B$6:$B$53,0),COLUMN()-COLUMN($CI$5)+1)&gt;0,INDEX($D$6:$CB$53,MATCH($CG11,$B$6:$B$53,0),COLUMN()-COLUMN($CI$5)+1),""))</f>
        <v/>
      </c>
      <c r="DF11" s="1753" t="str" cm="1">
        <f t="array" ref="DF11">IF($CG11="","",IF(INDEX($D$6:$CB$53,MATCH($CG11,$B$6:$B$53,0),COLUMN()-COLUMN($CI$5)+1)&gt;0,INDEX($D$6:$CB$53,MATCH($CG11,$B$6:$B$53,0),COLUMN()-COLUMN($CI$5)+1),""))</f>
        <v/>
      </c>
      <c r="DG11" s="1753" t="str" cm="1">
        <f t="array" ref="DG11">IF($CG11="","",IF(INDEX($D$6:$CB$53,MATCH($CG11,$B$6:$B$53,0),COLUMN()-COLUMN($CI$5)+1)&gt;0,INDEX($D$6:$CB$53,MATCH($CG11,$B$6:$B$53,0),COLUMN()-COLUMN($CI$5)+1),""))</f>
        <v/>
      </c>
      <c r="DH11" s="1753" t="str" cm="1">
        <f t="array" ref="DH11">IF($CG11="","",IF(INDEX($D$6:$CB$53,MATCH($CG11,$B$6:$B$53,0),COLUMN()-COLUMN($CI$5)+1)&gt;0,INDEX($D$6:$CB$53,MATCH($CG11,$B$6:$B$53,0),COLUMN()-COLUMN($CI$5)+1),""))</f>
        <v/>
      </c>
      <c r="DI11" s="1753" t="str" cm="1">
        <f t="array" ref="DI11">IF($CG11="","",IF(INDEX($D$6:$CB$53,MATCH($CG11,$B$6:$B$53,0),COLUMN()-COLUMN($CI$5)+1)&gt;0,INDEX($D$6:$CB$53,MATCH($CG11,$B$6:$B$53,0),COLUMN()-COLUMN($CI$5)+1),""))</f>
        <v/>
      </c>
      <c r="DJ11" s="1753" t="str" cm="1">
        <f t="array" ref="DJ11">IF($CG11="","",IF(INDEX($D$6:$CB$53,MATCH($CG11,$B$6:$B$53,0),COLUMN()-COLUMN($CI$5)+1)&gt;0,INDEX($D$6:$CB$53,MATCH($CG11,$B$6:$B$53,0),COLUMN()-COLUMN($CI$5)+1),""))</f>
        <v/>
      </c>
      <c r="DK11" s="1753" t="str" cm="1">
        <f t="array" ref="DK11">IF($CG11="","",IF(INDEX($D$6:$CB$53,MATCH($CG11,$B$6:$B$53,0),COLUMN()-COLUMN($CI$5)+1)&gt;0,INDEX($D$6:$CB$53,MATCH($CG11,$B$6:$B$53,0),COLUMN()-COLUMN($CI$5)+1),""))</f>
        <v/>
      </c>
      <c r="DL11" s="1753" t="str" cm="1">
        <f t="array" ref="DL11">IF($CG11="","",IF(INDEX($D$6:$CB$53,MATCH($CG11,$B$6:$B$53,0),COLUMN()-COLUMN($CI$5)+1)&gt;0,INDEX($D$6:$CB$53,MATCH($CG11,$B$6:$B$53,0),COLUMN()-COLUMN($CI$5)+1),""))</f>
        <v/>
      </c>
      <c r="DM11" s="1753" t="str" cm="1">
        <f t="array" ref="DM11">IF($CG11="","",IF(INDEX($D$6:$CB$53,MATCH($CG11,$B$6:$B$53,0),COLUMN()-COLUMN($CI$5)+1)&gt;0,INDEX($D$6:$CB$53,MATCH($CG11,$B$6:$B$53,0),COLUMN()-COLUMN($CI$5)+1),""))</f>
        <v/>
      </c>
      <c r="DN11" s="1753" t="str" cm="1">
        <f t="array" ref="DN11">IF($CG11="","",IF(INDEX($D$6:$CB$53,MATCH($CG11,$B$6:$B$53,0),COLUMN()-COLUMN($CI$5)+1)&gt;0,INDEX($D$6:$CB$53,MATCH($CG11,$B$6:$B$53,0),COLUMN()-COLUMN($CI$5)+1),""))</f>
        <v/>
      </c>
      <c r="DO11" s="1753" t="str" cm="1">
        <f t="array" ref="DO11">IF($CG11="","",IF(INDEX($D$6:$CB$53,MATCH($CG11,$B$6:$B$53,0),COLUMN()-COLUMN($CI$5)+1)&gt;0,INDEX($D$6:$CB$53,MATCH($CG11,$B$6:$B$53,0),COLUMN()-COLUMN($CI$5)+1),""))</f>
        <v/>
      </c>
      <c r="DP11" s="1753" t="str" cm="1">
        <f t="array" ref="DP11">IF($CG11="","",IF(INDEX($D$6:$CB$53,MATCH($CG11,$B$6:$B$53,0),COLUMN()-COLUMN($CI$5)+1)&gt;0,INDEX($D$6:$CB$53,MATCH($CG11,$B$6:$B$53,0),COLUMN()-COLUMN($CI$5)+1),""))</f>
        <v/>
      </c>
      <c r="DQ11" s="1753" t="str" cm="1">
        <f t="array" ref="DQ11">IF($CG11="","",IF(INDEX($D$6:$CB$53,MATCH($CG11,$B$6:$B$53,0),COLUMN()-COLUMN($CI$5)+1)&gt;0,INDEX($D$6:$CB$53,MATCH($CG11,$B$6:$B$53,0),COLUMN()-COLUMN($CI$5)+1),""))</f>
        <v/>
      </c>
      <c r="DR11" s="1753" t="str" cm="1">
        <f t="array" ref="DR11">IF($CG11="","",IF(INDEX($D$6:$CB$53,MATCH($CG11,$B$6:$B$53,0),COLUMN()-COLUMN($CI$5)+1)&gt;0,INDEX($D$6:$CB$53,MATCH($CG11,$B$6:$B$53,0),COLUMN()-COLUMN($CI$5)+1),""))</f>
        <v/>
      </c>
      <c r="DS11" s="1753" t="str" cm="1">
        <f t="array" ref="DS11">IF($CG11="","",IF(INDEX($D$6:$CB$53,MATCH($CG11,$B$6:$B$53,0),COLUMN()-COLUMN($CI$5)+1)&gt;0,INDEX($D$6:$CB$53,MATCH($CG11,$B$6:$B$53,0),COLUMN()-COLUMN($CI$5)+1),""))</f>
        <v/>
      </c>
      <c r="DT11" s="1753" t="str" cm="1">
        <f t="array" ref="DT11">IF($CG11="","",IF(INDEX($D$6:$CB$53,MATCH($CG11,$B$6:$B$53,0),COLUMN()-COLUMN($CI$5)+1)&gt;0,INDEX($D$6:$CB$53,MATCH($CG11,$B$6:$B$53,0),COLUMN()-COLUMN($CI$5)+1),""))</f>
        <v/>
      </c>
      <c r="DU11" s="1753" t="str" cm="1">
        <f t="array" ref="DU11">IF($CG11="","",IF(INDEX($D$6:$CB$53,MATCH($CG11,$B$6:$B$53,0),COLUMN()-COLUMN($CI$5)+1)&gt;0,INDEX($D$6:$CB$53,MATCH($CG11,$B$6:$B$53,0),COLUMN()-COLUMN($CI$5)+1),""))</f>
        <v/>
      </c>
      <c r="DV11" s="1753" t="str" cm="1">
        <f t="array" ref="DV11">IF($CG11="","",IF(INDEX($D$6:$CB$53,MATCH($CG11,$B$6:$B$53,0),COLUMN()-COLUMN($CI$5)+1)&gt;0,INDEX($D$6:$CB$53,MATCH($CG11,$B$6:$B$53,0),COLUMN()-COLUMN($CI$5)+1),""))</f>
        <v/>
      </c>
      <c r="DW11" s="1753" t="str" cm="1">
        <f t="array" ref="DW11">IF($CG11="","",IF(INDEX($D$6:$CB$53,MATCH($CG11,$B$6:$B$53,0),COLUMN()-COLUMN($CI$5)+1)&gt;0,INDEX($D$6:$CB$53,MATCH($CG11,$B$6:$B$53,0),COLUMN()-COLUMN($CI$5)+1),""))</f>
        <v/>
      </c>
      <c r="DX11" s="1753" t="str" cm="1">
        <f t="array" ref="DX11">IF($CG11="","",IF(INDEX($D$6:$CB$53,MATCH($CG11,$B$6:$B$53,0),COLUMN()-COLUMN($CI$5)+1)&gt;0,INDEX($D$6:$CB$53,MATCH($CG11,$B$6:$B$53,0),COLUMN()-COLUMN($CI$5)+1),""))</f>
        <v/>
      </c>
      <c r="DY11" s="1753" t="str" cm="1">
        <f t="array" ref="DY11">IF($CG11="","",IF(INDEX($D$6:$CB$53,MATCH($CG11,$B$6:$B$53,0),COLUMN()-COLUMN($CI$5)+1)&gt;0,INDEX($D$6:$CB$53,MATCH($CG11,$B$6:$B$53,0),COLUMN()-COLUMN($CI$5)+1),""))</f>
        <v/>
      </c>
      <c r="DZ11" s="1753" t="str" cm="1">
        <f t="array" ref="DZ11">IF($CG11="","",IF(INDEX($D$6:$CB$53,MATCH($CG11,$B$6:$B$53,0),COLUMN()-COLUMN($CI$5)+1)&gt;0,INDEX($D$6:$CB$53,MATCH($CG11,$B$6:$B$53,0),COLUMN()-COLUMN($CI$5)+1),""))</f>
        <v/>
      </c>
      <c r="EA11" s="1753" t="str" cm="1">
        <f t="array" ref="EA11">IF($CG11="","",IF(INDEX($D$6:$CB$53,MATCH($CG11,$B$6:$B$53,0),COLUMN()-COLUMN($CI$5)+1)&gt;0,INDEX($D$6:$CB$53,MATCH($CG11,$B$6:$B$53,0),COLUMN()-COLUMN($CI$5)+1),""))</f>
        <v/>
      </c>
      <c r="EB11" s="1753" t="str" cm="1">
        <f t="array" ref="EB11">IF($CG11="","",IF(INDEX($D$6:$CB$53,MATCH($CG11,$B$6:$B$53,0),COLUMN()-COLUMN($CI$5)+1)&gt;0,INDEX($D$6:$CB$53,MATCH($CG11,$B$6:$B$53,0),COLUMN()-COLUMN($CI$5)+1),""))</f>
        <v/>
      </c>
      <c r="EC11" s="1753" t="str" cm="1">
        <f t="array" ref="EC11">IF($CG11="","",IF(INDEX($D$6:$CB$53,MATCH($CG11,$B$6:$B$53,0),COLUMN()-COLUMN($CI$5)+1)&gt;0,INDEX($D$6:$CB$53,MATCH($CG11,$B$6:$B$53,0),COLUMN()-COLUMN($CI$5)+1),""))</f>
        <v/>
      </c>
      <c r="ED11" s="1753" t="str" cm="1">
        <f t="array" ref="ED11">IF($CG11="","",IF(INDEX($D$6:$CB$53,MATCH($CG11,$B$6:$B$53,0),COLUMN()-COLUMN($CI$5)+1)&gt;0,INDEX($D$6:$CB$53,MATCH($CG11,$B$6:$B$53,0),COLUMN()-COLUMN($CI$5)+1),""))</f>
        <v/>
      </c>
      <c r="EE11" s="1753" t="str" cm="1">
        <f t="array" ref="EE11">IF($CG11="","",IF(INDEX($D$6:$CB$53,MATCH($CG11,$B$6:$B$53,0),COLUMN()-COLUMN($CI$5)+1)&gt;0,INDEX($D$6:$CB$53,MATCH($CG11,$B$6:$B$53,0),COLUMN()-COLUMN($CI$5)+1),""))</f>
        <v/>
      </c>
      <c r="EF11" s="1753" t="str" cm="1">
        <f t="array" ref="EF11">IF($CG11="","",IF(INDEX($D$6:$CB$53,MATCH($CG11,$B$6:$B$53,0),COLUMN()-COLUMN($CI$5)+1)&gt;0,INDEX($D$6:$CB$53,MATCH($CG11,$B$6:$B$53,0),COLUMN()-COLUMN($CI$5)+1),""))</f>
        <v/>
      </c>
      <c r="EG11" s="1753" t="str" cm="1">
        <f t="array" ref="EG11">IF($CG11="","",IF(INDEX($D$6:$CB$53,MATCH($CG11,$B$6:$B$53,0),COLUMN()-COLUMN($CI$5)+1)&gt;0,INDEX($D$6:$CB$53,MATCH($CG11,$B$6:$B$53,0),COLUMN()-COLUMN($CI$5)+1),""))</f>
        <v/>
      </c>
      <c r="EH11" s="1753" t="str" cm="1">
        <f t="array" ref="EH11">IF($CG11="","",IF(INDEX($D$6:$CB$53,MATCH($CG11,$B$6:$B$53,0),COLUMN()-COLUMN($CI$5)+1)&gt;0,INDEX($D$6:$CB$53,MATCH($CG11,$B$6:$B$53,0),COLUMN()-COLUMN($CI$5)+1),""))</f>
        <v/>
      </c>
      <c r="EI11" s="1753" t="str" cm="1">
        <f t="array" ref="EI11">IF($CG11="","",IF(INDEX($D$6:$CB$53,MATCH($CG11,$B$6:$B$53,0),COLUMN()-COLUMN($CI$5)+1)&gt;0,INDEX($D$6:$CB$53,MATCH($CG11,$B$6:$B$53,0),COLUMN()-COLUMN($CI$5)+1),""))</f>
        <v/>
      </c>
      <c r="EJ11" s="1753" t="str" cm="1">
        <f t="array" ref="EJ11">IF($CG11="","",IF(INDEX($D$6:$CB$53,MATCH($CG11,$B$6:$B$53,0),COLUMN()-COLUMN($CI$5)+1)&gt;0,INDEX($D$6:$CB$53,MATCH($CG11,$B$6:$B$53,0),COLUMN()-COLUMN($CI$5)+1),""))</f>
        <v/>
      </c>
      <c r="EK11" s="1753" t="str" cm="1">
        <f t="array" ref="EK11">IF($CG11="","",IF(INDEX($D$6:$CB$53,MATCH($CG11,$B$6:$B$53,0),COLUMN()-COLUMN($CI$5)+1)&gt;0,INDEX($D$6:$CB$53,MATCH($CG11,$B$6:$B$53,0),COLUMN()-COLUMN($CI$5)+1),""))</f>
        <v/>
      </c>
      <c r="EL11" s="1753" t="str" cm="1">
        <f t="array" ref="EL11">IF($CG11="","",IF(INDEX($D$6:$CB$53,MATCH($CG11,$B$6:$B$53,0),COLUMN()-COLUMN($CI$5)+1)&gt;0,INDEX($D$6:$CB$53,MATCH($CG11,$B$6:$B$53,0),COLUMN()-COLUMN($CI$5)+1),""))</f>
        <v/>
      </c>
      <c r="EM11" s="1753" t="str" cm="1">
        <f t="array" ref="EM11">IF($CG11="","",IF(INDEX($D$6:$CB$53,MATCH($CG11,$B$6:$B$53,0),COLUMN()-COLUMN($CI$5)+1)&gt;0,INDEX($D$6:$CB$53,MATCH($CG11,$B$6:$B$53,0),COLUMN()-COLUMN($CI$5)+1),""))</f>
        <v/>
      </c>
      <c r="EN11" s="1753" t="str" cm="1">
        <f t="array" ref="EN11">IF($CG11="","",IF(INDEX($D$6:$CB$53,MATCH($CG11,$B$6:$B$53,0),COLUMN()-COLUMN($CI$5)+1)&gt;0,INDEX($D$6:$CB$53,MATCH($CG11,$B$6:$B$53,0),COLUMN()-COLUMN($CI$5)+1),""))</f>
        <v/>
      </c>
      <c r="EO11" s="1753" t="str" cm="1">
        <f t="array" ref="EO11">IF($CG11="","",IF(INDEX($D$6:$CB$53,MATCH($CG11,$B$6:$B$53,0),COLUMN()-COLUMN($CI$5)+1)&gt;0,INDEX($D$6:$CB$53,MATCH($CG11,$B$6:$B$53,0),COLUMN()-COLUMN($CI$5)+1),""))</f>
        <v/>
      </c>
      <c r="EP11" s="1753" t="str" cm="1">
        <f t="array" ref="EP11">IF($CG11="","",IF(INDEX($D$6:$CB$53,MATCH($CG11,$B$6:$B$53,0),COLUMN()-COLUMN($CI$5)+1)&gt;0,INDEX($D$6:$CB$53,MATCH($CG11,$B$6:$B$53,0),COLUMN()-COLUMN($CI$5)+1),""))</f>
        <v/>
      </c>
      <c r="EQ11" s="1753" t="str" cm="1">
        <f t="array" ref="EQ11">IF($CG11="","",IF(INDEX($D$6:$CB$53,MATCH($CG11,$B$6:$B$53,0),COLUMN()-COLUMN($CI$5)+1)&gt;0,INDEX($D$6:$CB$53,MATCH($CG11,$B$6:$B$53,0),COLUMN()-COLUMN($CI$5)+1),""))</f>
        <v/>
      </c>
      <c r="ER11" s="1753" t="str" cm="1">
        <f t="array" ref="ER11">IF($CG11="","",IF(INDEX($D$6:$CB$53,MATCH($CG11,$B$6:$B$53,0),COLUMN()-COLUMN($CI$5)+1)&gt;0,INDEX($D$6:$CB$53,MATCH($CG11,$B$6:$B$53,0),COLUMN()-COLUMN($CI$5)+1),""))</f>
        <v/>
      </c>
      <c r="ES11" s="1753" t="str" cm="1">
        <f t="array" ref="ES11">IF($CG11="","",IF(INDEX($D$6:$CB$53,MATCH($CG11,$B$6:$B$53,0),COLUMN()-COLUMN($CI$5)+1)&gt;0,INDEX($D$6:$CB$53,MATCH($CG11,$B$6:$B$53,0),COLUMN()-COLUMN($CI$5)+1),""))</f>
        <v/>
      </c>
      <c r="ET11" s="1753" t="str" cm="1">
        <f t="array" ref="ET11">IF($CG11="","",IF(INDEX($D$6:$CB$53,MATCH($CG11,$B$6:$B$53,0),COLUMN()-COLUMN($CI$5)+1)&gt;0,INDEX($D$6:$CB$53,MATCH($CG11,$B$6:$B$53,0),COLUMN()-COLUMN($CI$5)+1),""))</f>
        <v/>
      </c>
      <c r="EU11" s="1753" t="str" cm="1">
        <f t="array" ref="EU11">IF($CG11="","",IF(INDEX($D$6:$CB$53,MATCH($CG11,$B$6:$B$53,0),COLUMN()-COLUMN($CI$5)+1)&gt;0,INDEX($D$6:$CB$53,MATCH($CG11,$B$6:$B$53,0),COLUMN()-COLUMN($CI$5)+1),""))</f>
        <v/>
      </c>
      <c r="EV11" s="1753" t="str" cm="1">
        <f t="array" ref="EV11">IF($CG11="","",IF(INDEX($D$6:$CB$53,MATCH($CG11,$B$6:$B$53,0),COLUMN()-COLUMN($CI$5)+1)&gt;0,INDEX($D$6:$CB$53,MATCH($CG11,$B$6:$B$53,0),COLUMN()-COLUMN($CI$5)+1),""))</f>
        <v/>
      </c>
      <c r="EW11" s="1753" t="str" cm="1">
        <f t="array" ref="EW11">IF($CG11="","",IF(INDEX($D$6:$CB$53,MATCH($CG11,$B$6:$B$53,0),COLUMN()-COLUMN($CI$5)+1)&gt;0,INDEX($D$6:$CB$53,MATCH($CG11,$B$6:$B$53,0),COLUMN()-COLUMN($CI$5)+1),""))</f>
        <v/>
      </c>
      <c r="EX11" s="1753" t="str" cm="1">
        <f t="array" ref="EX11">IF($CG11="","",IF(INDEX($D$6:$CB$53,MATCH($CG11,$B$6:$B$53,0),COLUMN()-COLUMN($CI$5)+1)&gt;0,INDEX($D$6:$CB$53,MATCH($CG11,$B$6:$B$53,0),COLUMN()-COLUMN($CI$5)+1),""))</f>
        <v/>
      </c>
      <c r="EY11" s="1753" t="str" cm="1">
        <f t="array" ref="EY11">IF($CG11="","",IF(INDEX($D$6:$CB$53,MATCH($CG11,$B$6:$B$53,0),COLUMN()-COLUMN($CI$5)+1)&gt;0,INDEX($D$6:$CB$53,MATCH($CG11,$B$6:$B$53,0),COLUMN()-COLUMN($CI$5)+1),""))</f>
        <v/>
      </c>
      <c r="EZ11" s="1753" t="str" cm="1">
        <f t="array" ref="EZ11">IF($CG11="","",IF(INDEX($D$6:$CB$53,MATCH($CG11,$B$6:$B$53,0),COLUMN()-COLUMN($CI$5)+1)&gt;0,INDEX($D$6:$CB$53,MATCH($CG11,$B$6:$B$53,0),COLUMN()-COLUMN($CI$5)+1),""))</f>
        <v/>
      </c>
      <c r="FA11" s="1753" t="str" cm="1">
        <f t="array" ref="FA11">IF($CG11="","",IF(INDEX($D$6:$CB$53,MATCH($CG11,$B$6:$B$53,0),COLUMN()-COLUMN($CI$5)+1)&gt;0,INDEX($D$6:$CB$53,MATCH($CG11,$B$6:$B$53,0),COLUMN()-COLUMN($CI$5)+1),""))</f>
        <v/>
      </c>
      <c r="FB11" s="1753" t="str" cm="1">
        <f t="array" ref="FB11">IF($CG11="","",IF(INDEX($D$6:$CB$53,MATCH($CG11,$B$6:$B$53,0),COLUMN()-COLUMN($CI$5)+1)&gt;0,INDEX($D$6:$CB$53,MATCH($CG11,$B$6:$B$53,0),COLUMN()-COLUMN($CI$5)+1),""))</f>
        <v/>
      </c>
      <c r="FC11" s="1753" t="str" cm="1">
        <f t="array" ref="FC11">IF($CG11="","",IF(INDEX($D$6:$CB$53,MATCH($CG11,$B$6:$B$53,0),COLUMN()-COLUMN($CI$5)+1)&gt;0,INDEX($D$6:$CB$53,MATCH($CG11,$B$6:$B$53,0),COLUMN()-COLUMN($CI$5)+1),""))</f>
        <v/>
      </c>
      <c r="FD11" s="1753" t="str" cm="1">
        <f t="array" ref="FD11">IF($CG11="","",IF(INDEX($D$6:$CB$53,MATCH($CG11,$B$6:$B$53,0),COLUMN()-COLUMN($CI$5)+1)&gt;0,INDEX($D$6:$CB$53,MATCH($CG11,$B$6:$B$53,0),COLUMN()-COLUMN($CI$5)+1),""))</f>
        <v/>
      </c>
      <c r="FE11" s="1753" t="str" cm="1">
        <f t="array" ref="FE11">IF($CG11="","",IF(INDEX($D$6:$CB$53,MATCH($CG11,$B$6:$B$53,0),COLUMN()-COLUMN($CI$5)+1)&gt;0,INDEX($D$6:$CB$53,MATCH($CG11,$B$6:$B$53,0),COLUMN()-COLUMN($CI$5)+1),""))</f>
        <v/>
      </c>
      <c r="FF11" s="1753" t="str" cm="1">
        <f t="array" ref="FF11">IF($CG11="","",IF(INDEX($D$6:$CB$53,MATCH($CG11,$B$6:$B$53,0),COLUMN()-COLUMN($CI$5)+1)&gt;0,INDEX($D$6:$CB$53,MATCH($CG11,$B$6:$B$53,0),COLUMN()-COLUMN($CI$5)+1),""))</f>
        <v/>
      </c>
      <c r="FG11" s="1758" t="str" cm="1">
        <f t="array" ref="FG11">IF($CG11="","",IF(INDEX($D$6:$CB$53,MATCH($CG11,$B$6:$B$53,0),COLUMN()-COLUMN($CI$5)+1)&gt;0,INDEX($D$6:$CB$53,MATCH($CG11,$B$6:$B$53,0),COLUMN()-COLUMN($CI$5)+1),""))</f>
        <v/>
      </c>
      <c r="FH11" s="1764" t="str">
        <f t="shared" si="4"/>
        <v/>
      </c>
      <c r="FI11" s="1756" t="str">
        <f t="shared" si="5"/>
        <v/>
      </c>
      <c r="FJ11" s="1767" t="str">
        <f t="shared" si="6"/>
        <v/>
      </c>
      <c r="FK11" s="1760"/>
    </row>
    <row r="12" spans="1:167" ht="15.75" customHeight="1">
      <c r="A12" s="1220"/>
      <c r="B12" s="1278">
        <f>+PP!B30</f>
        <v>7</v>
      </c>
      <c r="C12" s="1279" t="str">
        <f>+PP!C30</f>
        <v>ALETA ENTERA 1.0-2.0 kg/pza</v>
      </c>
      <c r="D12" s="1404"/>
      <c r="E12" s="1405"/>
      <c r="F12" s="1405"/>
      <c r="G12" s="1405"/>
      <c r="H12" s="1405"/>
      <c r="I12" s="1405"/>
      <c r="J12" s="1405"/>
      <c r="K12" s="1405"/>
      <c r="L12" s="1405"/>
      <c r="M12" s="1405"/>
      <c r="N12" s="1405"/>
      <c r="O12" s="1405"/>
      <c r="P12" s="1405"/>
      <c r="Q12" s="1405"/>
      <c r="R12" s="1405"/>
      <c r="S12" s="1405"/>
      <c r="T12" s="1405"/>
      <c r="U12" s="1405"/>
      <c r="V12" s="1405"/>
      <c r="W12" s="1405"/>
      <c r="X12" s="1405"/>
      <c r="Y12" s="1405"/>
      <c r="Z12" s="1405"/>
      <c r="AA12" s="1405"/>
      <c r="AB12" s="1405"/>
      <c r="AC12" s="1405"/>
      <c r="AD12" s="1405"/>
      <c r="AE12" s="1405"/>
      <c r="AF12" s="1405"/>
      <c r="AG12" s="1405"/>
      <c r="AH12" s="1406"/>
      <c r="AI12" s="1235"/>
      <c r="AJ12" s="1235"/>
      <c r="AK12" s="1235"/>
      <c r="AL12" s="1235"/>
      <c r="AM12" s="1235"/>
      <c r="AN12" s="1235"/>
      <c r="AO12" s="1235"/>
      <c r="AP12" s="1218"/>
      <c r="AQ12" s="1218"/>
      <c r="AR12" s="1218"/>
      <c r="AS12" s="1218"/>
      <c r="AT12" s="1218"/>
      <c r="AU12" s="1218"/>
      <c r="AV12" s="1218"/>
      <c r="AW12" s="1218"/>
      <c r="AX12" s="1218"/>
      <c r="AY12" s="1218"/>
      <c r="AZ12" s="1218"/>
      <c r="BA12" s="1218"/>
      <c r="BB12" s="1218"/>
      <c r="BC12" s="1218"/>
      <c r="BD12" s="1218"/>
      <c r="BE12" s="1218"/>
      <c r="BF12" s="1218"/>
      <c r="BG12" s="1218"/>
      <c r="BH12" s="1218"/>
      <c r="BI12" s="1218"/>
      <c r="BJ12" s="1218"/>
      <c r="BK12" s="1218"/>
      <c r="BL12" s="1218"/>
      <c r="BM12" s="1218"/>
      <c r="BN12" s="1218"/>
      <c r="BO12" s="1218"/>
      <c r="BP12" s="1218"/>
      <c r="BQ12" s="1218"/>
      <c r="BR12" s="1557"/>
      <c r="BS12" s="1557"/>
      <c r="BT12" s="1557"/>
      <c r="BU12" s="1557"/>
      <c r="BV12" s="1557"/>
      <c r="BW12" s="1557"/>
      <c r="BX12" s="1557"/>
      <c r="BY12" s="1557"/>
      <c r="BZ12" s="1557"/>
      <c r="CA12" s="1557"/>
      <c r="CB12" s="1564"/>
      <c r="CC12" s="1550">
        <f t="shared" si="0"/>
        <v>0</v>
      </c>
      <c r="CD12" s="1236">
        <f t="shared" si="1"/>
        <v>0</v>
      </c>
      <c r="CE12" s="1237">
        <f t="shared" si="2"/>
        <v>0</v>
      </c>
      <c r="CF12" s="1220"/>
      <c r="CG12" s="1751" t="str" cm="1">
        <f t="array" ref="CG12">IFERROR(INDEX($B$6:$B$53,_xlfn.AGGREGATE(15,6,(ROW($B$6:$B$53)-ROW($B$6)+1)/(MMULT(--($D$6:$CB$53&gt;0),TRANSPOSE(COLUMN($D$6:$CB$6)^0))&gt;0),ROWS($CG$6:CG12))),"")</f>
        <v/>
      </c>
      <c r="CH12" s="1752" t="str">
        <f t="shared" si="3"/>
        <v/>
      </c>
      <c r="CI12" s="1753" t="str" cm="1">
        <f t="array" ref="CI12">IF($CG12="","",IF(INDEX($D$6:$CB$53,MATCH($CG12,$B$6:$B$53,0),COLUMN()-COLUMN($CI$5)+1)&gt;0,INDEX($D$6:$CB$53,MATCH($CG12,$B$6:$B$53,0),COLUMN()-COLUMN($CI$5)+1),""))</f>
        <v/>
      </c>
      <c r="CJ12" s="1753" t="str" cm="1">
        <f t="array" ref="CJ12">IF($CG12="","",IF(INDEX($D$6:$CB$53,MATCH($CG12,$B$6:$B$53,0),COLUMN()-COLUMN($CI$5)+1)&gt;0,INDEX($D$6:$CB$53,MATCH($CG12,$B$6:$B$53,0),COLUMN()-COLUMN($CI$5)+1),""))</f>
        <v/>
      </c>
      <c r="CK12" s="1753" t="str" cm="1">
        <f t="array" ref="CK12">IF($CG12="","",IF(INDEX($D$6:$CB$53,MATCH($CG12,$B$6:$B$53,0),COLUMN()-COLUMN($CI$5)+1)&gt;0,INDEX($D$6:$CB$53,MATCH($CG12,$B$6:$B$53,0),COLUMN()-COLUMN($CI$5)+1),""))</f>
        <v/>
      </c>
      <c r="CL12" s="1753" t="str" cm="1">
        <f t="array" ref="CL12">IF($CG12="","",IF(INDEX($D$6:$CB$53,MATCH($CG12,$B$6:$B$53,0),COLUMN()-COLUMN($CI$5)+1)&gt;0,INDEX($D$6:$CB$53,MATCH($CG12,$B$6:$B$53,0),COLUMN()-COLUMN($CI$5)+1),""))</f>
        <v/>
      </c>
      <c r="CM12" s="1753" t="str" cm="1">
        <f t="array" ref="CM12">IF($CG12="","",IF(INDEX($D$6:$CB$53,MATCH($CG12,$B$6:$B$53,0),COLUMN()-COLUMN($CI$5)+1)&gt;0,INDEX($D$6:$CB$53,MATCH($CG12,$B$6:$B$53,0),COLUMN()-COLUMN($CI$5)+1),""))</f>
        <v/>
      </c>
      <c r="CN12" s="1753" t="str" cm="1">
        <f t="array" ref="CN12">IF($CG12="","",IF(INDEX($D$6:$CB$53,MATCH($CG12,$B$6:$B$53,0),COLUMN()-COLUMN($CI$5)+1)&gt;0,INDEX($D$6:$CB$53,MATCH($CG12,$B$6:$B$53,0),COLUMN()-COLUMN($CI$5)+1),""))</f>
        <v/>
      </c>
      <c r="CO12" s="1753" t="str" cm="1">
        <f t="array" ref="CO12">IF($CG12="","",IF(INDEX($D$6:$CB$53,MATCH($CG12,$B$6:$B$53,0),COLUMN()-COLUMN($CI$5)+1)&gt;0,INDEX($D$6:$CB$53,MATCH($CG12,$B$6:$B$53,0),COLUMN()-COLUMN($CI$5)+1),""))</f>
        <v/>
      </c>
      <c r="CP12" s="1753" t="str" cm="1">
        <f t="array" ref="CP12">IF($CG12="","",IF(INDEX($D$6:$CB$53,MATCH($CG12,$B$6:$B$53,0),COLUMN()-COLUMN($CI$5)+1)&gt;0,INDEX($D$6:$CB$53,MATCH($CG12,$B$6:$B$53,0),COLUMN()-COLUMN($CI$5)+1),""))</f>
        <v/>
      </c>
      <c r="CQ12" s="1753" t="str" cm="1">
        <f t="array" ref="CQ12">IF($CG12="","",IF(INDEX($D$6:$CB$53,MATCH($CG12,$B$6:$B$53,0),COLUMN()-COLUMN($CI$5)+1)&gt;0,INDEX($D$6:$CB$53,MATCH($CG12,$B$6:$B$53,0),COLUMN()-COLUMN($CI$5)+1),""))</f>
        <v/>
      </c>
      <c r="CR12" s="1753" t="str" cm="1">
        <f t="array" ref="CR12">IF($CG12="","",IF(INDEX($D$6:$CB$53,MATCH($CG12,$B$6:$B$53,0),COLUMN()-COLUMN($CI$5)+1)&gt;0,INDEX($D$6:$CB$53,MATCH($CG12,$B$6:$B$53,0),COLUMN()-COLUMN($CI$5)+1),""))</f>
        <v/>
      </c>
      <c r="CS12" s="1753" t="str" cm="1">
        <f t="array" ref="CS12">IF($CG12="","",IF(INDEX($D$6:$CB$53,MATCH($CG12,$B$6:$B$53,0),COLUMN()-COLUMN($CI$5)+1)&gt;0,INDEX($D$6:$CB$53,MATCH($CG12,$B$6:$B$53,0),COLUMN()-COLUMN($CI$5)+1),""))</f>
        <v/>
      </c>
      <c r="CT12" s="1753" t="str" cm="1">
        <f t="array" ref="CT12">IF($CG12="","",IF(INDEX($D$6:$CB$53,MATCH($CG12,$B$6:$B$53,0),COLUMN()-COLUMN($CI$5)+1)&gt;0,INDEX($D$6:$CB$53,MATCH($CG12,$B$6:$B$53,0),COLUMN()-COLUMN($CI$5)+1),""))</f>
        <v/>
      </c>
      <c r="CU12" s="1753" t="str" cm="1">
        <f t="array" ref="CU12">IF($CG12="","",IF(INDEX($D$6:$CB$53,MATCH($CG12,$B$6:$B$53,0),COLUMN()-COLUMN($CI$5)+1)&gt;0,INDEX($D$6:$CB$53,MATCH($CG12,$B$6:$B$53,0),COLUMN()-COLUMN($CI$5)+1),""))</f>
        <v/>
      </c>
      <c r="CV12" s="1753" t="str" cm="1">
        <f t="array" ref="CV12">IF($CG12="","",IF(INDEX($D$6:$CB$53,MATCH($CG12,$B$6:$B$53,0),COLUMN()-COLUMN($CI$5)+1)&gt;0,INDEX($D$6:$CB$53,MATCH($CG12,$B$6:$B$53,0),COLUMN()-COLUMN($CI$5)+1),""))</f>
        <v/>
      </c>
      <c r="CW12" s="1753" t="str" cm="1">
        <f t="array" ref="CW12">IF($CG12="","",IF(INDEX($D$6:$CB$53,MATCH($CG12,$B$6:$B$53,0),COLUMN()-COLUMN($CI$5)+1)&gt;0,INDEX($D$6:$CB$53,MATCH($CG12,$B$6:$B$53,0),COLUMN()-COLUMN($CI$5)+1),""))</f>
        <v/>
      </c>
      <c r="CX12" s="1753" t="str" cm="1">
        <f t="array" ref="CX12">IF($CG12="","",IF(INDEX($D$6:$CB$53,MATCH($CG12,$B$6:$B$53,0),COLUMN()-COLUMN($CI$5)+1)&gt;0,INDEX($D$6:$CB$53,MATCH($CG12,$B$6:$B$53,0),COLUMN()-COLUMN($CI$5)+1),""))</f>
        <v/>
      </c>
      <c r="CY12" s="1753" t="str" cm="1">
        <f t="array" ref="CY12">IF($CG12="","",IF(INDEX($D$6:$CB$53,MATCH($CG12,$B$6:$B$53,0),COLUMN()-COLUMN($CI$5)+1)&gt;0,INDEX($D$6:$CB$53,MATCH($CG12,$B$6:$B$53,0),COLUMN()-COLUMN($CI$5)+1),""))</f>
        <v/>
      </c>
      <c r="CZ12" s="1753" t="str" cm="1">
        <f t="array" ref="CZ12">IF($CG12="","",IF(INDEX($D$6:$CB$53,MATCH($CG12,$B$6:$B$53,0),COLUMN()-COLUMN($CI$5)+1)&gt;0,INDEX($D$6:$CB$53,MATCH($CG12,$B$6:$B$53,0),COLUMN()-COLUMN($CI$5)+1),""))</f>
        <v/>
      </c>
      <c r="DA12" s="1753" t="str" cm="1">
        <f t="array" ref="DA12">IF($CG12="","",IF(INDEX($D$6:$CB$53,MATCH($CG12,$B$6:$B$53,0),COLUMN()-COLUMN($CI$5)+1)&gt;0,INDEX($D$6:$CB$53,MATCH($CG12,$B$6:$B$53,0),COLUMN()-COLUMN($CI$5)+1),""))</f>
        <v/>
      </c>
      <c r="DB12" s="1753" t="str" cm="1">
        <f t="array" ref="DB12">IF($CG12="","",IF(INDEX($D$6:$CB$53,MATCH($CG12,$B$6:$B$53,0),COLUMN()-COLUMN($CI$5)+1)&gt;0,INDEX($D$6:$CB$53,MATCH($CG12,$B$6:$B$53,0),COLUMN()-COLUMN($CI$5)+1),""))</f>
        <v/>
      </c>
      <c r="DC12" s="1753" t="str" cm="1">
        <f t="array" ref="DC12">IF($CG12="","",IF(INDEX($D$6:$CB$53,MATCH($CG12,$B$6:$B$53,0),COLUMN()-COLUMN($CI$5)+1)&gt;0,INDEX($D$6:$CB$53,MATCH($CG12,$B$6:$B$53,0),COLUMN()-COLUMN($CI$5)+1),""))</f>
        <v/>
      </c>
      <c r="DD12" s="1753" t="str" cm="1">
        <f t="array" ref="DD12">IF($CG12="","",IF(INDEX($D$6:$CB$53,MATCH($CG12,$B$6:$B$53,0),COLUMN()-COLUMN($CI$5)+1)&gt;0,INDEX($D$6:$CB$53,MATCH($CG12,$B$6:$B$53,0),COLUMN()-COLUMN($CI$5)+1),""))</f>
        <v/>
      </c>
      <c r="DE12" s="1753" t="str" cm="1">
        <f t="array" ref="DE12">IF($CG12="","",IF(INDEX($D$6:$CB$53,MATCH($CG12,$B$6:$B$53,0),COLUMN()-COLUMN($CI$5)+1)&gt;0,INDEX($D$6:$CB$53,MATCH($CG12,$B$6:$B$53,0),COLUMN()-COLUMN($CI$5)+1),""))</f>
        <v/>
      </c>
      <c r="DF12" s="1753" t="str" cm="1">
        <f t="array" ref="DF12">IF($CG12="","",IF(INDEX($D$6:$CB$53,MATCH($CG12,$B$6:$B$53,0),COLUMN()-COLUMN($CI$5)+1)&gt;0,INDEX($D$6:$CB$53,MATCH($CG12,$B$6:$B$53,0),COLUMN()-COLUMN($CI$5)+1),""))</f>
        <v/>
      </c>
      <c r="DG12" s="1753" t="str" cm="1">
        <f t="array" ref="DG12">IF($CG12="","",IF(INDEX($D$6:$CB$53,MATCH($CG12,$B$6:$B$53,0),COLUMN()-COLUMN($CI$5)+1)&gt;0,INDEX($D$6:$CB$53,MATCH($CG12,$B$6:$B$53,0),COLUMN()-COLUMN($CI$5)+1),""))</f>
        <v/>
      </c>
      <c r="DH12" s="1753" t="str" cm="1">
        <f t="array" ref="DH12">IF($CG12="","",IF(INDEX($D$6:$CB$53,MATCH($CG12,$B$6:$B$53,0),COLUMN()-COLUMN($CI$5)+1)&gt;0,INDEX($D$6:$CB$53,MATCH($CG12,$B$6:$B$53,0),COLUMN()-COLUMN($CI$5)+1),""))</f>
        <v/>
      </c>
      <c r="DI12" s="1753" t="str" cm="1">
        <f t="array" ref="DI12">IF($CG12="","",IF(INDEX($D$6:$CB$53,MATCH($CG12,$B$6:$B$53,0),COLUMN()-COLUMN($CI$5)+1)&gt;0,INDEX($D$6:$CB$53,MATCH($CG12,$B$6:$B$53,0),COLUMN()-COLUMN($CI$5)+1),""))</f>
        <v/>
      </c>
      <c r="DJ12" s="1753" t="str" cm="1">
        <f t="array" ref="DJ12">IF($CG12="","",IF(INDEX($D$6:$CB$53,MATCH($CG12,$B$6:$B$53,0),COLUMN()-COLUMN($CI$5)+1)&gt;0,INDEX($D$6:$CB$53,MATCH($CG12,$B$6:$B$53,0),COLUMN()-COLUMN($CI$5)+1),""))</f>
        <v/>
      </c>
      <c r="DK12" s="1753" t="str" cm="1">
        <f t="array" ref="DK12">IF($CG12="","",IF(INDEX($D$6:$CB$53,MATCH($CG12,$B$6:$B$53,0),COLUMN()-COLUMN($CI$5)+1)&gt;0,INDEX($D$6:$CB$53,MATCH($CG12,$B$6:$B$53,0),COLUMN()-COLUMN($CI$5)+1),""))</f>
        <v/>
      </c>
      <c r="DL12" s="1753" t="str" cm="1">
        <f t="array" ref="DL12">IF($CG12="","",IF(INDEX($D$6:$CB$53,MATCH($CG12,$B$6:$B$53,0),COLUMN()-COLUMN($CI$5)+1)&gt;0,INDEX($D$6:$CB$53,MATCH($CG12,$B$6:$B$53,0),COLUMN()-COLUMN($CI$5)+1),""))</f>
        <v/>
      </c>
      <c r="DM12" s="1753" t="str" cm="1">
        <f t="array" ref="DM12">IF($CG12="","",IF(INDEX($D$6:$CB$53,MATCH($CG12,$B$6:$B$53,0),COLUMN()-COLUMN($CI$5)+1)&gt;0,INDEX($D$6:$CB$53,MATCH($CG12,$B$6:$B$53,0),COLUMN()-COLUMN($CI$5)+1),""))</f>
        <v/>
      </c>
      <c r="DN12" s="1753" t="str" cm="1">
        <f t="array" ref="DN12">IF($CG12="","",IF(INDEX($D$6:$CB$53,MATCH($CG12,$B$6:$B$53,0),COLUMN()-COLUMN($CI$5)+1)&gt;0,INDEX($D$6:$CB$53,MATCH($CG12,$B$6:$B$53,0),COLUMN()-COLUMN($CI$5)+1),""))</f>
        <v/>
      </c>
      <c r="DO12" s="1753" t="str" cm="1">
        <f t="array" ref="DO12">IF($CG12="","",IF(INDEX($D$6:$CB$53,MATCH($CG12,$B$6:$B$53,0),COLUMN()-COLUMN($CI$5)+1)&gt;0,INDEX($D$6:$CB$53,MATCH($CG12,$B$6:$B$53,0),COLUMN()-COLUMN($CI$5)+1),""))</f>
        <v/>
      </c>
      <c r="DP12" s="1753" t="str" cm="1">
        <f t="array" ref="DP12">IF($CG12="","",IF(INDEX($D$6:$CB$53,MATCH($CG12,$B$6:$B$53,0),COLUMN()-COLUMN($CI$5)+1)&gt;0,INDEX($D$6:$CB$53,MATCH($CG12,$B$6:$B$53,0),COLUMN()-COLUMN($CI$5)+1),""))</f>
        <v/>
      </c>
      <c r="DQ12" s="1753" t="str" cm="1">
        <f t="array" ref="DQ12">IF($CG12="","",IF(INDEX($D$6:$CB$53,MATCH($CG12,$B$6:$B$53,0),COLUMN()-COLUMN($CI$5)+1)&gt;0,INDEX($D$6:$CB$53,MATCH($CG12,$B$6:$B$53,0),COLUMN()-COLUMN($CI$5)+1),""))</f>
        <v/>
      </c>
      <c r="DR12" s="1753" t="str" cm="1">
        <f t="array" ref="DR12">IF($CG12="","",IF(INDEX($D$6:$CB$53,MATCH($CG12,$B$6:$B$53,0),COLUMN()-COLUMN($CI$5)+1)&gt;0,INDEX($D$6:$CB$53,MATCH($CG12,$B$6:$B$53,0),COLUMN()-COLUMN($CI$5)+1),""))</f>
        <v/>
      </c>
      <c r="DS12" s="1753" t="str" cm="1">
        <f t="array" ref="DS12">IF($CG12="","",IF(INDEX($D$6:$CB$53,MATCH($CG12,$B$6:$B$53,0),COLUMN()-COLUMN($CI$5)+1)&gt;0,INDEX($D$6:$CB$53,MATCH($CG12,$B$6:$B$53,0),COLUMN()-COLUMN($CI$5)+1),""))</f>
        <v/>
      </c>
      <c r="DT12" s="1753" t="str" cm="1">
        <f t="array" ref="DT12">IF($CG12="","",IF(INDEX($D$6:$CB$53,MATCH($CG12,$B$6:$B$53,0),COLUMN()-COLUMN($CI$5)+1)&gt;0,INDEX($D$6:$CB$53,MATCH($CG12,$B$6:$B$53,0),COLUMN()-COLUMN($CI$5)+1),""))</f>
        <v/>
      </c>
      <c r="DU12" s="1753" t="str" cm="1">
        <f t="array" ref="DU12">IF($CG12="","",IF(INDEX($D$6:$CB$53,MATCH($CG12,$B$6:$B$53,0),COLUMN()-COLUMN($CI$5)+1)&gt;0,INDEX($D$6:$CB$53,MATCH($CG12,$B$6:$B$53,0),COLUMN()-COLUMN($CI$5)+1),""))</f>
        <v/>
      </c>
      <c r="DV12" s="1753" t="str" cm="1">
        <f t="array" ref="DV12">IF($CG12="","",IF(INDEX($D$6:$CB$53,MATCH($CG12,$B$6:$B$53,0),COLUMN()-COLUMN($CI$5)+1)&gt;0,INDEX($D$6:$CB$53,MATCH($CG12,$B$6:$B$53,0),COLUMN()-COLUMN($CI$5)+1),""))</f>
        <v/>
      </c>
      <c r="DW12" s="1753" t="str" cm="1">
        <f t="array" ref="DW12">IF($CG12="","",IF(INDEX($D$6:$CB$53,MATCH($CG12,$B$6:$B$53,0),COLUMN()-COLUMN($CI$5)+1)&gt;0,INDEX($D$6:$CB$53,MATCH($CG12,$B$6:$B$53,0),COLUMN()-COLUMN($CI$5)+1),""))</f>
        <v/>
      </c>
      <c r="DX12" s="1753" t="str" cm="1">
        <f t="array" ref="DX12">IF($CG12="","",IF(INDEX($D$6:$CB$53,MATCH($CG12,$B$6:$B$53,0),COLUMN()-COLUMN($CI$5)+1)&gt;0,INDEX($D$6:$CB$53,MATCH($CG12,$B$6:$B$53,0),COLUMN()-COLUMN($CI$5)+1),""))</f>
        <v/>
      </c>
      <c r="DY12" s="1753" t="str" cm="1">
        <f t="array" ref="DY12">IF($CG12="","",IF(INDEX($D$6:$CB$53,MATCH($CG12,$B$6:$B$53,0),COLUMN()-COLUMN($CI$5)+1)&gt;0,INDEX($D$6:$CB$53,MATCH($CG12,$B$6:$B$53,0),COLUMN()-COLUMN($CI$5)+1),""))</f>
        <v/>
      </c>
      <c r="DZ12" s="1753" t="str" cm="1">
        <f t="array" ref="DZ12">IF($CG12="","",IF(INDEX($D$6:$CB$53,MATCH($CG12,$B$6:$B$53,0),COLUMN()-COLUMN($CI$5)+1)&gt;0,INDEX($D$6:$CB$53,MATCH($CG12,$B$6:$B$53,0),COLUMN()-COLUMN($CI$5)+1),""))</f>
        <v/>
      </c>
      <c r="EA12" s="1753" t="str" cm="1">
        <f t="array" ref="EA12">IF($CG12="","",IF(INDEX($D$6:$CB$53,MATCH($CG12,$B$6:$B$53,0),COLUMN()-COLUMN($CI$5)+1)&gt;0,INDEX($D$6:$CB$53,MATCH($CG12,$B$6:$B$53,0),COLUMN()-COLUMN($CI$5)+1),""))</f>
        <v/>
      </c>
      <c r="EB12" s="1753" t="str" cm="1">
        <f t="array" ref="EB12">IF($CG12="","",IF(INDEX($D$6:$CB$53,MATCH($CG12,$B$6:$B$53,0),COLUMN()-COLUMN($CI$5)+1)&gt;0,INDEX($D$6:$CB$53,MATCH($CG12,$B$6:$B$53,0),COLUMN()-COLUMN($CI$5)+1),""))</f>
        <v/>
      </c>
      <c r="EC12" s="1753" t="str" cm="1">
        <f t="array" ref="EC12">IF($CG12="","",IF(INDEX($D$6:$CB$53,MATCH($CG12,$B$6:$B$53,0),COLUMN()-COLUMN($CI$5)+1)&gt;0,INDEX($D$6:$CB$53,MATCH($CG12,$B$6:$B$53,0),COLUMN()-COLUMN($CI$5)+1),""))</f>
        <v/>
      </c>
      <c r="ED12" s="1753" t="str" cm="1">
        <f t="array" ref="ED12">IF($CG12="","",IF(INDEX($D$6:$CB$53,MATCH($CG12,$B$6:$B$53,0),COLUMN()-COLUMN($CI$5)+1)&gt;0,INDEX($D$6:$CB$53,MATCH($CG12,$B$6:$B$53,0),COLUMN()-COLUMN($CI$5)+1),""))</f>
        <v/>
      </c>
      <c r="EE12" s="1753" t="str" cm="1">
        <f t="array" ref="EE12">IF($CG12="","",IF(INDEX($D$6:$CB$53,MATCH($CG12,$B$6:$B$53,0),COLUMN()-COLUMN($CI$5)+1)&gt;0,INDEX($D$6:$CB$53,MATCH($CG12,$B$6:$B$53,0),COLUMN()-COLUMN($CI$5)+1),""))</f>
        <v/>
      </c>
      <c r="EF12" s="1753" t="str" cm="1">
        <f t="array" ref="EF12">IF($CG12="","",IF(INDEX($D$6:$CB$53,MATCH($CG12,$B$6:$B$53,0),COLUMN()-COLUMN($CI$5)+1)&gt;0,INDEX($D$6:$CB$53,MATCH($CG12,$B$6:$B$53,0),COLUMN()-COLUMN($CI$5)+1),""))</f>
        <v/>
      </c>
      <c r="EG12" s="1753" t="str" cm="1">
        <f t="array" ref="EG12">IF($CG12="","",IF(INDEX($D$6:$CB$53,MATCH($CG12,$B$6:$B$53,0),COLUMN()-COLUMN($CI$5)+1)&gt;0,INDEX($D$6:$CB$53,MATCH($CG12,$B$6:$B$53,0),COLUMN()-COLUMN($CI$5)+1),""))</f>
        <v/>
      </c>
      <c r="EH12" s="1753" t="str" cm="1">
        <f t="array" ref="EH12">IF($CG12="","",IF(INDEX($D$6:$CB$53,MATCH($CG12,$B$6:$B$53,0),COLUMN()-COLUMN($CI$5)+1)&gt;0,INDEX($D$6:$CB$53,MATCH($CG12,$B$6:$B$53,0),COLUMN()-COLUMN($CI$5)+1),""))</f>
        <v/>
      </c>
      <c r="EI12" s="1753" t="str" cm="1">
        <f t="array" ref="EI12">IF($CG12="","",IF(INDEX($D$6:$CB$53,MATCH($CG12,$B$6:$B$53,0),COLUMN()-COLUMN($CI$5)+1)&gt;0,INDEX($D$6:$CB$53,MATCH($CG12,$B$6:$B$53,0),COLUMN()-COLUMN($CI$5)+1),""))</f>
        <v/>
      </c>
      <c r="EJ12" s="1753" t="str" cm="1">
        <f t="array" ref="EJ12">IF($CG12="","",IF(INDEX($D$6:$CB$53,MATCH($CG12,$B$6:$B$53,0),COLUMN()-COLUMN($CI$5)+1)&gt;0,INDEX($D$6:$CB$53,MATCH($CG12,$B$6:$B$53,0),COLUMN()-COLUMN($CI$5)+1),""))</f>
        <v/>
      </c>
      <c r="EK12" s="1753" t="str" cm="1">
        <f t="array" ref="EK12">IF($CG12="","",IF(INDEX($D$6:$CB$53,MATCH($CG12,$B$6:$B$53,0),COLUMN()-COLUMN($CI$5)+1)&gt;0,INDEX($D$6:$CB$53,MATCH($CG12,$B$6:$B$53,0),COLUMN()-COLUMN($CI$5)+1),""))</f>
        <v/>
      </c>
      <c r="EL12" s="1753" t="str" cm="1">
        <f t="array" ref="EL12">IF($CG12="","",IF(INDEX($D$6:$CB$53,MATCH($CG12,$B$6:$B$53,0),COLUMN()-COLUMN($CI$5)+1)&gt;0,INDEX($D$6:$CB$53,MATCH($CG12,$B$6:$B$53,0),COLUMN()-COLUMN($CI$5)+1),""))</f>
        <v/>
      </c>
      <c r="EM12" s="1753" t="str" cm="1">
        <f t="array" ref="EM12">IF($CG12="","",IF(INDEX($D$6:$CB$53,MATCH($CG12,$B$6:$B$53,0),COLUMN()-COLUMN($CI$5)+1)&gt;0,INDEX($D$6:$CB$53,MATCH($CG12,$B$6:$B$53,0),COLUMN()-COLUMN($CI$5)+1),""))</f>
        <v/>
      </c>
      <c r="EN12" s="1753" t="str" cm="1">
        <f t="array" ref="EN12">IF($CG12="","",IF(INDEX($D$6:$CB$53,MATCH($CG12,$B$6:$B$53,0),COLUMN()-COLUMN($CI$5)+1)&gt;0,INDEX($D$6:$CB$53,MATCH($CG12,$B$6:$B$53,0),COLUMN()-COLUMN($CI$5)+1),""))</f>
        <v/>
      </c>
      <c r="EO12" s="1753" t="str" cm="1">
        <f t="array" ref="EO12">IF($CG12="","",IF(INDEX($D$6:$CB$53,MATCH($CG12,$B$6:$B$53,0),COLUMN()-COLUMN($CI$5)+1)&gt;0,INDEX($D$6:$CB$53,MATCH($CG12,$B$6:$B$53,0),COLUMN()-COLUMN($CI$5)+1),""))</f>
        <v/>
      </c>
      <c r="EP12" s="1753" t="str" cm="1">
        <f t="array" ref="EP12">IF($CG12="","",IF(INDEX($D$6:$CB$53,MATCH($CG12,$B$6:$B$53,0),COLUMN()-COLUMN($CI$5)+1)&gt;0,INDEX($D$6:$CB$53,MATCH($CG12,$B$6:$B$53,0),COLUMN()-COLUMN($CI$5)+1),""))</f>
        <v/>
      </c>
      <c r="EQ12" s="1753" t="str" cm="1">
        <f t="array" ref="EQ12">IF($CG12="","",IF(INDEX($D$6:$CB$53,MATCH($CG12,$B$6:$B$53,0),COLUMN()-COLUMN($CI$5)+1)&gt;0,INDEX($D$6:$CB$53,MATCH($CG12,$B$6:$B$53,0),COLUMN()-COLUMN($CI$5)+1),""))</f>
        <v/>
      </c>
      <c r="ER12" s="1753" t="str" cm="1">
        <f t="array" ref="ER12">IF($CG12="","",IF(INDEX($D$6:$CB$53,MATCH($CG12,$B$6:$B$53,0),COLUMN()-COLUMN($CI$5)+1)&gt;0,INDEX($D$6:$CB$53,MATCH($CG12,$B$6:$B$53,0),COLUMN()-COLUMN($CI$5)+1),""))</f>
        <v/>
      </c>
      <c r="ES12" s="1753" t="str" cm="1">
        <f t="array" ref="ES12">IF($CG12="","",IF(INDEX($D$6:$CB$53,MATCH($CG12,$B$6:$B$53,0),COLUMN()-COLUMN($CI$5)+1)&gt;0,INDEX($D$6:$CB$53,MATCH($CG12,$B$6:$B$53,0),COLUMN()-COLUMN($CI$5)+1),""))</f>
        <v/>
      </c>
      <c r="ET12" s="1753" t="str" cm="1">
        <f t="array" ref="ET12">IF($CG12="","",IF(INDEX($D$6:$CB$53,MATCH($CG12,$B$6:$B$53,0),COLUMN()-COLUMN($CI$5)+1)&gt;0,INDEX($D$6:$CB$53,MATCH($CG12,$B$6:$B$53,0),COLUMN()-COLUMN($CI$5)+1),""))</f>
        <v/>
      </c>
      <c r="EU12" s="1753" t="str" cm="1">
        <f t="array" ref="EU12">IF($CG12="","",IF(INDEX($D$6:$CB$53,MATCH($CG12,$B$6:$B$53,0),COLUMN()-COLUMN($CI$5)+1)&gt;0,INDEX($D$6:$CB$53,MATCH($CG12,$B$6:$B$53,0),COLUMN()-COLUMN($CI$5)+1),""))</f>
        <v/>
      </c>
      <c r="EV12" s="1753" t="str" cm="1">
        <f t="array" ref="EV12">IF($CG12="","",IF(INDEX($D$6:$CB$53,MATCH($CG12,$B$6:$B$53,0),COLUMN()-COLUMN($CI$5)+1)&gt;0,INDEX($D$6:$CB$53,MATCH($CG12,$B$6:$B$53,0),COLUMN()-COLUMN($CI$5)+1),""))</f>
        <v/>
      </c>
      <c r="EW12" s="1753" t="str" cm="1">
        <f t="array" ref="EW12">IF($CG12="","",IF(INDEX($D$6:$CB$53,MATCH($CG12,$B$6:$B$53,0),COLUMN()-COLUMN($CI$5)+1)&gt;0,INDEX($D$6:$CB$53,MATCH($CG12,$B$6:$B$53,0),COLUMN()-COLUMN($CI$5)+1),""))</f>
        <v/>
      </c>
      <c r="EX12" s="1753" t="str" cm="1">
        <f t="array" ref="EX12">IF($CG12="","",IF(INDEX($D$6:$CB$53,MATCH($CG12,$B$6:$B$53,0),COLUMN()-COLUMN($CI$5)+1)&gt;0,INDEX($D$6:$CB$53,MATCH($CG12,$B$6:$B$53,0),COLUMN()-COLUMN($CI$5)+1),""))</f>
        <v/>
      </c>
      <c r="EY12" s="1753" t="str" cm="1">
        <f t="array" ref="EY12">IF($CG12="","",IF(INDEX($D$6:$CB$53,MATCH($CG12,$B$6:$B$53,0),COLUMN()-COLUMN($CI$5)+1)&gt;0,INDEX($D$6:$CB$53,MATCH($CG12,$B$6:$B$53,0),COLUMN()-COLUMN($CI$5)+1),""))</f>
        <v/>
      </c>
      <c r="EZ12" s="1753" t="str" cm="1">
        <f t="array" ref="EZ12">IF($CG12="","",IF(INDEX($D$6:$CB$53,MATCH($CG12,$B$6:$B$53,0),COLUMN()-COLUMN($CI$5)+1)&gt;0,INDEX($D$6:$CB$53,MATCH($CG12,$B$6:$B$53,0),COLUMN()-COLUMN($CI$5)+1),""))</f>
        <v/>
      </c>
      <c r="FA12" s="1753" t="str" cm="1">
        <f t="array" ref="FA12">IF($CG12="","",IF(INDEX($D$6:$CB$53,MATCH($CG12,$B$6:$B$53,0),COLUMN()-COLUMN($CI$5)+1)&gt;0,INDEX($D$6:$CB$53,MATCH($CG12,$B$6:$B$53,0),COLUMN()-COLUMN($CI$5)+1),""))</f>
        <v/>
      </c>
      <c r="FB12" s="1753" t="str" cm="1">
        <f t="array" ref="FB12">IF($CG12="","",IF(INDEX($D$6:$CB$53,MATCH($CG12,$B$6:$B$53,0),COLUMN()-COLUMN($CI$5)+1)&gt;0,INDEX($D$6:$CB$53,MATCH($CG12,$B$6:$B$53,0),COLUMN()-COLUMN($CI$5)+1),""))</f>
        <v/>
      </c>
      <c r="FC12" s="1753" t="str" cm="1">
        <f t="array" ref="FC12">IF($CG12="","",IF(INDEX($D$6:$CB$53,MATCH($CG12,$B$6:$B$53,0),COLUMN()-COLUMN($CI$5)+1)&gt;0,INDEX($D$6:$CB$53,MATCH($CG12,$B$6:$B$53,0),COLUMN()-COLUMN($CI$5)+1),""))</f>
        <v/>
      </c>
      <c r="FD12" s="1753" t="str" cm="1">
        <f t="array" ref="FD12">IF($CG12="","",IF(INDEX($D$6:$CB$53,MATCH($CG12,$B$6:$B$53,0),COLUMN()-COLUMN($CI$5)+1)&gt;0,INDEX($D$6:$CB$53,MATCH($CG12,$B$6:$B$53,0),COLUMN()-COLUMN($CI$5)+1),""))</f>
        <v/>
      </c>
      <c r="FE12" s="1753" t="str" cm="1">
        <f t="array" ref="FE12">IF($CG12="","",IF(INDEX($D$6:$CB$53,MATCH($CG12,$B$6:$B$53,0),COLUMN()-COLUMN($CI$5)+1)&gt;0,INDEX($D$6:$CB$53,MATCH($CG12,$B$6:$B$53,0),COLUMN()-COLUMN($CI$5)+1),""))</f>
        <v/>
      </c>
      <c r="FF12" s="1753" t="str" cm="1">
        <f t="array" ref="FF12">IF($CG12="","",IF(INDEX($D$6:$CB$53,MATCH($CG12,$B$6:$B$53,0),COLUMN()-COLUMN($CI$5)+1)&gt;0,INDEX($D$6:$CB$53,MATCH($CG12,$B$6:$B$53,0),COLUMN()-COLUMN($CI$5)+1),""))</f>
        <v/>
      </c>
      <c r="FG12" s="1758" t="str" cm="1">
        <f t="array" ref="FG12">IF($CG12="","",IF(INDEX($D$6:$CB$53,MATCH($CG12,$B$6:$B$53,0),COLUMN()-COLUMN($CI$5)+1)&gt;0,INDEX($D$6:$CB$53,MATCH($CG12,$B$6:$B$53,0),COLUMN()-COLUMN($CI$5)+1),""))</f>
        <v/>
      </c>
      <c r="FH12" s="1764" t="str">
        <f t="shared" si="4"/>
        <v/>
      </c>
      <c r="FI12" s="1756" t="str">
        <f t="shared" si="5"/>
        <v/>
      </c>
      <c r="FJ12" s="1767" t="str">
        <f t="shared" si="6"/>
        <v/>
      </c>
      <c r="FK12" s="1760"/>
    </row>
    <row r="13" spans="1:167" ht="15.75" customHeight="1">
      <c r="A13" s="1220"/>
      <c r="B13" s="1278">
        <f>+PP!B31</f>
        <v>8</v>
      </c>
      <c r="C13" s="1279" t="str">
        <f>+PP!C31</f>
        <v>ALETA FRESCA PARTIDA 2.0-4.0 kg/pza</v>
      </c>
      <c r="D13" s="1404"/>
      <c r="E13" s="1405"/>
      <c r="F13" s="1405"/>
      <c r="G13" s="1405"/>
      <c r="H13" s="1405"/>
      <c r="I13" s="1405"/>
      <c r="J13" s="1405"/>
      <c r="K13" s="1405"/>
      <c r="L13" s="1405"/>
      <c r="M13" s="1405"/>
      <c r="N13" s="1405"/>
      <c r="O13" s="1405"/>
      <c r="P13" s="1405"/>
      <c r="Q13" s="1405"/>
      <c r="R13" s="1405"/>
      <c r="S13" s="1405"/>
      <c r="T13" s="1405"/>
      <c r="U13" s="1405"/>
      <c r="V13" s="1405"/>
      <c r="W13" s="1405"/>
      <c r="X13" s="1405"/>
      <c r="Y13" s="1405"/>
      <c r="Z13" s="1405"/>
      <c r="AA13" s="1405"/>
      <c r="AB13" s="1405"/>
      <c r="AC13" s="1405"/>
      <c r="AD13" s="1405"/>
      <c r="AE13" s="1405"/>
      <c r="AF13" s="1405"/>
      <c r="AG13" s="1405"/>
      <c r="AH13" s="1406"/>
      <c r="AI13" s="1241"/>
      <c r="AJ13" s="1241"/>
      <c r="AK13" s="1241"/>
      <c r="AL13" s="1241"/>
      <c r="AM13" s="1241"/>
      <c r="AN13" s="1241"/>
      <c r="AO13" s="1241"/>
      <c r="AP13" s="1241"/>
      <c r="AQ13" s="1241"/>
      <c r="AR13" s="1241"/>
      <c r="AS13" s="1241"/>
      <c r="AT13" s="1241"/>
      <c r="AU13" s="1241"/>
      <c r="AV13" s="1241"/>
      <c r="AW13" s="1241"/>
      <c r="AX13" s="1241"/>
      <c r="AY13" s="1241"/>
      <c r="AZ13" s="1241"/>
      <c r="BA13" s="1241"/>
      <c r="BB13" s="1241"/>
      <c r="BC13" s="1241"/>
      <c r="BD13" s="1241"/>
      <c r="BE13" s="1241"/>
      <c r="BF13" s="1241"/>
      <c r="BG13" s="1241"/>
      <c r="BH13" s="1241"/>
      <c r="BI13" s="1241"/>
      <c r="BJ13" s="1241"/>
      <c r="BK13" s="1241"/>
      <c r="BL13" s="1241"/>
      <c r="BM13" s="1241"/>
      <c r="BN13" s="1241"/>
      <c r="BO13" s="1241"/>
      <c r="BP13" s="1242"/>
      <c r="BQ13" s="1241"/>
      <c r="BR13" s="1242"/>
      <c r="BS13" s="1242"/>
      <c r="BT13" s="1242"/>
      <c r="BU13" s="1242"/>
      <c r="BV13" s="1242"/>
      <c r="BW13" s="1242"/>
      <c r="BX13" s="1242"/>
      <c r="BY13" s="1242"/>
      <c r="BZ13" s="1242"/>
      <c r="CA13" s="1242"/>
      <c r="CB13" s="1567"/>
      <c r="CC13" s="1550">
        <f t="shared" si="0"/>
        <v>0</v>
      </c>
      <c r="CD13" s="1236">
        <f t="shared" si="1"/>
        <v>0</v>
      </c>
      <c r="CE13" s="1237">
        <f t="shared" si="2"/>
        <v>0</v>
      </c>
      <c r="CF13" s="1220"/>
      <c r="CG13" s="1751" t="str" cm="1">
        <f t="array" ref="CG13">IFERROR(INDEX($B$6:$B$53,_xlfn.AGGREGATE(15,6,(ROW($B$6:$B$53)-ROW($B$6)+1)/(MMULT(--($D$6:$CB$53&gt;0),TRANSPOSE(COLUMN($D$6:$CB$6)^0))&gt;0),ROWS($CG$6:CG13))),"")</f>
        <v/>
      </c>
      <c r="CH13" s="1752" t="str">
        <f t="shared" si="3"/>
        <v/>
      </c>
      <c r="CI13" s="1753" t="str" cm="1">
        <f t="array" ref="CI13">IF($CG13="","",IF(INDEX($D$6:$CB$53,MATCH($CG13,$B$6:$B$53,0),COLUMN()-COLUMN($CI$5)+1)&gt;0,INDEX($D$6:$CB$53,MATCH($CG13,$B$6:$B$53,0),COLUMN()-COLUMN($CI$5)+1),""))</f>
        <v/>
      </c>
      <c r="CJ13" s="1753" t="str" cm="1">
        <f t="array" ref="CJ13">IF($CG13="","",IF(INDEX($D$6:$CB$53,MATCH($CG13,$B$6:$B$53,0),COLUMN()-COLUMN($CI$5)+1)&gt;0,INDEX($D$6:$CB$53,MATCH($CG13,$B$6:$B$53,0),COLUMN()-COLUMN($CI$5)+1),""))</f>
        <v/>
      </c>
      <c r="CK13" s="1753" t="str" cm="1">
        <f t="array" ref="CK13">IF($CG13="","",IF(INDEX($D$6:$CB$53,MATCH($CG13,$B$6:$B$53,0),COLUMN()-COLUMN($CI$5)+1)&gt;0,INDEX($D$6:$CB$53,MATCH($CG13,$B$6:$B$53,0),COLUMN()-COLUMN($CI$5)+1),""))</f>
        <v/>
      </c>
      <c r="CL13" s="1753" t="str" cm="1">
        <f t="array" ref="CL13">IF($CG13="","",IF(INDEX($D$6:$CB$53,MATCH($CG13,$B$6:$B$53,0),COLUMN()-COLUMN($CI$5)+1)&gt;0,INDEX($D$6:$CB$53,MATCH($CG13,$B$6:$B$53,0),COLUMN()-COLUMN($CI$5)+1),""))</f>
        <v/>
      </c>
      <c r="CM13" s="1753" t="str" cm="1">
        <f t="array" ref="CM13">IF($CG13="","",IF(INDEX($D$6:$CB$53,MATCH($CG13,$B$6:$B$53,0),COLUMN()-COLUMN($CI$5)+1)&gt;0,INDEX($D$6:$CB$53,MATCH($CG13,$B$6:$B$53,0),COLUMN()-COLUMN($CI$5)+1),""))</f>
        <v/>
      </c>
      <c r="CN13" s="1753" t="str" cm="1">
        <f t="array" ref="CN13">IF($CG13="","",IF(INDEX($D$6:$CB$53,MATCH($CG13,$B$6:$B$53,0),COLUMN()-COLUMN($CI$5)+1)&gt;0,INDEX($D$6:$CB$53,MATCH($CG13,$B$6:$B$53,0),COLUMN()-COLUMN($CI$5)+1),""))</f>
        <v/>
      </c>
      <c r="CO13" s="1753" t="str" cm="1">
        <f t="array" ref="CO13">IF($CG13="","",IF(INDEX($D$6:$CB$53,MATCH($CG13,$B$6:$B$53,0),COLUMN()-COLUMN($CI$5)+1)&gt;0,INDEX($D$6:$CB$53,MATCH($CG13,$B$6:$B$53,0),COLUMN()-COLUMN($CI$5)+1),""))</f>
        <v/>
      </c>
      <c r="CP13" s="1753" t="str" cm="1">
        <f t="array" ref="CP13">IF($CG13="","",IF(INDEX($D$6:$CB$53,MATCH($CG13,$B$6:$B$53,0),COLUMN()-COLUMN($CI$5)+1)&gt;0,INDEX($D$6:$CB$53,MATCH($CG13,$B$6:$B$53,0),COLUMN()-COLUMN($CI$5)+1),""))</f>
        <v/>
      </c>
      <c r="CQ13" s="1753" t="str" cm="1">
        <f t="array" ref="CQ13">IF($CG13="","",IF(INDEX($D$6:$CB$53,MATCH($CG13,$B$6:$B$53,0),COLUMN()-COLUMN($CI$5)+1)&gt;0,INDEX($D$6:$CB$53,MATCH($CG13,$B$6:$B$53,0),COLUMN()-COLUMN($CI$5)+1),""))</f>
        <v/>
      </c>
      <c r="CR13" s="1753" t="str" cm="1">
        <f t="array" ref="CR13">IF($CG13="","",IF(INDEX($D$6:$CB$53,MATCH($CG13,$B$6:$B$53,0),COLUMN()-COLUMN($CI$5)+1)&gt;0,INDEX($D$6:$CB$53,MATCH($CG13,$B$6:$B$53,0),COLUMN()-COLUMN($CI$5)+1),""))</f>
        <v/>
      </c>
      <c r="CS13" s="1753" t="str" cm="1">
        <f t="array" ref="CS13">IF($CG13="","",IF(INDEX($D$6:$CB$53,MATCH($CG13,$B$6:$B$53,0),COLUMN()-COLUMN($CI$5)+1)&gt;0,INDEX($D$6:$CB$53,MATCH($CG13,$B$6:$B$53,0),COLUMN()-COLUMN($CI$5)+1),""))</f>
        <v/>
      </c>
      <c r="CT13" s="1753" t="str" cm="1">
        <f t="array" ref="CT13">IF($CG13="","",IF(INDEX($D$6:$CB$53,MATCH($CG13,$B$6:$B$53,0),COLUMN()-COLUMN($CI$5)+1)&gt;0,INDEX($D$6:$CB$53,MATCH($CG13,$B$6:$B$53,0),COLUMN()-COLUMN($CI$5)+1),""))</f>
        <v/>
      </c>
      <c r="CU13" s="1753" t="str" cm="1">
        <f t="array" ref="CU13">IF($CG13="","",IF(INDEX($D$6:$CB$53,MATCH($CG13,$B$6:$B$53,0),COLUMN()-COLUMN($CI$5)+1)&gt;0,INDEX($D$6:$CB$53,MATCH($CG13,$B$6:$B$53,0),COLUMN()-COLUMN($CI$5)+1),""))</f>
        <v/>
      </c>
      <c r="CV13" s="1753" t="str" cm="1">
        <f t="array" ref="CV13">IF($CG13="","",IF(INDEX($D$6:$CB$53,MATCH($CG13,$B$6:$B$53,0),COLUMN()-COLUMN($CI$5)+1)&gt;0,INDEX($D$6:$CB$53,MATCH($CG13,$B$6:$B$53,0),COLUMN()-COLUMN($CI$5)+1),""))</f>
        <v/>
      </c>
      <c r="CW13" s="1753" t="str" cm="1">
        <f t="array" ref="CW13">IF($CG13="","",IF(INDEX($D$6:$CB$53,MATCH($CG13,$B$6:$B$53,0),COLUMN()-COLUMN($CI$5)+1)&gt;0,INDEX($D$6:$CB$53,MATCH($CG13,$B$6:$B$53,0),COLUMN()-COLUMN($CI$5)+1),""))</f>
        <v/>
      </c>
      <c r="CX13" s="1753" t="str" cm="1">
        <f t="array" ref="CX13">IF($CG13="","",IF(INDEX($D$6:$CB$53,MATCH($CG13,$B$6:$B$53,0),COLUMN()-COLUMN($CI$5)+1)&gt;0,INDEX($D$6:$CB$53,MATCH($CG13,$B$6:$B$53,0),COLUMN()-COLUMN($CI$5)+1),""))</f>
        <v/>
      </c>
      <c r="CY13" s="1753" t="str" cm="1">
        <f t="array" ref="CY13">IF($CG13="","",IF(INDEX($D$6:$CB$53,MATCH($CG13,$B$6:$B$53,0),COLUMN()-COLUMN($CI$5)+1)&gt;0,INDEX($D$6:$CB$53,MATCH($CG13,$B$6:$B$53,0),COLUMN()-COLUMN($CI$5)+1),""))</f>
        <v/>
      </c>
      <c r="CZ13" s="1753" t="str" cm="1">
        <f t="array" ref="CZ13">IF($CG13="","",IF(INDEX($D$6:$CB$53,MATCH($CG13,$B$6:$B$53,0),COLUMN()-COLUMN($CI$5)+1)&gt;0,INDEX($D$6:$CB$53,MATCH($CG13,$B$6:$B$53,0),COLUMN()-COLUMN($CI$5)+1),""))</f>
        <v/>
      </c>
      <c r="DA13" s="1753" t="str" cm="1">
        <f t="array" ref="DA13">IF($CG13="","",IF(INDEX($D$6:$CB$53,MATCH($CG13,$B$6:$B$53,0),COLUMN()-COLUMN($CI$5)+1)&gt;0,INDEX($D$6:$CB$53,MATCH($CG13,$B$6:$B$53,0),COLUMN()-COLUMN($CI$5)+1),""))</f>
        <v/>
      </c>
      <c r="DB13" s="1753" t="str" cm="1">
        <f t="array" ref="DB13">IF($CG13="","",IF(INDEX($D$6:$CB$53,MATCH($CG13,$B$6:$B$53,0),COLUMN()-COLUMN($CI$5)+1)&gt;0,INDEX($D$6:$CB$53,MATCH($CG13,$B$6:$B$53,0),COLUMN()-COLUMN($CI$5)+1),""))</f>
        <v/>
      </c>
      <c r="DC13" s="1753" t="str" cm="1">
        <f t="array" ref="DC13">IF($CG13="","",IF(INDEX($D$6:$CB$53,MATCH($CG13,$B$6:$B$53,0),COLUMN()-COLUMN($CI$5)+1)&gt;0,INDEX($D$6:$CB$53,MATCH($CG13,$B$6:$B$53,0),COLUMN()-COLUMN($CI$5)+1),""))</f>
        <v/>
      </c>
      <c r="DD13" s="1753" t="str" cm="1">
        <f t="array" ref="DD13">IF($CG13="","",IF(INDEX($D$6:$CB$53,MATCH($CG13,$B$6:$B$53,0),COLUMN()-COLUMN($CI$5)+1)&gt;0,INDEX($D$6:$CB$53,MATCH($CG13,$B$6:$B$53,0),COLUMN()-COLUMN($CI$5)+1),""))</f>
        <v/>
      </c>
      <c r="DE13" s="1753" t="str" cm="1">
        <f t="array" ref="DE13">IF($CG13="","",IF(INDEX($D$6:$CB$53,MATCH($CG13,$B$6:$B$53,0),COLUMN()-COLUMN($CI$5)+1)&gt;0,INDEX($D$6:$CB$53,MATCH($CG13,$B$6:$B$53,0),COLUMN()-COLUMN($CI$5)+1),""))</f>
        <v/>
      </c>
      <c r="DF13" s="1753" t="str" cm="1">
        <f t="array" ref="DF13">IF($CG13="","",IF(INDEX($D$6:$CB$53,MATCH($CG13,$B$6:$B$53,0),COLUMN()-COLUMN($CI$5)+1)&gt;0,INDEX($D$6:$CB$53,MATCH($CG13,$B$6:$B$53,0),COLUMN()-COLUMN($CI$5)+1),""))</f>
        <v/>
      </c>
      <c r="DG13" s="1753" t="str" cm="1">
        <f t="array" ref="DG13">IF($CG13="","",IF(INDEX($D$6:$CB$53,MATCH($CG13,$B$6:$B$53,0),COLUMN()-COLUMN($CI$5)+1)&gt;0,INDEX($D$6:$CB$53,MATCH($CG13,$B$6:$B$53,0),COLUMN()-COLUMN($CI$5)+1),""))</f>
        <v/>
      </c>
      <c r="DH13" s="1753" t="str" cm="1">
        <f t="array" ref="DH13">IF($CG13="","",IF(INDEX($D$6:$CB$53,MATCH($CG13,$B$6:$B$53,0),COLUMN()-COLUMN($CI$5)+1)&gt;0,INDEX($D$6:$CB$53,MATCH($CG13,$B$6:$B$53,0),COLUMN()-COLUMN($CI$5)+1),""))</f>
        <v/>
      </c>
      <c r="DI13" s="1753" t="str" cm="1">
        <f t="array" ref="DI13">IF($CG13="","",IF(INDEX($D$6:$CB$53,MATCH($CG13,$B$6:$B$53,0),COLUMN()-COLUMN($CI$5)+1)&gt;0,INDEX($D$6:$CB$53,MATCH($CG13,$B$6:$B$53,0),COLUMN()-COLUMN($CI$5)+1),""))</f>
        <v/>
      </c>
      <c r="DJ13" s="1753" t="str" cm="1">
        <f t="array" ref="DJ13">IF($CG13="","",IF(INDEX($D$6:$CB$53,MATCH($CG13,$B$6:$B$53,0),COLUMN()-COLUMN($CI$5)+1)&gt;0,INDEX($D$6:$CB$53,MATCH($CG13,$B$6:$B$53,0),COLUMN()-COLUMN($CI$5)+1),""))</f>
        <v/>
      </c>
      <c r="DK13" s="1753" t="str" cm="1">
        <f t="array" ref="DK13">IF($CG13="","",IF(INDEX($D$6:$CB$53,MATCH($CG13,$B$6:$B$53,0),COLUMN()-COLUMN($CI$5)+1)&gt;0,INDEX($D$6:$CB$53,MATCH($CG13,$B$6:$B$53,0),COLUMN()-COLUMN($CI$5)+1),""))</f>
        <v/>
      </c>
      <c r="DL13" s="1753" t="str" cm="1">
        <f t="array" ref="DL13">IF($CG13="","",IF(INDEX($D$6:$CB$53,MATCH($CG13,$B$6:$B$53,0),COLUMN()-COLUMN($CI$5)+1)&gt;0,INDEX($D$6:$CB$53,MATCH($CG13,$B$6:$B$53,0),COLUMN()-COLUMN($CI$5)+1),""))</f>
        <v/>
      </c>
      <c r="DM13" s="1753" t="str" cm="1">
        <f t="array" ref="DM13">IF($CG13="","",IF(INDEX($D$6:$CB$53,MATCH($CG13,$B$6:$B$53,0),COLUMN()-COLUMN($CI$5)+1)&gt;0,INDEX($D$6:$CB$53,MATCH($CG13,$B$6:$B$53,0),COLUMN()-COLUMN($CI$5)+1),""))</f>
        <v/>
      </c>
      <c r="DN13" s="1753" t="str" cm="1">
        <f t="array" ref="DN13">IF($CG13="","",IF(INDEX($D$6:$CB$53,MATCH($CG13,$B$6:$B$53,0),COLUMN()-COLUMN($CI$5)+1)&gt;0,INDEX($D$6:$CB$53,MATCH($CG13,$B$6:$B$53,0),COLUMN()-COLUMN($CI$5)+1),""))</f>
        <v/>
      </c>
      <c r="DO13" s="1753" t="str" cm="1">
        <f t="array" ref="DO13">IF($CG13="","",IF(INDEX($D$6:$CB$53,MATCH($CG13,$B$6:$B$53,0),COLUMN()-COLUMN($CI$5)+1)&gt;0,INDEX($D$6:$CB$53,MATCH($CG13,$B$6:$B$53,0),COLUMN()-COLUMN($CI$5)+1),""))</f>
        <v/>
      </c>
      <c r="DP13" s="1753" t="str" cm="1">
        <f t="array" ref="DP13">IF($CG13="","",IF(INDEX($D$6:$CB$53,MATCH($CG13,$B$6:$B$53,0),COLUMN()-COLUMN($CI$5)+1)&gt;0,INDEX($D$6:$CB$53,MATCH($CG13,$B$6:$B$53,0),COLUMN()-COLUMN($CI$5)+1),""))</f>
        <v/>
      </c>
      <c r="DQ13" s="1753" t="str" cm="1">
        <f t="array" ref="DQ13">IF($CG13="","",IF(INDEX($D$6:$CB$53,MATCH($CG13,$B$6:$B$53,0),COLUMN()-COLUMN($CI$5)+1)&gt;0,INDEX($D$6:$CB$53,MATCH($CG13,$B$6:$B$53,0),COLUMN()-COLUMN($CI$5)+1),""))</f>
        <v/>
      </c>
      <c r="DR13" s="1753" t="str" cm="1">
        <f t="array" ref="DR13">IF($CG13="","",IF(INDEX($D$6:$CB$53,MATCH($CG13,$B$6:$B$53,0),COLUMN()-COLUMN($CI$5)+1)&gt;0,INDEX($D$6:$CB$53,MATCH($CG13,$B$6:$B$53,0),COLUMN()-COLUMN($CI$5)+1),""))</f>
        <v/>
      </c>
      <c r="DS13" s="1753" t="str" cm="1">
        <f t="array" ref="DS13">IF($CG13="","",IF(INDEX($D$6:$CB$53,MATCH($CG13,$B$6:$B$53,0),COLUMN()-COLUMN($CI$5)+1)&gt;0,INDEX($D$6:$CB$53,MATCH($CG13,$B$6:$B$53,0),COLUMN()-COLUMN($CI$5)+1),""))</f>
        <v/>
      </c>
      <c r="DT13" s="1753" t="str" cm="1">
        <f t="array" ref="DT13">IF($CG13="","",IF(INDEX($D$6:$CB$53,MATCH($CG13,$B$6:$B$53,0),COLUMN()-COLUMN($CI$5)+1)&gt;0,INDEX($D$6:$CB$53,MATCH($CG13,$B$6:$B$53,0),COLUMN()-COLUMN($CI$5)+1),""))</f>
        <v/>
      </c>
      <c r="DU13" s="1753" t="str" cm="1">
        <f t="array" ref="DU13">IF($CG13="","",IF(INDEX($D$6:$CB$53,MATCH($CG13,$B$6:$B$53,0),COLUMN()-COLUMN($CI$5)+1)&gt;0,INDEX($D$6:$CB$53,MATCH($CG13,$B$6:$B$53,0),COLUMN()-COLUMN($CI$5)+1),""))</f>
        <v/>
      </c>
      <c r="DV13" s="1753" t="str" cm="1">
        <f t="array" ref="DV13">IF($CG13="","",IF(INDEX($D$6:$CB$53,MATCH($CG13,$B$6:$B$53,0),COLUMN()-COLUMN($CI$5)+1)&gt;0,INDEX($D$6:$CB$53,MATCH($CG13,$B$6:$B$53,0),COLUMN()-COLUMN($CI$5)+1),""))</f>
        <v/>
      </c>
      <c r="DW13" s="1753" t="str" cm="1">
        <f t="array" ref="DW13">IF($CG13="","",IF(INDEX($D$6:$CB$53,MATCH($CG13,$B$6:$B$53,0),COLUMN()-COLUMN($CI$5)+1)&gt;0,INDEX($D$6:$CB$53,MATCH($CG13,$B$6:$B$53,0),COLUMN()-COLUMN($CI$5)+1),""))</f>
        <v/>
      </c>
      <c r="DX13" s="1753" t="str" cm="1">
        <f t="array" ref="DX13">IF($CG13="","",IF(INDEX($D$6:$CB$53,MATCH($CG13,$B$6:$B$53,0),COLUMN()-COLUMN($CI$5)+1)&gt;0,INDEX($D$6:$CB$53,MATCH($CG13,$B$6:$B$53,0),COLUMN()-COLUMN($CI$5)+1),""))</f>
        <v/>
      </c>
      <c r="DY13" s="1753" t="str" cm="1">
        <f t="array" ref="DY13">IF($CG13="","",IF(INDEX($D$6:$CB$53,MATCH($CG13,$B$6:$B$53,0),COLUMN()-COLUMN($CI$5)+1)&gt;0,INDEX($D$6:$CB$53,MATCH($CG13,$B$6:$B$53,0),COLUMN()-COLUMN($CI$5)+1),""))</f>
        <v/>
      </c>
      <c r="DZ13" s="1753" t="str" cm="1">
        <f t="array" ref="DZ13">IF($CG13="","",IF(INDEX($D$6:$CB$53,MATCH($CG13,$B$6:$B$53,0),COLUMN()-COLUMN($CI$5)+1)&gt;0,INDEX($D$6:$CB$53,MATCH($CG13,$B$6:$B$53,0),COLUMN()-COLUMN($CI$5)+1),""))</f>
        <v/>
      </c>
      <c r="EA13" s="1753" t="str" cm="1">
        <f t="array" ref="EA13">IF($CG13="","",IF(INDEX($D$6:$CB$53,MATCH($CG13,$B$6:$B$53,0),COLUMN()-COLUMN($CI$5)+1)&gt;0,INDEX($D$6:$CB$53,MATCH($CG13,$B$6:$B$53,0),COLUMN()-COLUMN($CI$5)+1),""))</f>
        <v/>
      </c>
      <c r="EB13" s="1753" t="str" cm="1">
        <f t="array" ref="EB13">IF($CG13="","",IF(INDEX($D$6:$CB$53,MATCH($CG13,$B$6:$B$53,0),COLUMN()-COLUMN($CI$5)+1)&gt;0,INDEX($D$6:$CB$53,MATCH($CG13,$B$6:$B$53,0),COLUMN()-COLUMN($CI$5)+1),""))</f>
        <v/>
      </c>
      <c r="EC13" s="1753" t="str" cm="1">
        <f t="array" ref="EC13">IF($CG13="","",IF(INDEX($D$6:$CB$53,MATCH($CG13,$B$6:$B$53,0),COLUMN()-COLUMN($CI$5)+1)&gt;0,INDEX($D$6:$CB$53,MATCH($CG13,$B$6:$B$53,0),COLUMN()-COLUMN($CI$5)+1),""))</f>
        <v/>
      </c>
      <c r="ED13" s="1753" t="str" cm="1">
        <f t="array" ref="ED13">IF($CG13="","",IF(INDEX($D$6:$CB$53,MATCH($CG13,$B$6:$B$53,0),COLUMN()-COLUMN($CI$5)+1)&gt;0,INDEX($D$6:$CB$53,MATCH($CG13,$B$6:$B$53,0),COLUMN()-COLUMN($CI$5)+1),""))</f>
        <v/>
      </c>
      <c r="EE13" s="1753" t="str" cm="1">
        <f t="array" ref="EE13">IF($CG13="","",IF(INDEX($D$6:$CB$53,MATCH($CG13,$B$6:$B$53,0),COLUMN()-COLUMN($CI$5)+1)&gt;0,INDEX($D$6:$CB$53,MATCH($CG13,$B$6:$B$53,0),COLUMN()-COLUMN($CI$5)+1),""))</f>
        <v/>
      </c>
      <c r="EF13" s="1753" t="str" cm="1">
        <f t="array" ref="EF13">IF($CG13="","",IF(INDEX($D$6:$CB$53,MATCH($CG13,$B$6:$B$53,0),COLUMN()-COLUMN($CI$5)+1)&gt;0,INDEX($D$6:$CB$53,MATCH($CG13,$B$6:$B$53,0),COLUMN()-COLUMN($CI$5)+1),""))</f>
        <v/>
      </c>
      <c r="EG13" s="1753" t="str" cm="1">
        <f t="array" ref="EG13">IF($CG13="","",IF(INDEX($D$6:$CB$53,MATCH($CG13,$B$6:$B$53,0),COLUMN()-COLUMN($CI$5)+1)&gt;0,INDEX($D$6:$CB$53,MATCH($CG13,$B$6:$B$53,0),COLUMN()-COLUMN($CI$5)+1),""))</f>
        <v/>
      </c>
      <c r="EH13" s="1753" t="str" cm="1">
        <f t="array" ref="EH13">IF($CG13="","",IF(INDEX($D$6:$CB$53,MATCH($CG13,$B$6:$B$53,0),COLUMN()-COLUMN($CI$5)+1)&gt;0,INDEX($D$6:$CB$53,MATCH($CG13,$B$6:$B$53,0),COLUMN()-COLUMN($CI$5)+1),""))</f>
        <v/>
      </c>
      <c r="EI13" s="1753" t="str" cm="1">
        <f t="array" ref="EI13">IF($CG13="","",IF(INDEX($D$6:$CB$53,MATCH($CG13,$B$6:$B$53,0),COLUMN()-COLUMN($CI$5)+1)&gt;0,INDEX($D$6:$CB$53,MATCH($CG13,$B$6:$B$53,0),COLUMN()-COLUMN($CI$5)+1),""))</f>
        <v/>
      </c>
      <c r="EJ13" s="1753" t="str" cm="1">
        <f t="array" ref="EJ13">IF($CG13="","",IF(INDEX($D$6:$CB$53,MATCH($CG13,$B$6:$B$53,0),COLUMN()-COLUMN($CI$5)+1)&gt;0,INDEX($D$6:$CB$53,MATCH($CG13,$B$6:$B$53,0),COLUMN()-COLUMN($CI$5)+1),""))</f>
        <v/>
      </c>
      <c r="EK13" s="1753" t="str" cm="1">
        <f t="array" ref="EK13">IF($CG13="","",IF(INDEX($D$6:$CB$53,MATCH($CG13,$B$6:$B$53,0),COLUMN()-COLUMN($CI$5)+1)&gt;0,INDEX($D$6:$CB$53,MATCH($CG13,$B$6:$B$53,0),COLUMN()-COLUMN($CI$5)+1),""))</f>
        <v/>
      </c>
      <c r="EL13" s="1753" t="str" cm="1">
        <f t="array" ref="EL13">IF($CG13="","",IF(INDEX($D$6:$CB$53,MATCH($CG13,$B$6:$B$53,0),COLUMN()-COLUMN($CI$5)+1)&gt;0,INDEX($D$6:$CB$53,MATCH($CG13,$B$6:$B$53,0),COLUMN()-COLUMN($CI$5)+1),""))</f>
        <v/>
      </c>
      <c r="EM13" s="1753" t="str" cm="1">
        <f t="array" ref="EM13">IF($CG13="","",IF(INDEX($D$6:$CB$53,MATCH($CG13,$B$6:$B$53,0),COLUMN()-COLUMN($CI$5)+1)&gt;0,INDEX($D$6:$CB$53,MATCH($CG13,$B$6:$B$53,0),COLUMN()-COLUMN($CI$5)+1),""))</f>
        <v/>
      </c>
      <c r="EN13" s="1753" t="str" cm="1">
        <f t="array" ref="EN13">IF($CG13="","",IF(INDEX($D$6:$CB$53,MATCH($CG13,$B$6:$B$53,0),COLUMN()-COLUMN($CI$5)+1)&gt;0,INDEX($D$6:$CB$53,MATCH($CG13,$B$6:$B$53,0),COLUMN()-COLUMN($CI$5)+1),""))</f>
        <v/>
      </c>
      <c r="EO13" s="1753" t="str" cm="1">
        <f t="array" ref="EO13">IF($CG13="","",IF(INDEX($D$6:$CB$53,MATCH($CG13,$B$6:$B$53,0),COLUMN()-COLUMN($CI$5)+1)&gt;0,INDEX($D$6:$CB$53,MATCH($CG13,$B$6:$B$53,0),COLUMN()-COLUMN($CI$5)+1),""))</f>
        <v/>
      </c>
      <c r="EP13" s="1753" t="str" cm="1">
        <f t="array" ref="EP13">IF($CG13="","",IF(INDEX($D$6:$CB$53,MATCH($CG13,$B$6:$B$53,0),COLUMN()-COLUMN($CI$5)+1)&gt;0,INDEX($D$6:$CB$53,MATCH($CG13,$B$6:$B$53,0),COLUMN()-COLUMN($CI$5)+1),""))</f>
        <v/>
      </c>
      <c r="EQ13" s="1753" t="str" cm="1">
        <f t="array" ref="EQ13">IF($CG13="","",IF(INDEX($D$6:$CB$53,MATCH($CG13,$B$6:$B$53,0),COLUMN()-COLUMN($CI$5)+1)&gt;0,INDEX($D$6:$CB$53,MATCH($CG13,$B$6:$B$53,0),COLUMN()-COLUMN($CI$5)+1),""))</f>
        <v/>
      </c>
      <c r="ER13" s="1753" t="str" cm="1">
        <f t="array" ref="ER13">IF($CG13="","",IF(INDEX($D$6:$CB$53,MATCH($CG13,$B$6:$B$53,0),COLUMN()-COLUMN($CI$5)+1)&gt;0,INDEX($D$6:$CB$53,MATCH($CG13,$B$6:$B$53,0),COLUMN()-COLUMN($CI$5)+1),""))</f>
        <v/>
      </c>
      <c r="ES13" s="1753" t="str" cm="1">
        <f t="array" ref="ES13">IF($CG13="","",IF(INDEX($D$6:$CB$53,MATCH($CG13,$B$6:$B$53,0),COLUMN()-COLUMN($CI$5)+1)&gt;0,INDEX($D$6:$CB$53,MATCH($CG13,$B$6:$B$53,0),COLUMN()-COLUMN($CI$5)+1),""))</f>
        <v/>
      </c>
      <c r="ET13" s="1753" t="str" cm="1">
        <f t="array" ref="ET13">IF($CG13="","",IF(INDEX($D$6:$CB$53,MATCH($CG13,$B$6:$B$53,0),COLUMN()-COLUMN($CI$5)+1)&gt;0,INDEX($D$6:$CB$53,MATCH($CG13,$B$6:$B$53,0),COLUMN()-COLUMN($CI$5)+1),""))</f>
        <v/>
      </c>
      <c r="EU13" s="1753" t="str" cm="1">
        <f t="array" ref="EU13">IF($CG13="","",IF(INDEX($D$6:$CB$53,MATCH($CG13,$B$6:$B$53,0),COLUMN()-COLUMN($CI$5)+1)&gt;0,INDEX($D$6:$CB$53,MATCH($CG13,$B$6:$B$53,0),COLUMN()-COLUMN($CI$5)+1),""))</f>
        <v/>
      </c>
      <c r="EV13" s="1753" t="str" cm="1">
        <f t="array" ref="EV13">IF($CG13="","",IF(INDEX($D$6:$CB$53,MATCH($CG13,$B$6:$B$53,0),COLUMN()-COLUMN($CI$5)+1)&gt;0,INDEX($D$6:$CB$53,MATCH($CG13,$B$6:$B$53,0),COLUMN()-COLUMN($CI$5)+1),""))</f>
        <v/>
      </c>
      <c r="EW13" s="1753" t="str" cm="1">
        <f t="array" ref="EW13">IF($CG13="","",IF(INDEX($D$6:$CB$53,MATCH($CG13,$B$6:$B$53,0),COLUMN()-COLUMN($CI$5)+1)&gt;0,INDEX($D$6:$CB$53,MATCH($CG13,$B$6:$B$53,0),COLUMN()-COLUMN($CI$5)+1),""))</f>
        <v/>
      </c>
      <c r="EX13" s="1753" t="str" cm="1">
        <f t="array" ref="EX13">IF($CG13="","",IF(INDEX($D$6:$CB$53,MATCH($CG13,$B$6:$B$53,0),COLUMN()-COLUMN($CI$5)+1)&gt;0,INDEX($D$6:$CB$53,MATCH($CG13,$B$6:$B$53,0),COLUMN()-COLUMN($CI$5)+1),""))</f>
        <v/>
      </c>
      <c r="EY13" s="1753" t="str" cm="1">
        <f t="array" ref="EY13">IF($CG13="","",IF(INDEX($D$6:$CB$53,MATCH($CG13,$B$6:$B$53,0),COLUMN()-COLUMN($CI$5)+1)&gt;0,INDEX($D$6:$CB$53,MATCH($CG13,$B$6:$B$53,0),COLUMN()-COLUMN($CI$5)+1),""))</f>
        <v/>
      </c>
      <c r="EZ13" s="1753" t="str" cm="1">
        <f t="array" ref="EZ13">IF($CG13="","",IF(INDEX($D$6:$CB$53,MATCH($CG13,$B$6:$B$53,0),COLUMN()-COLUMN($CI$5)+1)&gt;0,INDEX($D$6:$CB$53,MATCH($CG13,$B$6:$B$53,0),COLUMN()-COLUMN($CI$5)+1),""))</f>
        <v/>
      </c>
      <c r="FA13" s="1753" t="str" cm="1">
        <f t="array" ref="FA13">IF($CG13="","",IF(INDEX($D$6:$CB$53,MATCH($CG13,$B$6:$B$53,0),COLUMN()-COLUMN($CI$5)+1)&gt;0,INDEX($D$6:$CB$53,MATCH($CG13,$B$6:$B$53,0),COLUMN()-COLUMN($CI$5)+1),""))</f>
        <v/>
      </c>
      <c r="FB13" s="1753" t="str" cm="1">
        <f t="array" ref="FB13">IF($CG13="","",IF(INDEX($D$6:$CB$53,MATCH($CG13,$B$6:$B$53,0),COLUMN()-COLUMN($CI$5)+1)&gt;0,INDEX($D$6:$CB$53,MATCH($CG13,$B$6:$B$53,0),COLUMN()-COLUMN($CI$5)+1),""))</f>
        <v/>
      </c>
      <c r="FC13" s="1753" t="str" cm="1">
        <f t="array" ref="FC13">IF($CG13="","",IF(INDEX($D$6:$CB$53,MATCH($CG13,$B$6:$B$53,0),COLUMN()-COLUMN($CI$5)+1)&gt;0,INDEX($D$6:$CB$53,MATCH($CG13,$B$6:$B$53,0),COLUMN()-COLUMN($CI$5)+1),""))</f>
        <v/>
      </c>
      <c r="FD13" s="1753" t="str" cm="1">
        <f t="array" ref="FD13">IF($CG13="","",IF(INDEX($D$6:$CB$53,MATCH($CG13,$B$6:$B$53,0),COLUMN()-COLUMN($CI$5)+1)&gt;0,INDEX($D$6:$CB$53,MATCH($CG13,$B$6:$B$53,0),COLUMN()-COLUMN($CI$5)+1),""))</f>
        <v/>
      </c>
      <c r="FE13" s="1753" t="str" cm="1">
        <f t="array" ref="FE13">IF($CG13="","",IF(INDEX($D$6:$CB$53,MATCH($CG13,$B$6:$B$53,0),COLUMN()-COLUMN($CI$5)+1)&gt;0,INDEX($D$6:$CB$53,MATCH($CG13,$B$6:$B$53,0),COLUMN()-COLUMN($CI$5)+1),""))</f>
        <v/>
      </c>
      <c r="FF13" s="1753" t="str" cm="1">
        <f t="array" ref="FF13">IF($CG13="","",IF(INDEX($D$6:$CB$53,MATCH($CG13,$B$6:$B$53,0),COLUMN()-COLUMN($CI$5)+1)&gt;0,INDEX($D$6:$CB$53,MATCH($CG13,$B$6:$B$53,0),COLUMN()-COLUMN($CI$5)+1),""))</f>
        <v/>
      </c>
      <c r="FG13" s="1758" t="str" cm="1">
        <f t="array" ref="FG13">IF($CG13="","",IF(INDEX($D$6:$CB$53,MATCH($CG13,$B$6:$B$53,0),COLUMN()-COLUMN($CI$5)+1)&gt;0,INDEX($D$6:$CB$53,MATCH($CG13,$B$6:$B$53,0),COLUMN()-COLUMN($CI$5)+1),""))</f>
        <v/>
      </c>
      <c r="FH13" s="1764" t="str">
        <f t="shared" si="4"/>
        <v/>
      </c>
      <c r="FI13" s="1756" t="str">
        <f t="shared" si="5"/>
        <v/>
      </c>
      <c r="FJ13" s="1767" t="str">
        <f t="shared" si="6"/>
        <v/>
      </c>
      <c r="FK13" s="1760"/>
    </row>
    <row r="14" spans="1:167" ht="15.75" customHeight="1">
      <c r="A14" s="1220"/>
      <c r="B14" s="1278">
        <f>+PP!B32</f>
        <v>9</v>
      </c>
      <c r="C14" s="1279" t="str">
        <f>+PP!C32</f>
        <v>ALETA PRECOCIDA ENTERA 300-UP g/pza</v>
      </c>
      <c r="D14" s="1404"/>
      <c r="E14" s="1405"/>
      <c r="F14" s="1405"/>
      <c r="G14" s="1405"/>
      <c r="H14" s="1405"/>
      <c r="I14" s="1405"/>
      <c r="J14" s="1405"/>
      <c r="K14" s="1405"/>
      <c r="L14" s="1405"/>
      <c r="M14" s="1405"/>
      <c r="N14" s="1405"/>
      <c r="O14" s="1405"/>
      <c r="P14" s="1405"/>
      <c r="Q14" s="1405"/>
      <c r="R14" s="1405"/>
      <c r="S14" s="1405"/>
      <c r="T14" s="1405"/>
      <c r="U14" s="1405"/>
      <c r="V14" s="1405"/>
      <c r="W14" s="1405"/>
      <c r="X14" s="1405"/>
      <c r="Y14" s="1405"/>
      <c r="Z14" s="1405"/>
      <c r="AA14" s="1405"/>
      <c r="AB14" s="1405"/>
      <c r="AC14" s="1405"/>
      <c r="AD14" s="1405"/>
      <c r="AE14" s="1405"/>
      <c r="AF14" s="1405"/>
      <c r="AG14" s="1405"/>
      <c r="AH14" s="1406"/>
      <c r="AI14" s="1235"/>
      <c r="AJ14" s="1235"/>
      <c r="AK14" s="1235"/>
      <c r="AL14" s="1235"/>
      <c r="AM14" s="1235"/>
      <c r="AN14" s="1235"/>
      <c r="AO14" s="1235"/>
      <c r="AP14" s="1218"/>
      <c r="AQ14" s="1218"/>
      <c r="AR14" s="1218"/>
      <c r="AS14" s="1218"/>
      <c r="AT14" s="1218"/>
      <c r="AU14" s="1218"/>
      <c r="AV14" s="1218"/>
      <c r="AW14" s="1218"/>
      <c r="AX14" s="1218"/>
      <c r="AY14" s="1218"/>
      <c r="AZ14" s="1218"/>
      <c r="BA14" s="1218"/>
      <c r="BB14" s="1218"/>
      <c r="BC14" s="1218"/>
      <c r="BD14" s="1218"/>
      <c r="BE14" s="1218"/>
      <c r="BF14" s="1218"/>
      <c r="BG14" s="1218"/>
      <c r="BH14" s="1218"/>
      <c r="BI14" s="1218"/>
      <c r="BJ14" s="1218"/>
      <c r="BK14" s="1218"/>
      <c r="BL14" s="1218"/>
      <c r="BM14" s="1218"/>
      <c r="BN14" s="1218"/>
      <c r="BO14" s="1218"/>
      <c r="BP14" s="1218"/>
      <c r="BQ14" s="1218"/>
      <c r="BR14" s="1557"/>
      <c r="BS14" s="1557"/>
      <c r="BT14" s="1557"/>
      <c r="BU14" s="1557"/>
      <c r="BV14" s="1557"/>
      <c r="BW14" s="1557"/>
      <c r="BX14" s="1557"/>
      <c r="BY14" s="1557"/>
      <c r="BZ14" s="1557"/>
      <c r="CA14" s="1557"/>
      <c r="CB14" s="1564"/>
      <c r="CC14" s="1550">
        <f t="shared" si="0"/>
        <v>0</v>
      </c>
      <c r="CD14" s="1236">
        <f t="shared" si="1"/>
        <v>0</v>
      </c>
      <c r="CE14" s="1237">
        <f t="shared" si="2"/>
        <v>0</v>
      </c>
      <c r="CF14" s="1220"/>
      <c r="CG14" s="1751" t="str" cm="1">
        <f t="array" ref="CG14">IFERROR(INDEX($B$6:$B$53,_xlfn.AGGREGATE(15,6,(ROW($B$6:$B$53)-ROW($B$6)+1)/(MMULT(--($D$6:$CB$53&gt;0),TRANSPOSE(COLUMN($D$6:$CB$6)^0))&gt;0),ROWS($CG$6:CG14))),"")</f>
        <v/>
      </c>
      <c r="CH14" s="1752" t="str">
        <f t="shared" si="3"/>
        <v/>
      </c>
      <c r="CI14" s="1753" t="str" cm="1">
        <f t="array" ref="CI14">IF($CG14="","",IF(INDEX($D$6:$CB$53,MATCH($CG14,$B$6:$B$53,0),COLUMN()-COLUMN($CI$5)+1)&gt;0,INDEX($D$6:$CB$53,MATCH($CG14,$B$6:$B$53,0),COLUMN()-COLUMN($CI$5)+1),""))</f>
        <v/>
      </c>
      <c r="CJ14" s="1753" t="str" cm="1">
        <f t="array" ref="CJ14">IF($CG14="","",IF(INDEX($D$6:$CB$53,MATCH($CG14,$B$6:$B$53,0),COLUMN()-COLUMN($CI$5)+1)&gt;0,INDEX($D$6:$CB$53,MATCH($CG14,$B$6:$B$53,0),COLUMN()-COLUMN($CI$5)+1),""))</f>
        <v/>
      </c>
      <c r="CK14" s="1753" t="str" cm="1">
        <f t="array" ref="CK14">IF($CG14="","",IF(INDEX($D$6:$CB$53,MATCH($CG14,$B$6:$B$53,0),COLUMN()-COLUMN($CI$5)+1)&gt;0,INDEX($D$6:$CB$53,MATCH($CG14,$B$6:$B$53,0),COLUMN()-COLUMN($CI$5)+1),""))</f>
        <v/>
      </c>
      <c r="CL14" s="1753" t="str" cm="1">
        <f t="array" ref="CL14">IF($CG14="","",IF(INDEX($D$6:$CB$53,MATCH($CG14,$B$6:$B$53,0),COLUMN()-COLUMN($CI$5)+1)&gt;0,INDEX($D$6:$CB$53,MATCH($CG14,$B$6:$B$53,0),COLUMN()-COLUMN($CI$5)+1),""))</f>
        <v/>
      </c>
      <c r="CM14" s="1753" t="str" cm="1">
        <f t="array" ref="CM14">IF($CG14="","",IF(INDEX($D$6:$CB$53,MATCH($CG14,$B$6:$B$53,0),COLUMN()-COLUMN($CI$5)+1)&gt;0,INDEX($D$6:$CB$53,MATCH($CG14,$B$6:$B$53,0),COLUMN()-COLUMN($CI$5)+1),""))</f>
        <v/>
      </c>
      <c r="CN14" s="1753" t="str" cm="1">
        <f t="array" ref="CN14">IF($CG14="","",IF(INDEX($D$6:$CB$53,MATCH($CG14,$B$6:$B$53,0),COLUMN()-COLUMN($CI$5)+1)&gt;0,INDEX($D$6:$CB$53,MATCH($CG14,$B$6:$B$53,0),COLUMN()-COLUMN($CI$5)+1),""))</f>
        <v/>
      </c>
      <c r="CO14" s="1753" t="str" cm="1">
        <f t="array" ref="CO14">IF($CG14="","",IF(INDEX($D$6:$CB$53,MATCH($CG14,$B$6:$B$53,0),COLUMN()-COLUMN($CI$5)+1)&gt;0,INDEX($D$6:$CB$53,MATCH($CG14,$B$6:$B$53,0),COLUMN()-COLUMN($CI$5)+1),""))</f>
        <v/>
      </c>
      <c r="CP14" s="1753" t="str" cm="1">
        <f t="array" ref="CP14">IF($CG14="","",IF(INDEX($D$6:$CB$53,MATCH($CG14,$B$6:$B$53,0),COLUMN()-COLUMN($CI$5)+1)&gt;0,INDEX($D$6:$CB$53,MATCH($CG14,$B$6:$B$53,0),COLUMN()-COLUMN($CI$5)+1),""))</f>
        <v/>
      </c>
      <c r="CQ14" s="1753" t="str" cm="1">
        <f t="array" ref="CQ14">IF($CG14="","",IF(INDEX($D$6:$CB$53,MATCH($CG14,$B$6:$B$53,0),COLUMN()-COLUMN($CI$5)+1)&gt;0,INDEX($D$6:$CB$53,MATCH($CG14,$B$6:$B$53,0),COLUMN()-COLUMN($CI$5)+1),""))</f>
        <v/>
      </c>
      <c r="CR14" s="1753" t="str" cm="1">
        <f t="array" ref="CR14">IF($CG14="","",IF(INDEX($D$6:$CB$53,MATCH($CG14,$B$6:$B$53,0),COLUMN()-COLUMN($CI$5)+1)&gt;0,INDEX($D$6:$CB$53,MATCH($CG14,$B$6:$B$53,0),COLUMN()-COLUMN($CI$5)+1),""))</f>
        <v/>
      </c>
      <c r="CS14" s="1753" t="str" cm="1">
        <f t="array" ref="CS14">IF($CG14="","",IF(INDEX($D$6:$CB$53,MATCH($CG14,$B$6:$B$53,0),COLUMN()-COLUMN($CI$5)+1)&gt;0,INDEX($D$6:$CB$53,MATCH($CG14,$B$6:$B$53,0),COLUMN()-COLUMN($CI$5)+1),""))</f>
        <v/>
      </c>
      <c r="CT14" s="1753" t="str" cm="1">
        <f t="array" ref="CT14">IF($CG14="","",IF(INDEX($D$6:$CB$53,MATCH($CG14,$B$6:$B$53,0),COLUMN()-COLUMN($CI$5)+1)&gt;0,INDEX($D$6:$CB$53,MATCH($CG14,$B$6:$B$53,0),COLUMN()-COLUMN($CI$5)+1),""))</f>
        <v/>
      </c>
      <c r="CU14" s="1753" t="str" cm="1">
        <f t="array" ref="CU14">IF($CG14="","",IF(INDEX($D$6:$CB$53,MATCH($CG14,$B$6:$B$53,0),COLUMN()-COLUMN($CI$5)+1)&gt;0,INDEX($D$6:$CB$53,MATCH($CG14,$B$6:$B$53,0),COLUMN()-COLUMN($CI$5)+1),""))</f>
        <v/>
      </c>
      <c r="CV14" s="1753" t="str" cm="1">
        <f t="array" ref="CV14">IF($CG14="","",IF(INDEX($D$6:$CB$53,MATCH($CG14,$B$6:$B$53,0),COLUMN()-COLUMN($CI$5)+1)&gt;0,INDEX($D$6:$CB$53,MATCH($CG14,$B$6:$B$53,0),COLUMN()-COLUMN($CI$5)+1),""))</f>
        <v/>
      </c>
      <c r="CW14" s="1753" t="str" cm="1">
        <f t="array" ref="CW14">IF($CG14="","",IF(INDEX($D$6:$CB$53,MATCH($CG14,$B$6:$B$53,0),COLUMN()-COLUMN($CI$5)+1)&gt;0,INDEX($D$6:$CB$53,MATCH($CG14,$B$6:$B$53,0),COLUMN()-COLUMN($CI$5)+1),""))</f>
        <v/>
      </c>
      <c r="CX14" s="1753" t="str" cm="1">
        <f t="array" ref="CX14">IF($CG14="","",IF(INDEX($D$6:$CB$53,MATCH($CG14,$B$6:$B$53,0),COLUMN()-COLUMN($CI$5)+1)&gt;0,INDEX($D$6:$CB$53,MATCH($CG14,$B$6:$B$53,0),COLUMN()-COLUMN($CI$5)+1),""))</f>
        <v/>
      </c>
      <c r="CY14" s="1753" t="str" cm="1">
        <f t="array" ref="CY14">IF($CG14="","",IF(INDEX($D$6:$CB$53,MATCH($CG14,$B$6:$B$53,0),COLUMN()-COLUMN($CI$5)+1)&gt;0,INDEX($D$6:$CB$53,MATCH($CG14,$B$6:$B$53,0),COLUMN()-COLUMN($CI$5)+1),""))</f>
        <v/>
      </c>
      <c r="CZ14" s="1753" t="str" cm="1">
        <f t="array" ref="CZ14">IF($CG14="","",IF(INDEX($D$6:$CB$53,MATCH($CG14,$B$6:$B$53,0),COLUMN()-COLUMN($CI$5)+1)&gt;0,INDEX($D$6:$CB$53,MATCH($CG14,$B$6:$B$53,0),COLUMN()-COLUMN($CI$5)+1),""))</f>
        <v/>
      </c>
      <c r="DA14" s="1753" t="str" cm="1">
        <f t="array" ref="DA14">IF($CG14="","",IF(INDEX($D$6:$CB$53,MATCH($CG14,$B$6:$B$53,0),COLUMN()-COLUMN($CI$5)+1)&gt;0,INDEX($D$6:$CB$53,MATCH($CG14,$B$6:$B$53,0),COLUMN()-COLUMN($CI$5)+1),""))</f>
        <v/>
      </c>
      <c r="DB14" s="1753" t="str" cm="1">
        <f t="array" ref="DB14">IF($CG14="","",IF(INDEX($D$6:$CB$53,MATCH($CG14,$B$6:$B$53,0),COLUMN()-COLUMN($CI$5)+1)&gt;0,INDEX($D$6:$CB$53,MATCH($CG14,$B$6:$B$53,0),COLUMN()-COLUMN($CI$5)+1),""))</f>
        <v/>
      </c>
      <c r="DC14" s="1753" t="str" cm="1">
        <f t="array" ref="DC14">IF($CG14="","",IF(INDEX($D$6:$CB$53,MATCH($CG14,$B$6:$B$53,0),COLUMN()-COLUMN($CI$5)+1)&gt;0,INDEX($D$6:$CB$53,MATCH($CG14,$B$6:$B$53,0),COLUMN()-COLUMN($CI$5)+1),""))</f>
        <v/>
      </c>
      <c r="DD14" s="1753" t="str" cm="1">
        <f t="array" ref="DD14">IF($CG14="","",IF(INDEX($D$6:$CB$53,MATCH($CG14,$B$6:$B$53,0),COLUMN()-COLUMN($CI$5)+1)&gt;0,INDEX($D$6:$CB$53,MATCH($CG14,$B$6:$B$53,0),COLUMN()-COLUMN($CI$5)+1),""))</f>
        <v/>
      </c>
      <c r="DE14" s="1753" t="str" cm="1">
        <f t="array" ref="DE14">IF($CG14="","",IF(INDEX($D$6:$CB$53,MATCH($CG14,$B$6:$B$53,0),COLUMN()-COLUMN($CI$5)+1)&gt;0,INDEX($D$6:$CB$53,MATCH($CG14,$B$6:$B$53,0),COLUMN()-COLUMN($CI$5)+1),""))</f>
        <v/>
      </c>
      <c r="DF14" s="1753" t="str" cm="1">
        <f t="array" ref="DF14">IF($CG14="","",IF(INDEX($D$6:$CB$53,MATCH($CG14,$B$6:$B$53,0),COLUMN()-COLUMN($CI$5)+1)&gt;0,INDEX($D$6:$CB$53,MATCH($CG14,$B$6:$B$53,0),COLUMN()-COLUMN($CI$5)+1),""))</f>
        <v/>
      </c>
      <c r="DG14" s="1753" t="str" cm="1">
        <f t="array" ref="DG14">IF($CG14="","",IF(INDEX($D$6:$CB$53,MATCH($CG14,$B$6:$B$53,0),COLUMN()-COLUMN($CI$5)+1)&gt;0,INDEX($D$6:$CB$53,MATCH($CG14,$B$6:$B$53,0),COLUMN()-COLUMN($CI$5)+1),""))</f>
        <v/>
      </c>
      <c r="DH14" s="1753" t="str" cm="1">
        <f t="array" ref="DH14">IF($CG14="","",IF(INDEX($D$6:$CB$53,MATCH($CG14,$B$6:$B$53,0),COLUMN()-COLUMN($CI$5)+1)&gt;0,INDEX($D$6:$CB$53,MATCH($CG14,$B$6:$B$53,0),COLUMN()-COLUMN($CI$5)+1),""))</f>
        <v/>
      </c>
      <c r="DI14" s="1753" t="str" cm="1">
        <f t="array" ref="DI14">IF($CG14="","",IF(INDEX($D$6:$CB$53,MATCH($CG14,$B$6:$B$53,0),COLUMN()-COLUMN($CI$5)+1)&gt;0,INDEX($D$6:$CB$53,MATCH($CG14,$B$6:$B$53,0),COLUMN()-COLUMN($CI$5)+1),""))</f>
        <v/>
      </c>
      <c r="DJ14" s="1753" t="str" cm="1">
        <f t="array" ref="DJ14">IF($CG14="","",IF(INDEX($D$6:$CB$53,MATCH($CG14,$B$6:$B$53,0),COLUMN()-COLUMN($CI$5)+1)&gt;0,INDEX($D$6:$CB$53,MATCH($CG14,$B$6:$B$53,0),COLUMN()-COLUMN($CI$5)+1),""))</f>
        <v/>
      </c>
      <c r="DK14" s="1753" t="str" cm="1">
        <f t="array" ref="DK14">IF($CG14="","",IF(INDEX($D$6:$CB$53,MATCH($CG14,$B$6:$B$53,0),COLUMN()-COLUMN($CI$5)+1)&gt;0,INDEX($D$6:$CB$53,MATCH($CG14,$B$6:$B$53,0),COLUMN()-COLUMN($CI$5)+1),""))</f>
        <v/>
      </c>
      <c r="DL14" s="1753" t="str" cm="1">
        <f t="array" ref="DL14">IF($CG14="","",IF(INDEX($D$6:$CB$53,MATCH($CG14,$B$6:$B$53,0),COLUMN()-COLUMN($CI$5)+1)&gt;0,INDEX($D$6:$CB$53,MATCH($CG14,$B$6:$B$53,0),COLUMN()-COLUMN($CI$5)+1),""))</f>
        <v/>
      </c>
      <c r="DM14" s="1753" t="str" cm="1">
        <f t="array" ref="DM14">IF($CG14="","",IF(INDEX($D$6:$CB$53,MATCH($CG14,$B$6:$B$53,0),COLUMN()-COLUMN($CI$5)+1)&gt;0,INDEX($D$6:$CB$53,MATCH($CG14,$B$6:$B$53,0),COLUMN()-COLUMN($CI$5)+1),""))</f>
        <v/>
      </c>
      <c r="DN14" s="1753" t="str" cm="1">
        <f t="array" ref="DN14">IF($CG14="","",IF(INDEX($D$6:$CB$53,MATCH($CG14,$B$6:$B$53,0),COLUMN()-COLUMN($CI$5)+1)&gt;0,INDEX($D$6:$CB$53,MATCH($CG14,$B$6:$B$53,0),COLUMN()-COLUMN($CI$5)+1),""))</f>
        <v/>
      </c>
      <c r="DO14" s="1753" t="str" cm="1">
        <f t="array" ref="DO14">IF($CG14="","",IF(INDEX($D$6:$CB$53,MATCH($CG14,$B$6:$B$53,0),COLUMN()-COLUMN($CI$5)+1)&gt;0,INDEX($D$6:$CB$53,MATCH($CG14,$B$6:$B$53,0),COLUMN()-COLUMN($CI$5)+1),""))</f>
        <v/>
      </c>
      <c r="DP14" s="1753" t="str" cm="1">
        <f t="array" ref="DP14">IF($CG14="","",IF(INDEX($D$6:$CB$53,MATCH($CG14,$B$6:$B$53,0),COLUMN()-COLUMN($CI$5)+1)&gt;0,INDEX($D$6:$CB$53,MATCH($CG14,$B$6:$B$53,0),COLUMN()-COLUMN($CI$5)+1),""))</f>
        <v/>
      </c>
      <c r="DQ14" s="1753" t="str" cm="1">
        <f t="array" ref="DQ14">IF($CG14="","",IF(INDEX($D$6:$CB$53,MATCH($CG14,$B$6:$B$53,0),COLUMN()-COLUMN($CI$5)+1)&gt;0,INDEX($D$6:$CB$53,MATCH($CG14,$B$6:$B$53,0),COLUMN()-COLUMN($CI$5)+1),""))</f>
        <v/>
      </c>
      <c r="DR14" s="1753" t="str" cm="1">
        <f t="array" ref="DR14">IF($CG14="","",IF(INDEX($D$6:$CB$53,MATCH($CG14,$B$6:$B$53,0),COLUMN()-COLUMN($CI$5)+1)&gt;0,INDEX($D$6:$CB$53,MATCH($CG14,$B$6:$B$53,0),COLUMN()-COLUMN($CI$5)+1),""))</f>
        <v/>
      </c>
      <c r="DS14" s="1753" t="str" cm="1">
        <f t="array" ref="DS14">IF($CG14="","",IF(INDEX($D$6:$CB$53,MATCH($CG14,$B$6:$B$53,0),COLUMN()-COLUMN($CI$5)+1)&gt;0,INDEX($D$6:$CB$53,MATCH($CG14,$B$6:$B$53,0),COLUMN()-COLUMN($CI$5)+1),""))</f>
        <v/>
      </c>
      <c r="DT14" s="1753" t="str" cm="1">
        <f t="array" ref="DT14">IF($CG14="","",IF(INDEX($D$6:$CB$53,MATCH($CG14,$B$6:$B$53,0),COLUMN()-COLUMN($CI$5)+1)&gt;0,INDEX($D$6:$CB$53,MATCH($CG14,$B$6:$B$53,0),COLUMN()-COLUMN($CI$5)+1),""))</f>
        <v/>
      </c>
      <c r="DU14" s="1753" t="str" cm="1">
        <f t="array" ref="DU14">IF($CG14="","",IF(INDEX($D$6:$CB$53,MATCH($CG14,$B$6:$B$53,0),COLUMN()-COLUMN($CI$5)+1)&gt;0,INDEX($D$6:$CB$53,MATCH($CG14,$B$6:$B$53,0),COLUMN()-COLUMN($CI$5)+1),""))</f>
        <v/>
      </c>
      <c r="DV14" s="1753" t="str" cm="1">
        <f t="array" ref="DV14">IF($CG14="","",IF(INDEX($D$6:$CB$53,MATCH($CG14,$B$6:$B$53,0),COLUMN()-COLUMN($CI$5)+1)&gt;0,INDEX($D$6:$CB$53,MATCH($CG14,$B$6:$B$53,0),COLUMN()-COLUMN($CI$5)+1),""))</f>
        <v/>
      </c>
      <c r="DW14" s="1753" t="str" cm="1">
        <f t="array" ref="DW14">IF($CG14="","",IF(INDEX($D$6:$CB$53,MATCH($CG14,$B$6:$B$53,0),COLUMN()-COLUMN($CI$5)+1)&gt;0,INDEX($D$6:$CB$53,MATCH($CG14,$B$6:$B$53,0),COLUMN()-COLUMN($CI$5)+1),""))</f>
        <v/>
      </c>
      <c r="DX14" s="1753" t="str" cm="1">
        <f t="array" ref="DX14">IF($CG14="","",IF(INDEX($D$6:$CB$53,MATCH($CG14,$B$6:$B$53,0),COLUMN()-COLUMN($CI$5)+1)&gt;0,INDEX($D$6:$CB$53,MATCH($CG14,$B$6:$B$53,0),COLUMN()-COLUMN($CI$5)+1),""))</f>
        <v/>
      </c>
      <c r="DY14" s="1753" t="str" cm="1">
        <f t="array" ref="DY14">IF($CG14="","",IF(INDEX($D$6:$CB$53,MATCH($CG14,$B$6:$B$53,0),COLUMN()-COLUMN($CI$5)+1)&gt;0,INDEX($D$6:$CB$53,MATCH($CG14,$B$6:$B$53,0),COLUMN()-COLUMN($CI$5)+1),""))</f>
        <v/>
      </c>
      <c r="DZ14" s="1753" t="str" cm="1">
        <f t="array" ref="DZ14">IF($CG14="","",IF(INDEX($D$6:$CB$53,MATCH($CG14,$B$6:$B$53,0),COLUMN()-COLUMN($CI$5)+1)&gt;0,INDEX($D$6:$CB$53,MATCH($CG14,$B$6:$B$53,0),COLUMN()-COLUMN($CI$5)+1),""))</f>
        <v/>
      </c>
      <c r="EA14" s="1753" t="str" cm="1">
        <f t="array" ref="EA14">IF($CG14="","",IF(INDEX($D$6:$CB$53,MATCH($CG14,$B$6:$B$53,0),COLUMN()-COLUMN($CI$5)+1)&gt;0,INDEX($D$6:$CB$53,MATCH($CG14,$B$6:$B$53,0),COLUMN()-COLUMN($CI$5)+1),""))</f>
        <v/>
      </c>
      <c r="EB14" s="1753" t="str" cm="1">
        <f t="array" ref="EB14">IF($CG14="","",IF(INDEX($D$6:$CB$53,MATCH($CG14,$B$6:$B$53,0),COLUMN()-COLUMN($CI$5)+1)&gt;0,INDEX($D$6:$CB$53,MATCH($CG14,$B$6:$B$53,0),COLUMN()-COLUMN($CI$5)+1),""))</f>
        <v/>
      </c>
      <c r="EC14" s="1753" t="str" cm="1">
        <f t="array" ref="EC14">IF($CG14="","",IF(INDEX($D$6:$CB$53,MATCH($CG14,$B$6:$B$53,0),COLUMN()-COLUMN($CI$5)+1)&gt;0,INDEX($D$6:$CB$53,MATCH($CG14,$B$6:$B$53,0),COLUMN()-COLUMN($CI$5)+1),""))</f>
        <v/>
      </c>
      <c r="ED14" s="1753" t="str" cm="1">
        <f t="array" ref="ED14">IF($CG14="","",IF(INDEX($D$6:$CB$53,MATCH($CG14,$B$6:$B$53,0),COLUMN()-COLUMN($CI$5)+1)&gt;0,INDEX($D$6:$CB$53,MATCH($CG14,$B$6:$B$53,0),COLUMN()-COLUMN($CI$5)+1),""))</f>
        <v/>
      </c>
      <c r="EE14" s="1753" t="str" cm="1">
        <f t="array" ref="EE14">IF($CG14="","",IF(INDEX($D$6:$CB$53,MATCH($CG14,$B$6:$B$53,0),COLUMN()-COLUMN($CI$5)+1)&gt;0,INDEX($D$6:$CB$53,MATCH($CG14,$B$6:$B$53,0),COLUMN()-COLUMN($CI$5)+1),""))</f>
        <v/>
      </c>
      <c r="EF14" s="1753" t="str" cm="1">
        <f t="array" ref="EF14">IF($CG14="","",IF(INDEX($D$6:$CB$53,MATCH($CG14,$B$6:$B$53,0),COLUMN()-COLUMN($CI$5)+1)&gt;0,INDEX($D$6:$CB$53,MATCH($CG14,$B$6:$B$53,0),COLUMN()-COLUMN($CI$5)+1),""))</f>
        <v/>
      </c>
      <c r="EG14" s="1753" t="str" cm="1">
        <f t="array" ref="EG14">IF($CG14="","",IF(INDEX($D$6:$CB$53,MATCH($CG14,$B$6:$B$53,0),COLUMN()-COLUMN($CI$5)+1)&gt;0,INDEX($D$6:$CB$53,MATCH($CG14,$B$6:$B$53,0),COLUMN()-COLUMN($CI$5)+1),""))</f>
        <v/>
      </c>
      <c r="EH14" s="1753" t="str" cm="1">
        <f t="array" ref="EH14">IF($CG14="","",IF(INDEX($D$6:$CB$53,MATCH($CG14,$B$6:$B$53,0),COLUMN()-COLUMN($CI$5)+1)&gt;0,INDEX($D$6:$CB$53,MATCH($CG14,$B$6:$B$53,0),COLUMN()-COLUMN($CI$5)+1),""))</f>
        <v/>
      </c>
      <c r="EI14" s="1753" t="str" cm="1">
        <f t="array" ref="EI14">IF($CG14="","",IF(INDEX($D$6:$CB$53,MATCH($CG14,$B$6:$B$53,0),COLUMN()-COLUMN($CI$5)+1)&gt;0,INDEX($D$6:$CB$53,MATCH($CG14,$B$6:$B$53,0),COLUMN()-COLUMN($CI$5)+1),""))</f>
        <v/>
      </c>
      <c r="EJ14" s="1753" t="str" cm="1">
        <f t="array" ref="EJ14">IF($CG14="","",IF(INDEX($D$6:$CB$53,MATCH($CG14,$B$6:$B$53,0),COLUMN()-COLUMN($CI$5)+1)&gt;0,INDEX($D$6:$CB$53,MATCH($CG14,$B$6:$B$53,0),COLUMN()-COLUMN($CI$5)+1),""))</f>
        <v/>
      </c>
      <c r="EK14" s="1753" t="str" cm="1">
        <f t="array" ref="EK14">IF($CG14="","",IF(INDEX($D$6:$CB$53,MATCH($CG14,$B$6:$B$53,0),COLUMN()-COLUMN($CI$5)+1)&gt;0,INDEX($D$6:$CB$53,MATCH($CG14,$B$6:$B$53,0),COLUMN()-COLUMN($CI$5)+1),""))</f>
        <v/>
      </c>
      <c r="EL14" s="1753" t="str" cm="1">
        <f t="array" ref="EL14">IF($CG14="","",IF(INDEX($D$6:$CB$53,MATCH($CG14,$B$6:$B$53,0),COLUMN()-COLUMN($CI$5)+1)&gt;0,INDEX($D$6:$CB$53,MATCH($CG14,$B$6:$B$53,0),COLUMN()-COLUMN($CI$5)+1),""))</f>
        <v/>
      </c>
      <c r="EM14" s="1753" t="str" cm="1">
        <f t="array" ref="EM14">IF($CG14="","",IF(INDEX($D$6:$CB$53,MATCH($CG14,$B$6:$B$53,0),COLUMN()-COLUMN($CI$5)+1)&gt;0,INDEX($D$6:$CB$53,MATCH($CG14,$B$6:$B$53,0),COLUMN()-COLUMN($CI$5)+1),""))</f>
        <v/>
      </c>
      <c r="EN14" s="1753" t="str" cm="1">
        <f t="array" ref="EN14">IF($CG14="","",IF(INDEX($D$6:$CB$53,MATCH($CG14,$B$6:$B$53,0),COLUMN()-COLUMN($CI$5)+1)&gt;0,INDEX($D$6:$CB$53,MATCH($CG14,$B$6:$B$53,0),COLUMN()-COLUMN($CI$5)+1),""))</f>
        <v/>
      </c>
      <c r="EO14" s="1753" t="str" cm="1">
        <f t="array" ref="EO14">IF($CG14="","",IF(INDEX($D$6:$CB$53,MATCH($CG14,$B$6:$B$53,0),COLUMN()-COLUMN($CI$5)+1)&gt;0,INDEX($D$6:$CB$53,MATCH($CG14,$B$6:$B$53,0),COLUMN()-COLUMN($CI$5)+1),""))</f>
        <v/>
      </c>
      <c r="EP14" s="1753" t="str" cm="1">
        <f t="array" ref="EP14">IF($CG14="","",IF(INDEX($D$6:$CB$53,MATCH($CG14,$B$6:$B$53,0),COLUMN()-COLUMN($CI$5)+1)&gt;0,INDEX($D$6:$CB$53,MATCH($CG14,$B$6:$B$53,0),COLUMN()-COLUMN($CI$5)+1),""))</f>
        <v/>
      </c>
      <c r="EQ14" s="1753" t="str" cm="1">
        <f t="array" ref="EQ14">IF($CG14="","",IF(INDEX($D$6:$CB$53,MATCH($CG14,$B$6:$B$53,0),COLUMN()-COLUMN($CI$5)+1)&gt;0,INDEX($D$6:$CB$53,MATCH($CG14,$B$6:$B$53,0),COLUMN()-COLUMN($CI$5)+1),""))</f>
        <v/>
      </c>
      <c r="ER14" s="1753" t="str" cm="1">
        <f t="array" ref="ER14">IF($CG14="","",IF(INDEX($D$6:$CB$53,MATCH($CG14,$B$6:$B$53,0),COLUMN()-COLUMN($CI$5)+1)&gt;0,INDEX($D$6:$CB$53,MATCH($CG14,$B$6:$B$53,0),COLUMN()-COLUMN($CI$5)+1),""))</f>
        <v/>
      </c>
      <c r="ES14" s="1753" t="str" cm="1">
        <f t="array" ref="ES14">IF($CG14="","",IF(INDEX($D$6:$CB$53,MATCH($CG14,$B$6:$B$53,0),COLUMN()-COLUMN($CI$5)+1)&gt;0,INDEX($D$6:$CB$53,MATCH($CG14,$B$6:$B$53,0),COLUMN()-COLUMN($CI$5)+1),""))</f>
        <v/>
      </c>
      <c r="ET14" s="1753" t="str" cm="1">
        <f t="array" ref="ET14">IF($CG14="","",IF(INDEX($D$6:$CB$53,MATCH($CG14,$B$6:$B$53,0),COLUMN()-COLUMN($CI$5)+1)&gt;0,INDEX($D$6:$CB$53,MATCH($CG14,$B$6:$B$53,0),COLUMN()-COLUMN($CI$5)+1),""))</f>
        <v/>
      </c>
      <c r="EU14" s="1753" t="str" cm="1">
        <f t="array" ref="EU14">IF($CG14="","",IF(INDEX($D$6:$CB$53,MATCH($CG14,$B$6:$B$53,0),COLUMN()-COLUMN($CI$5)+1)&gt;0,INDEX($D$6:$CB$53,MATCH($CG14,$B$6:$B$53,0),COLUMN()-COLUMN($CI$5)+1),""))</f>
        <v/>
      </c>
      <c r="EV14" s="1753" t="str" cm="1">
        <f t="array" ref="EV14">IF($CG14="","",IF(INDEX($D$6:$CB$53,MATCH($CG14,$B$6:$B$53,0),COLUMN()-COLUMN($CI$5)+1)&gt;0,INDEX($D$6:$CB$53,MATCH($CG14,$B$6:$B$53,0),COLUMN()-COLUMN($CI$5)+1),""))</f>
        <v/>
      </c>
      <c r="EW14" s="1753" t="str" cm="1">
        <f t="array" ref="EW14">IF($CG14="","",IF(INDEX($D$6:$CB$53,MATCH($CG14,$B$6:$B$53,0),COLUMN()-COLUMN($CI$5)+1)&gt;0,INDEX($D$6:$CB$53,MATCH($CG14,$B$6:$B$53,0),COLUMN()-COLUMN($CI$5)+1),""))</f>
        <v/>
      </c>
      <c r="EX14" s="1753" t="str" cm="1">
        <f t="array" ref="EX14">IF($CG14="","",IF(INDEX($D$6:$CB$53,MATCH($CG14,$B$6:$B$53,0),COLUMN()-COLUMN($CI$5)+1)&gt;0,INDEX($D$6:$CB$53,MATCH($CG14,$B$6:$B$53,0),COLUMN()-COLUMN($CI$5)+1),""))</f>
        <v/>
      </c>
      <c r="EY14" s="1753" t="str" cm="1">
        <f t="array" ref="EY14">IF($CG14="","",IF(INDEX($D$6:$CB$53,MATCH($CG14,$B$6:$B$53,0),COLUMN()-COLUMN($CI$5)+1)&gt;0,INDEX($D$6:$CB$53,MATCH($CG14,$B$6:$B$53,0),COLUMN()-COLUMN($CI$5)+1),""))</f>
        <v/>
      </c>
      <c r="EZ14" s="1753" t="str" cm="1">
        <f t="array" ref="EZ14">IF($CG14="","",IF(INDEX($D$6:$CB$53,MATCH($CG14,$B$6:$B$53,0),COLUMN()-COLUMN($CI$5)+1)&gt;0,INDEX($D$6:$CB$53,MATCH($CG14,$B$6:$B$53,0),COLUMN()-COLUMN($CI$5)+1),""))</f>
        <v/>
      </c>
      <c r="FA14" s="1753" t="str" cm="1">
        <f t="array" ref="FA14">IF($CG14="","",IF(INDEX($D$6:$CB$53,MATCH($CG14,$B$6:$B$53,0),COLUMN()-COLUMN($CI$5)+1)&gt;0,INDEX($D$6:$CB$53,MATCH($CG14,$B$6:$B$53,0),COLUMN()-COLUMN($CI$5)+1),""))</f>
        <v/>
      </c>
      <c r="FB14" s="1753" t="str" cm="1">
        <f t="array" ref="FB14">IF($CG14="","",IF(INDEX($D$6:$CB$53,MATCH($CG14,$B$6:$B$53,0),COLUMN()-COLUMN($CI$5)+1)&gt;0,INDEX($D$6:$CB$53,MATCH($CG14,$B$6:$B$53,0),COLUMN()-COLUMN($CI$5)+1),""))</f>
        <v/>
      </c>
      <c r="FC14" s="1753" t="str" cm="1">
        <f t="array" ref="FC14">IF($CG14="","",IF(INDEX($D$6:$CB$53,MATCH($CG14,$B$6:$B$53,0),COLUMN()-COLUMN($CI$5)+1)&gt;0,INDEX($D$6:$CB$53,MATCH($CG14,$B$6:$B$53,0),COLUMN()-COLUMN($CI$5)+1),""))</f>
        <v/>
      </c>
      <c r="FD14" s="1753" t="str" cm="1">
        <f t="array" ref="FD14">IF($CG14="","",IF(INDEX($D$6:$CB$53,MATCH($CG14,$B$6:$B$53,0),COLUMN()-COLUMN($CI$5)+1)&gt;0,INDEX($D$6:$CB$53,MATCH($CG14,$B$6:$B$53,0),COLUMN()-COLUMN($CI$5)+1),""))</f>
        <v/>
      </c>
      <c r="FE14" s="1753" t="str" cm="1">
        <f t="array" ref="FE14">IF($CG14="","",IF(INDEX($D$6:$CB$53,MATCH($CG14,$B$6:$B$53,0),COLUMN()-COLUMN($CI$5)+1)&gt;0,INDEX($D$6:$CB$53,MATCH($CG14,$B$6:$B$53,0),COLUMN()-COLUMN($CI$5)+1),""))</f>
        <v/>
      </c>
      <c r="FF14" s="1753" t="str" cm="1">
        <f t="array" ref="FF14">IF($CG14="","",IF(INDEX($D$6:$CB$53,MATCH($CG14,$B$6:$B$53,0),COLUMN()-COLUMN($CI$5)+1)&gt;0,INDEX($D$6:$CB$53,MATCH($CG14,$B$6:$B$53,0),COLUMN()-COLUMN($CI$5)+1),""))</f>
        <v/>
      </c>
      <c r="FG14" s="1758" t="str" cm="1">
        <f t="array" ref="FG14">IF($CG14="","",IF(INDEX($D$6:$CB$53,MATCH($CG14,$B$6:$B$53,0),COLUMN()-COLUMN($CI$5)+1)&gt;0,INDEX($D$6:$CB$53,MATCH($CG14,$B$6:$B$53,0),COLUMN()-COLUMN($CI$5)+1),""))</f>
        <v/>
      </c>
      <c r="FH14" s="1764" t="str">
        <f t="shared" si="4"/>
        <v/>
      </c>
      <c r="FI14" s="1756" t="str">
        <f t="shared" si="5"/>
        <v/>
      </c>
      <c r="FJ14" s="1767" t="str">
        <f t="shared" si="6"/>
        <v/>
      </c>
      <c r="FK14" s="1760"/>
    </row>
    <row r="15" spans="1:167" ht="15.75" customHeight="1" thickBot="1">
      <c r="A15" s="1220"/>
      <c r="B15" s="1278">
        <f>+PP!B33</f>
        <v>10</v>
      </c>
      <c r="C15" s="1280" t="str">
        <f>+PP!C33</f>
        <v>ALETA PRECOCIDA PARTIDA 300-UP g/pza</v>
      </c>
      <c r="D15" s="1407"/>
      <c r="E15" s="1408"/>
      <c r="F15" s="1408"/>
      <c r="G15" s="1408"/>
      <c r="H15" s="1408"/>
      <c r="I15" s="1408"/>
      <c r="J15" s="1408"/>
      <c r="K15" s="1408"/>
      <c r="L15" s="1408"/>
      <c r="M15" s="1408"/>
      <c r="N15" s="1408"/>
      <c r="O15" s="1408"/>
      <c r="P15" s="1408"/>
      <c r="Q15" s="1408"/>
      <c r="R15" s="1408"/>
      <c r="S15" s="1408"/>
      <c r="T15" s="1408"/>
      <c r="U15" s="1408"/>
      <c r="V15" s="1408"/>
      <c r="W15" s="1408"/>
      <c r="X15" s="1408"/>
      <c r="Y15" s="1408"/>
      <c r="Z15" s="1408"/>
      <c r="AA15" s="1408"/>
      <c r="AB15" s="1408"/>
      <c r="AC15" s="1408"/>
      <c r="AD15" s="1408"/>
      <c r="AE15" s="1408"/>
      <c r="AF15" s="1408"/>
      <c r="AG15" s="1408"/>
      <c r="AH15" s="1409"/>
      <c r="AI15" s="1238"/>
      <c r="AJ15" s="1238"/>
      <c r="AK15" s="1238"/>
      <c r="AL15" s="1238"/>
      <c r="AM15" s="1238"/>
      <c r="AN15" s="1238"/>
      <c r="AO15" s="1238"/>
      <c r="AP15" s="1219"/>
      <c r="AQ15" s="1219"/>
      <c r="AR15" s="1219"/>
      <c r="AS15" s="1219"/>
      <c r="AT15" s="1219"/>
      <c r="AU15" s="1219"/>
      <c r="AV15" s="1219"/>
      <c r="AW15" s="1219"/>
      <c r="AX15" s="1219"/>
      <c r="AY15" s="1219"/>
      <c r="AZ15" s="1219"/>
      <c r="BA15" s="1219"/>
      <c r="BB15" s="1219"/>
      <c r="BC15" s="1219"/>
      <c r="BD15" s="1219"/>
      <c r="BE15" s="1219"/>
      <c r="BF15" s="1219"/>
      <c r="BG15" s="1219"/>
      <c r="BH15" s="1219"/>
      <c r="BI15" s="1219"/>
      <c r="BJ15" s="1219"/>
      <c r="BK15" s="1219"/>
      <c r="BL15" s="1219"/>
      <c r="BM15" s="1219"/>
      <c r="BN15" s="1219"/>
      <c r="BO15" s="1219"/>
      <c r="BP15" s="1219"/>
      <c r="BQ15" s="1219"/>
      <c r="BR15" s="1565"/>
      <c r="BS15" s="1565"/>
      <c r="BT15" s="1565"/>
      <c r="BU15" s="1565"/>
      <c r="BV15" s="1565"/>
      <c r="BW15" s="1565"/>
      <c r="BX15" s="1565"/>
      <c r="BY15" s="1565"/>
      <c r="BZ15" s="1565"/>
      <c r="CA15" s="1565"/>
      <c r="CB15" s="1566"/>
      <c r="CC15" s="1551">
        <f t="shared" si="0"/>
        <v>0</v>
      </c>
      <c r="CD15" s="1239">
        <f t="shared" si="1"/>
        <v>0</v>
      </c>
      <c r="CE15" s="1240">
        <f t="shared" si="2"/>
        <v>0</v>
      </c>
      <c r="CF15" s="1220"/>
      <c r="CG15" s="1751" t="str" cm="1">
        <f t="array" ref="CG15">IFERROR(INDEX($B$6:$B$53,_xlfn.AGGREGATE(15,6,(ROW($B$6:$B$53)-ROW($B$6)+1)/(MMULT(--($D$6:$CB$53&gt;0),TRANSPOSE(COLUMN($D$6:$CB$6)^0))&gt;0),ROWS($CG$6:CG15))),"")</f>
        <v/>
      </c>
      <c r="CH15" s="1752" t="str">
        <f t="shared" si="3"/>
        <v/>
      </c>
      <c r="CI15" s="1753" t="str" cm="1">
        <f t="array" ref="CI15">IF($CG15="","",IF(INDEX($D$6:$CB$53,MATCH($CG15,$B$6:$B$53,0),COLUMN()-COLUMN($CI$5)+1)&gt;0,INDEX($D$6:$CB$53,MATCH($CG15,$B$6:$B$53,0),COLUMN()-COLUMN($CI$5)+1),""))</f>
        <v/>
      </c>
      <c r="CJ15" s="1753" t="str" cm="1">
        <f t="array" ref="CJ15">IF($CG15="","",IF(INDEX($D$6:$CB$53,MATCH($CG15,$B$6:$B$53,0),COLUMN()-COLUMN($CI$5)+1)&gt;0,INDEX($D$6:$CB$53,MATCH($CG15,$B$6:$B$53,0),COLUMN()-COLUMN($CI$5)+1),""))</f>
        <v/>
      </c>
      <c r="CK15" s="1753" t="str" cm="1">
        <f t="array" ref="CK15">IF($CG15="","",IF(INDEX($D$6:$CB$53,MATCH($CG15,$B$6:$B$53,0),COLUMN()-COLUMN($CI$5)+1)&gt;0,INDEX($D$6:$CB$53,MATCH($CG15,$B$6:$B$53,0),COLUMN()-COLUMN($CI$5)+1),""))</f>
        <v/>
      </c>
      <c r="CL15" s="1753" t="str" cm="1">
        <f t="array" ref="CL15">IF($CG15="","",IF(INDEX($D$6:$CB$53,MATCH($CG15,$B$6:$B$53,0),COLUMN()-COLUMN($CI$5)+1)&gt;0,INDEX($D$6:$CB$53,MATCH($CG15,$B$6:$B$53,0),COLUMN()-COLUMN($CI$5)+1),""))</f>
        <v/>
      </c>
      <c r="CM15" s="1753" t="str" cm="1">
        <f t="array" ref="CM15">IF($CG15="","",IF(INDEX($D$6:$CB$53,MATCH($CG15,$B$6:$B$53,0),COLUMN()-COLUMN($CI$5)+1)&gt;0,INDEX($D$6:$CB$53,MATCH($CG15,$B$6:$B$53,0),COLUMN()-COLUMN($CI$5)+1),""))</f>
        <v/>
      </c>
      <c r="CN15" s="1753" t="str" cm="1">
        <f t="array" ref="CN15">IF($CG15="","",IF(INDEX($D$6:$CB$53,MATCH($CG15,$B$6:$B$53,0),COLUMN()-COLUMN($CI$5)+1)&gt;0,INDEX($D$6:$CB$53,MATCH($CG15,$B$6:$B$53,0),COLUMN()-COLUMN($CI$5)+1),""))</f>
        <v/>
      </c>
      <c r="CO15" s="1753" t="str" cm="1">
        <f t="array" ref="CO15">IF($CG15="","",IF(INDEX($D$6:$CB$53,MATCH($CG15,$B$6:$B$53,0),COLUMN()-COLUMN($CI$5)+1)&gt;0,INDEX($D$6:$CB$53,MATCH($CG15,$B$6:$B$53,0),COLUMN()-COLUMN($CI$5)+1),""))</f>
        <v/>
      </c>
      <c r="CP15" s="1753" t="str" cm="1">
        <f t="array" ref="CP15">IF($CG15="","",IF(INDEX($D$6:$CB$53,MATCH($CG15,$B$6:$B$53,0),COLUMN()-COLUMN($CI$5)+1)&gt;0,INDEX($D$6:$CB$53,MATCH($CG15,$B$6:$B$53,0),COLUMN()-COLUMN($CI$5)+1),""))</f>
        <v/>
      </c>
      <c r="CQ15" s="1753" t="str" cm="1">
        <f t="array" ref="CQ15">IF($CG15="","",IF(INDEX($D$6:$CB$53,MATCH($CG15,$B$6:$B$53,0),COLUMN()-COLUMN($CI$5)+1)&gt;0,INDEX($D$6:$CB$53,MATCH($CG15,$B$6:$B$53,0),COLUMN()-COLUMN($CI$5)+1),""))</f>
        <v/>
      </c>
      <c r="CR15" s="1753" t="str" cm="1">
        <f t="array" ref="CR15">IF($CG15="","",IF(INDEX($D$6:$CB$53,MATCH($CG15,$B$6:$B$53,0),COLUMN()-COLUMN($CI$5)+1)&gt;0,INDEX($D$6:$CB$53,MATCH($CG15,$B$6:$B$53,0),COLUMN()-COLUMN($CI$5)+1),""))</f>
        <v/>
      </c>
      <c r="CS15" s="1753" t="str" cm="1">
        <f t="array" ref="CS15">IF($CG15="","",IF(INDEX($D$6:$CB$53,MATCH($CG15,$B$6:$B$53,0),COLUMN()-COLUMN($CI$5)+1)&gt;0,INDEX($D$6:$CB$53,MATCH($CG15,$B$6:$B$53,0),COLUMN()-COLUMN($CI$5)+1),""))</f>
        <v/>
      </c>
      <c r="CT15" s="1753" t="str" cm="1">
        <f t="array" ref="CT15">IF($CG15="","",IF(INDEX($D$6:$CB$53,MATCH($CG15,$B$6:$B$53,0),COLUMN()-COLUMN($CI$5)+1)&gt;0,INDEX($D$6:$CB$53,MATCH($CG15,$B$6:$B$53,0),COLUMN()-COLUMN($CI$5)+1),""))</f>
        <v/>
      </c>
      <c r="CU15" s="1753" t="str" cm="1">
        <f t="array" ref="CU15">IF($CG15="","",IF(INDEX($D$6:$CB$53,MATCH($CG15,$B$6:$B$53,0),COLUMN()-COLUMN($CI$5)+1)&gt;0,INDEX($D$6:$CB$53,MATCH($CG15,$B$6:$B$53,0),COLUMN()-COLUMN($CI$5)+1),""))</f>
        <v/>
      </c>
      <c r="CV15" s="1753" t="str" cm="1">
        <f t="array" ref="CV15">IF($CG15="","",IF(INDEX($D$6:$CB$53,MATCH($CG15,$B$6:$B$53,0),COLUMN()-COLUMN($CI$5)+1)&gt;0,INDEX($D$6:$CB$53,MATCH($CG15,$B$6:$B$53,0),COLUMN()-COLUMN($CI$5)+1),""))</f>
        <v/>
      </c>
      <c r="CW15" s="1753" t="str" cm="1">
        <f t="array" ref="CW15">IF($CG15="","",IF(INDEX($D$6:$CB$53,MATCH($CG15,$B$6:$B$53,0),COLUMN()-COLUMN($CI$5)+1)&gt;0,INDEX($D$6:$CB$53,MATCH($CG15,$B$6:$B$53,0),COLUMN()-COLUMN($CI$5)+1),""))</f>
        <v/>
      </c>
      <c r="CX15" s="1753" t="str" cm="1">
        <f t="array" ref="CX15">IF($CG15="","",IF(INDEX($D$6:$CB$53,MATCH($CG15,$B$6:$B$53,0),COLUMN()-COLUMN($CI$5)+1)&gt;0,INDEX($D$6:$CB$53,MATCH($CG15,$B$6:$B$53,0),COLUMN()-COLUMN($CI$5)+1),""))</f>
        <v/>
      </c>
      <c r="CY15" s="1753" t="str" cm="1">
        <f t="array" ref="CY15">IF($CG15="","",IF(INDEX($D$6:$CB$53,MATCH($CG15,$B$6:$B$53,0),COLUMN()-COLUMN($CI$5)+1)&gt;0,INDEX($D$6:$CB$53,MATCH($CG15,$B$6:$B$53,0),COLUMN()-COLUMN($CI$5)+1),""))</f>
        <v/>
      </c>
      <c r="CZ15" s="1753" t="str" cm="1">
        <f t="array" ref="CZ15">IF($CG15="","",IF(INDEX($D$6:$CB$53,MATCH($CG15,$B$6:$B$53,0),COLUMN()-COLUMN($CI$5)+1)&gt;0,INDEX($D$6:$CB$53,MATCH($CG15,$B$6:$B$53,0),COLUMN()-COLUMN($CI$5)+1),""))</f>
        <v/>
      </c>
      <c r="DA15" s="1753" t="str" cm="1">
        <f t="array" ref="DA15">IF($CG15="","",IF(INDEX($D$6:$CB$53,MATCH($CG15,$B$6:$B$53,0),COLUMN()-COLUMN($CI$5)+1)&gt;0,INDEX($D$6:$CB$53,MATCH($CG15,$B$6:$B$53,0),COLUMN()-COLUMN($CI$5)+1),""))</f>
        <v/>
      </c>
      <c r="DB15" s="1753" t="str" cm="1">
        <f t="array" ref="DB15">IF($CG15="","",IF(INDEX($D$6:$CB$53,MATCH($CG15,$B$6:$B$53,0),COLUMN()-COLUMN($CI$5)+1)&gt;0,INDEX($D$6:$CB$53,MATCH($CG15,$B$6:$B$53,0),COLUMN()-COLUMN($CI$5)+1),""))</f>
        <v/>
      </c>
      <c r="DC15" s="1753" t="str" cm="1">
        <f t="array" ref="DC15">IF($CG15="","",IF(INDEX($D$6:$CB$53,MATCH($CG15,$B$6:$B$53,0),COLUMN()-COLUMN($CI$5)+1)&gt;0,INDEX($D$6:$CB$53,MATCH($CG15,$B$6:$B$53,0),COLUMN()-COLUMN($CI$5)+1),""))</f>
        <v/>
      </c>
      <c r="DD15" s="1753" t="str" cm="1">
        <f t="array" ref="DD15">IF($CG15="","",IF(INDEX($D$6:$CB$53,MATCH($CG15,$B$6:$B$53,0),COLUMN()-COLUMN($CI$5)+1)&gt;0,INDEX($D$6:$CB$53,MATCH($CG15,$B$6:$B$53,0),COLUMN()-COLUMN($CI$5)+1),""))</f>
        <v/>
      </c>
      <c r="DE15" s="1753" t="str" cm="1">
        <f t="array" ref="DE15">IF($CG15="","",IF(INDEX($D$6:$CB$53,MATCH($CG15,$B$6:$B$53,0),COLUMN()-COLUMN($CI$5)+1)&gt;0,INDEX($D$6:$CB$53,MATCH($CG15,$B$6:$B$53,0),COLUMN()-COLUMN($CI$5)+1),""))</f>
        <v/>
      </c>
      <c r="DF15" s="1753" t="str" cm="1">
        <f t="array" ref="DF15">IF($CG15="","",IF(INDEX($D$6:$CB$53,MATCH($CG15,$B$6:$B$53,0),COLUMN()-COLUMN($CI$5)+1)&gt;0,INDEX($D$6:$CB$53,MATCH($CG15,$B$6:$B$53,0),COLUMN()-COLUMN($CI$5)+1),""))</f>
        <v/>
      </c>
      <c r="DG15" s="1753" t="str" cm="1">
        <f t="array" ref="DG15">IF($CG15="","",IF(INDEX($D$6:$CB$53,MATCH($CG15,$B$6:$B$53,0),COLUMN()-COLUMN($CI$5)+1)&gt;0,INDEX($D$6:$CB$53,MATCH($CG15,$B$6:$B$53,0),COLUMN()-COLUMN($CI$5)+1),""))</f>
        <v/>
      </c>
      <c r="DH15" s="1753" t="str" cm="1">
        <f t="array" ref="DH15">IF($CG15="","",IF(INDEX($D$6:$CB$53,MATCH($CG15,$B$6:$B$53,0),COLUMN()-COLUMN($CI$5)+1)&gt;0,INDEX($D$6:$CB$53,MATCH($CG15,$B$6:$B$53,0),COLUMN()-COLUMN($CI$5)+1),""))</f>
        <v/>
      </c>
      <c r="DI15" s="1753" t="str" cm="1">
        <f t="array" ref="DI15">IF($CG15="","",IF(INDEX($D$6:$CB$53,MATCH($CG15,$B$6:$B$53,0),COLUMN()-COLUMN($CI$5)+1)&gt;0,INDEX($D$6:$CB$53,MATCH($CG15,$B$6:$B$53,0),COLUMN()-COLUMN($CI$5)+1),""))</f>
        <v/>
      </c>
      <c r="DJ15" s="1753" t="str" cm="1">
        <f t="array" ref="DJ15">IF($CG15="","",IF(INDEX($D$6:$CB$53,MATCH($CG15,$B$6:$B$53,0),COLUMN()-COLUMN($CI$5)+1)&gt;0,INDEX($D$6:$CB$53,MATCH($CG15,$B$6:$B$53,0),COLUMN()-COLUMN($CI$5)+1),""))</f>
        <v/>
      </c>
      <c r="DK15" s="1753" t="str" cm="1">
        <f t="array" ref="DK15">IF($CG15="","",IF(INDEX($D$6:$CB$53,MATCH($CG15,$B$6:$B$53,0),COLUMN()-COLUMN($CI$5)+1)&gt;0,INDEX($D$6:$CB$53,MATCH($CG15,$B$6:$B$53,0),COLUMN()-COLUMN($CI$5)+1),""))</f>
        <v/>
      </c>
      <c r="DL15" s="1753" t="str" cm="1">
        <f t="array" ref="DL15">IF($CG15="","",IF(INDEX($D$6:$CB$53,MATCH($CG15,$B$6:$B$53,0),COLUMN()-COLUMN($CI$5)+1)&gt;0,INDEX($D$6:$CB$53,MATCH($CG15,$B$6:$B$53,0),COLUMN()-COLUMN($CI$5)+1),""))</f>
        <v/>
      </c>
      <c r="DM15" s="1753" t="str" cm="1">
        <f t="array" ref="DM15">IF($CG15="","",IF(INDEX($D$6:$CB$53,MATCH($CG15,$B$6:$B$53,0),COLUMN()-COLUMN($CI$5)+1)&gt;0,INDEX($D$6:$CB$53,MATCH($CG15,$B$6:$B$53,0),COLUMN()-COLUMN($CI$5)+1),""))</f>
        <v/>
      </c>
      <c r="DN15" s="1753" t="str" cm="1">
        <f t="array" ref="DN15">IF($CG15="","",IF(INDEX($D$6:$CB$53,MATCH($CG15,$B$6:$B$53,0),COLUMN()-COLUMN($CI$5)+1)&gt;0,INDEX($D$6:$CB$53,MATCH($CG15,$B$6:$B$53,0),COLUMN()-COLUMN($CI$5)+1),""))</f>
        <v/>
      </c>
      <c r="DO15" s="1753" t="str" cm="1">
        <f t="array" ref="DO15">IF($CG15="","",IF(INDEX($D$6:$CB$53,MATCH($CG15,$B$6:$B$53,0),COLUMN()-COLUMN($CI$5)+1)&gt;0,INDEX($D$6:$CB$53,MATCH($CG15,$B$6:$B$53,0),COLUMN()-COLUMN($CI$5)+1),""))</f>
        <v/>
      </c>
      <c r="DP15" s="1753" t="str" cm="1">
        <f t="array" ref="DP15">IF($CG15="","",IF(INDEX($D$6:$CB$53,MATCH($CG15,$B$6:$B$53,0),COLUMN()-COLUMN($CI$5)+1)&gt;0,INDEX($D$6:$CB$53,MATCH($CG15,$B$6:$B$53,0),COLUMN()-COLUMN($CI$5)+1),""))</f>
        <v/>
      </c>
      <c r="DQ15" s="1753" t="str" cm="1">
        <f t="array" ref="DQ15">IF($CG15="","",IF(INDEX($D$6:$CB$53,MATCH($CG15,$B$6:$B$53,0),COLUMN()-COLUMN($CI$5)+1)&gt;0,INDEX($D$6:$CB$53,MATCH($CG15,$B$6:$B$53,0),COLUMN()-COLUMN($CI$5)+1),""))</f>
        <v/>
      </c>
      <c r="DR15" s="1753" t="str" cm="1">
        <f t="array" ref="DR15">IF($CG15="","",IF(INDEX($D$6:$CB$53,MATCH($CG15,$B$6:$B$53,0),COLUMN()-COLUMN($CI$5)+1)&gt;0,INDEX($D$6:$CB$53,MATCH($CG15,$B$6:$B$53,0),COLUMN()-COLUMN($CI$5)+1),""))</f>
        <v/>
      </c>
      <c r="DS15" s="1753" t="str" cm="1">
        <f t="array" ref="DS15">IF($CG15="","",IF(INDEX($D$6:$CB$53,MATCH($CG15,$B$6:$B$53,0),COLUMN()-COLUMN($CI$5)+1)&gt;0,INDEX($D$6:$CB$53,MATCH($CG15,$B$6:$B$53,0),COLUMN()-COLUMN($CI$5)+1),""))</f>
        <v/>
      </c>
      <c r="DT15" s="1753" t="str" cm="1">
        <f t="array" ref="DT15">IF($CG15="","",IF(INDEX($D$6:$CB$53,MATCH($CG15,$B$6:$B$53,0),COLUMN()-COLUMN($CI$5)+1)&gt;0,INDEX($D$6:$CB$53,MATCH($CG15,$B$6:$B$53,0),COLUMN()-COLUMN($CI$5)+1),""))</f>
        <v/>
      </c>
      <c r="DU15" s="1753" t="str" cm="1">
        <f t="array" ref="DU15">IF($CG15="","",IF(INDEX($D$6:$CB$53,MATCH($CG15,$B$6:$B$53,0),COLUMN()-COLUMN($CI$5)+1)&gt;0,INDEX($D$6:$CB$53,MATCH($CG15,$B$6:$B$53,0),COLUMN()-COLUMN($CI$5)+1),""))</f>
        <v/>
      </c>
      <c r="DV15" s="1753" t="str" cm="1">
        <f t="array" ref="DV15">IF($CG15="","",IF(INDEX($D$6:$CB$53,MATCH($CG15,$B$6:$B$53,0),COLUMN()-COLUMN($CI$5)+1)&gt;0,INDEX($D$6:$CB$53,MATCH($CG15,$B$6:$B$53,0),COLUMN()-COLUMN($CI$5)+1),""))</f>
        <v/>
      </c>
      <c r="DW15" s="1753" t="str" cm="1">
        <f t="array" ref="DW15">IF($CG15="","",IF(INDEX($D$6:$CB$53,MATCH($CG15,$B$6:$B$53,0),COLUMN()-COLUMN($CI$5)+1)&gt;0,INDEX($D$6:$CB$53,MATCH($CG15,$B$6:$B$53,0),COLUMN()-COLUMN($CI$5)+1),""))</f>
        <v/>
      </c>
      <c r="DX15" s="1753" t="str" cm="1">
        <f t="array" ref="DX15">IF($CG15="","",IF(INDEX($D$6:$CB$53,MATCH($CG15,$B$6:$B$53,0),COLUMN()-COLUMN($CI$5)+1)&gt;0,INDEX($D$6:$CB$53,MATCH($CG15,$B$6:$B$53,0),COLUMN()-COLUMN($CI$5)+1),""))</f>
        <v/>
      </c>
      <c r="DY15" s="1753" t="str" cm="1">
        <f t="array" ref="DY15">IF($CG15="","",IF(INDEX($D$6:$CB$53,MATCH($CG15,$B$6:$B$53,0),COLUMN()-COLUMN($CI$5)+1)&gt;0,INDEX($D$6:$CB$53,MATCH($CG15,$B$6:$B$53,0),COLUMN()-COLUMN($CI$5)+1),""))</f>
        <v/>
      </c>
      <c r="DZ15" s="1753" t="str" cm="1">
        <f t="array" ref="DZ15">IF($CG15="","",IF(INDEX($D$6:$CB$53,MATCH($CG15,$B$6:$B$53,0),COLUMN()-COLUMN($CI$5)+1)&gt;0,INDEX($D$6:$CB$53,MATCH($CG15,$B$6:$B$53,0),COLUMN()-COLUMN($CI$5)+1),""))</f>
        <v/>
      </c>
      <c r="EA15" s="1753" t="str" cm="1">
        <f t="array" ref="EA15">IF($CG15="","",IF(INDEX($D$6:$CB$53,MATCH($CG15,$B$6:$B$53,0),COLUMN()-COLUMN($CI$5)+1)&gt;0,INDEX($D$6:$CB$53,MATCH($CG15,$B$6:$B$53,0),COLUMN()-COLUMN($CI$5)+1),""))</f>
        <v/>
      </c>
      <c r="EB15" s="1753" t="str" cm="1">
        <f t="array" ref="EB15">IF($CG15="","",IF(INDEX($D$6:$CB$53,MATCH($CG15,$B$6:$B$53,0),COLUMN()-COLUMN($CI$5)+1)&gt;0,INDEX($D$6:$CB$53,MATCH($CG15,$B$6:$B$53,0),COLUMN()-COLUMN($CI$5)+1),""))</f>
        <v/>
      </c>
      <c r="EC15" s="1753" t="str" cm="1">
        <f t="array" ref="EC15">IF($CG15="","",IF(INDEX($D$6:$CB$53,MATCH($CG15,$B$6:$B$53,0),COLUMN()-COLUMN($CI$5)+1)&gt;0,INDEX($D$6:$CB$53,MATCH($CG15,$B$6:$B$53,0),COLUMN()-COLUMN($CI$5)+1),""))</f>
        <v/>
      </c>
      <c r="ED15" s="1753" t="str" cm="1">
        <f t="array" ref="ED15">IF($CG15="","",IF(INDEX($D$6:$CB$53,MATCH($CG15,$B$6:$B$53,0),COLUMN()-COLUMN($CI$5)+1)&gt;0,INDEX($D$6:$CB$53,MATCH($CG15,$B$6:$B$53,0),COLUMN()-COLUMN($CI$5)+1),""))</f>
        <v/>
      </c>
      <c r="EE15" s="1753" t="str" cm="1">
        <f t="array" ref="EE15">IF($CG15="","",IF(INDEX($D$6:$CB$53,MATCH($CG15,$B$6:$B$53,0),COLUMN()-COLUMN($CI$5)+1)&gt;0,INDEX($D$6:$CB$53,MATCH($CG15,$B$6:$B$53,0),COLUMN()-COLUMN($CI$5)+1),""))</f>
        <v/>
      </c>
      <c r="EF15" s="1753" t="str" cm="1">
        <f t="array" ref="EF15">IF($CG15="","",IF(INDEX($D$6:$CB$53,MATCH($CG15,$B$6:$B$53,0),COLUMN()-COLUMN($CI$5)+1)&gt;0,INDEX($D$6:$CB$53,MATCH($CG15,$B$6:$B$53,0),COLUMN()-COLUMN($CI$5)+1),""))</f>
        <v/>
      </c>
      <c r="EG15" s="1753" t="str" cm="1">
        <f t="array" ref="EG15">IF($CG15="","",IF(INDEX($D$6:$CB$53,MATCH($CG15,$B$6:$B$53,0),COLUMN()-COLUMN($CI$5)+1)&gt;0,INDEX($D$6:$CB$53,MATCH($CG15,$B$6:$B$53,0),COLUMN()-COLUMN($CI$5)+1),""))</f>
        <v/>
      </c>
      <c r="EH15" s="1753" t="str" cm="1">
        <f t="array" ref="EH15">IF($CG15="","",IF(INDEX($D$6:$CB$53,MATCH($CG15,$B$6:$B$53,0),COLUMN()-COLUMN($CI$5)+1)&gt;0,INDEX($D$6:$CB$53,MATCH($CG15,$B$6:$B$53,0),COLUMN()-COLUMN($CI$5)+1),""))</f>
        <v/>
      </c>
      <c r="EI15" s="1753" t="str" cm="1">
        <f t="array" ref="EI15">IF($CG15="","",IF(INDEX($D$6:$CB$53,MATCH($CG15,$B$6:$B$53,0),COLUMN()-COLUMN($CI$5)+1)&gt;0,INDEX($D$6:$CB$53,MATCH($CG15,$B$6:$B$53,0),COLUMN()-COLUMN($CI$5)+1),""))</f>
        <v/>
      </c>
      <c r="EJ15" s="1753" t="str" cm="1">
        <f t="array" ref="EJ15">IF($CG15="","",IF(INDEX($D$6:$CB$53,MATCH($CG15,$B$6:$B$53,0),COLUMN()-COLUMN($CI$5)+1)&gt;0,INDEX($D$6:$CB$53,MATCH($CG15,$B$6:$B$53,0),COLUMN()-COLUMN($CI$5)+1),""))</f>
        <v/>
      </c>
      <c r="EK15" s="1753" t="str" cm="1">
        <f t="array" ref="EK15">IF($CG15="","",IF(INDEX($D$6:$CB$53,MATCH($CG15,$B$6:$B$53,0),COLUMN()-COLUMN($CI$5)+1)&gt;0,INDEX($D$6:$CB$53,MATCH($CG15,$B$6:$B$53,0),COLUMN()-COLUMN($CI$5)+1),""))</f>
        <v/>
      </c>
      <c r="EL15" s="1753" t="str" cm="1">
        <f t="array" ref="EL15">IF($CG15="","",IF(INDEX($D$6:$CB$53,MATCH($CG15,$B$6:$B$53,0),COLUMN()-COLUMN($CI$5)+1)&gt;0,INDEX($D$6:$CB$53,MATCH($CG15,$B$6:$B$53,0),COLUMN()-COLUMN($CI$5)+1),""))</f>
        <v/>
      </c>
      <c r="EM15" s="1753" t="str" cm="1">
        <f t="array" ref="EM15">IF($CG15="","",IF(INDEX($D$6:$CB$53,MATCH($CG15,$B$6:$B$53,0),COLUMN()-COLUMN($CI$5)+1)&gt;0,INDEX($D$6:$CB$53,MATCH($CG15,$B$6:$B$53,0),COLUMN()-COLUMN($CI$5)+1),""))</f>
        <v/>
      </c>
      <c r="EN15" s="1753" t="str" cm="1">
        <f t="array" ref="EN15">IF($CG15="","",IF(INDEX($D$6:$CB$53,MATCH($CG15,$B$6:$B$53,0),COLUMN()-COLUMN($CI$5)+1)&gt;0,INDEX($D$6:$CB$53,MATCH($CG15,$B$6:$B$53,0),COLUMN()-COLUMN($CI$5)+1),""))</f>
        <v/>
      </c>
      <c r="EO15" s="1753" t="str" cm="1">
        <f t="array" ref="EO15">IF($CG15="","",IF(INDEX($D$6:$CB$53,MATCH($CG15,$B$6:$B$53,0),COLUMN()-COLUMN($CI$5)+1)&gt;0,INDEX($D$6:$CB$53,MATCH($CG15,$B$6:$B$53,0),COLUMN()-COLUMN($CI$5)+1),""))</f>
        <v/>
      </c>
      <c r="EP15" s="1753" t="str" cm="1">
        <f t="array" ref="EP15">IF($CG15="","",IF(INDEX($D$6:$CB$53,MATCH($CG15,$B$6:$B$53,0),COLUMN()-COLUMN($CI$5)+1)&gt;0,INDEX($D$6:$CB$53,MATCH($CG15,$B$6:$B$53,0),COLUMN()-COLUMN($CI$5)+1),""))</f>
        <v/>
      </c>
      <c r="EQ15" s="1753" t="str" cm="1">
        <f t="array" ref="EQ15">IF($CG15="","",IF(INDEX($D$6:$CB$53,MATCH($CG15,$B$6:$B$53,0),COLUMN()-COLUMN($CI$5)+1)&gt;0,INDEX($D$6:$CB$53,MATCH($CG15,$B$6:$B$53,0),COLUMN()-COLUMN($CI$5)+1),""))</f>
        <v/>
      </c>
      <c r="ER15" s="1753" t="str" cm="1">
        <f t="array" ref="ER15">IF($CG15="","",IF(INDEX($D$6:$CB$53,MATCH($CG15,$B$6:$B$53,0),COLUMN()-COLUMN($CI$5)+1)&gt;0,INDEX($D$6:$CB$53,MATCH($CG15,$B$6:$B$53,0),COLUMN()-COLUMN($CI$5)+1),""))</f>
        <v/>
      </c>
      <c r="ES15" s="1753" t="str" cm="1">
        <f t="array" ref="ES15">IF($CG15="","",IF(INDEX($D$6:$CB$53,MATCH($CG15,$B$6:$B$53,0),COLUMN()-COLUMN($CI$5)+1)&gt;0,INDEX($D$6:$CB$53,MATCH($CG15,$B$6:$B$53,0),COLUMN()-COLUMN($CI$5)+1),""))</f>
        <v/>
      </c>
      <c r="ET15" s="1753" t="str" cm="1">
        <f t="array" ref="ET15">IF($CG15="","",IF(INDEX($D$6:$CB$53,MATCH($CG15,$B$6:$B$53,0),COLUMN()-COLUMN($CI$5)+1)&gt;0,INDEX($D$6:$CB$53,MATCH($CG15,$B$6:$B$53,0),COLUMN()-COLUMN($CI$5)+1),""))</f>
        <v/>
      </c>
      <c r="EU15" s="1753" t="str" cm="1">
        <f t="array" ref="EU15">IF($CG15="","",IF(INDEX($D$6:$CB$53,MATCH($CG15,$B$6:$B$53,0),COLUMN()-COLUMN($CI$5)+1)&gt;0,INDEX($D$6:$CB$53,MATCH($CG15,$B$6:$B$53,0),COLUMN()-COLUMN($CI$5)+1),""))</f>
        <v/>
      </c>
      <c r="EV15" s="1753" t="str" cm="1">
        <f t="array" ref="EV15">IF($CG15="","",IF(INDEX($D$6:$CB$53,MATCH($CG15,$B$6:$B$53,0),COLUMN()-COLUMN($CI$5)+1)&gt;0,INDEX($D$6:$CB$53,MATCH($CG15,$B$6:$B$53,0),COLUMN()-COLUMN($CI$5)+1),""))</f>
        <v/>
      </c>
      <c r="EW15" s="1753" t="str" cm="1">
        <f t="array" ref="EW15">IF($CG15="","",IF(INDEX($D$6:$CB$53,MATCH($CG15,$B$6:$B$53,0),COLUMN()-COLUMN($CI$5)+1)&gt;0,INDEX($D$6:$CB$53,MATCH($CG15,$B$6:$B$53,0),COLUMN()-COLUMN($CI$5)+1),""))</f>
        <v/>
      </c>
      <c r="EX15" s="1753" t="str" cm="1">
        <f t="array" ref="EX15">IF($CG15="","",IF(INDEX($D$6:$CB$53,MATCH($CG15,$B$6:$B$53,0),COLUMN()-COLUMN($CI$5)+1)&gt;0,INDEX($D$6:$CB$53,MATCH($CG15,$B$6:$B$53,0),COLUMN()-COLUMN($CI$5)+1),""))</f>
        <v/>
      </c>
      <c r="EY15" s="1753" t="str" cm="1">
        <f t="array" ref="EY15">IF($CG15="","",IF(INDEX($D$6:$CB$53,MATCH($CG15,$B$6:$B$53,0),COLUMN()-COLUMN($CI$5)+1)&gt;0,INDEX($D$6:$CB$53,MATCH($CG15,$B$6:$B$53,0),COLUMN()-COLUMN($CI$5)+1),""))</f>
        <v/>
      </c>
      <c r="EZ15" s="1753" t="str" cm="1">
        <f t="array" ref="EZ15">IF($CG15="","",IF(INDEX($D$6:$CB$53,MATCH($CG15,$B$6:$B$53,0),COLUMN()-COLUMN($CI$5)+1)&gt;0,INDEX($D$6:$CB$53,MATCH($CG15,$B$6:$B$53,0),COLUMN()-COLUMN($CI$5)+1),""))</f>
        <v/>
      </c>
      <c r="FA15" s="1753" t="str" cm="1">
        <f t="array" ref="FA15">IF($CG15="","",IF(INDEX($D$6:$CB$53,MATCH($CG15,$B$6:$B$53,0),COLUMN()-COLUMN($CI$5)+1)&gt;0,INDEX($D$6:$CB$53,MATCH($CG15,$B$6:$B$53,0),COLUMN()-COLUMN($CI$5)+1),""))</f>
        <v/>
      </c>
      <c r="FB15" s="1753" t="str" cm="1">
        <f t="array" ref="FB15">IF($CG15="","",IF(INDEX($D$6:$CB$53,MATCH($CG15,$B$6:$B$53,0),COLUMN()-COLUMN($CI$5)+1)&gt;0,INDEX($D$6:$CB$53,MATCH($CG15,$B$6:$B$53,0),COLUMN()-COLUMN($CI$5)+1),""))</f>
        <v/>
      </c>
      <c r="FC15" s="1753" t="str" cm="1">
        <f t="array" ref="FC15">IF($CG15="","",IF(INDEX($D$6:$CB$53,MATCH($CG15,$B$6:$B$53,0),COLUMN()-COLUMN($CI$5)+1)&gt;0,INDEX($D$6:$CB$53,MATCH($CG15,$B$6:$B$53,0),COLUMN()-COLUMN($CI$5)+1),""))</f>
        <v/>
      </c>
      <c r="FD15" s="1753" t="str" cm="1">
        <f t="array" ref="FD15">IF($CG15="","",IF(INDEX($D$6:$CB$53,MATCH($CG15,$B$6:$B$53,0),COLUMN()-COLUMN($CI$5)+1)&gt;0,INDEX($D$6:$CB$53,MATCH($CG15,$B$6:$B$53,0),COLUMN()-COLUMN($CI$5)+1),""))</f>
        <v/>
      </c>
      <c r="FE15" s="1753" t="str" cm="1">
        <f t="array" ref="FE15">IF($CG15="","",IF(INDEX($D$6:$CB$53,MATCH($CG15,$B$6:$B$53,0),COLUMN()-COLUMN($CI$5)+1)&gt;0,INDEX($D$6:$CB$53,MATCH($CG15,$B$6:$B$53,0),COLUMN()-COLUMN($CI$5)+1),""))</f>
        <v/>
      </c>
      <c r="FF15" s="1753" t="str" cm="1">
        <f t="array" ref="FF15">IF($CG15="","",IF(INDEX($D$6:$CB$53,MATCH($CG15,$B$6:$B$53,0),COLUMN()-COLUMN($CI$5)+1)&gt;0,INDEX($D$6:$CB$53,MATCH($CG15,$B$6:$B$53,0),COLUMN()-COLUMN($CI$5)+1),""))</f>
        <v/>
      </c>
      <c r="FG15" s="1758" t="str" cm="1">
        <f t="array" ref="FG15">IF($CG15="","",IF(INDEX($D$6:$CB$53,MATCH($CG15,$B$6:$B$53,0),COLUMN()-COLUMN($CI$5)+1)&gt;0,INDEX($D$6:$CB$53,MATCH($CG15,$B$6:$B$53,0),COLUMN()-COLUMN($CI$5)+1),""))</f>
        <v/>
      </c>
      <c r="FH15" s="1764" t="str">
        <f t="shared" si="4"/>
        <v/>
      </c>
      <c r="FI15" s="1756" t="str">
        <f t="shared" si="5"/>
        <v/>
      </c>
      <c r="FJ15" s="1767" t="str">
        <f t="shared" si="6"/>
        <v/>
      </c>
      <c r="FK15" s="1760"/>
    </row>
    <row r="16" spans="1:167" ht="15.75" customHeight="1">
      <c r="A16" s="1220"/>
      <c r="B16" s="1278">
        <f>+PP!B34</f>
        <v>11</v>
      </c>
      <c r="C16" s="1277" t="str">
        <f>+PP!C34</f>
        <v>BOTON BLANCO SM ST</v>
      </c>
      <c r="D16" s="1401"/>
      <c r="E16" s="1402"/>
      <c r="F16" s="1402"/>
      <c r="G16" s="1402"/>
      <c r="H16" s="1402"/>
      <c r="I16" s="1402"/>
      <c r="J16" s="1402"/>
      <c r="K16" s="1402"/>
      <c r="L16" s="1402"/>
      <c r="M16" s="1402"/>
      <c r="N16" s="1402"/>
      <c r="O16" s="1402"/>
      <c r="P16" s="1402"/>
      <c r="Q16" s="1402"/>
      <c r="R16" s="1402"/>
      <c r="S16" s="1402"/>
      <c r="T16" s="1402"/>
      <c r="U16" s="1402"/>
      <c r="V16" s="1402"/>
      <c r="W16" s="1402"/>
      <c r="X16" s="1402"/>
      <c r="Y16" s="1402"/>
      <c r="Z16" s="1402"/>
      <c r="AA16" s="1402"/>
      <c r="AB16" s="1402"/>
      <c r="AC16" s="1402"/>
      <c r="AD16" s="1402"/>
      <c r="AE16" s="1402"/>
      <c r="AF16" s="1402"/>
      <c r="AG16" s="1402"/>
      <c r="AH16" s="1403"/>
      <c r="AI16" s="1232"/>
      <c r="AJ16" s="1232"/>
      <c r="AK16" s="1232"/>
      <c r="AL16" s="1232"/>
      <c r="AM16" s="1232"/>
      <c r="AN16" s="1232"/>
      <c r="AO16" s="1232"/>
      <c r="AP16" s="1217"/>
      <c r="AQ16" s="1217"/>
      <c r="AR16" s="1217"/>
      <c r="AS16" s="1217"/>
      <c r="AT16" s="1217"/>
      <c r="AU16" s="1217"/>
      <c r="AV16" s="1217"/>
      <c r="AW16" s="1217"/>
      <c r="AX16" s="1217"/>
      <c r="AY16" s="1217"/>
      <c r="AZ16" s="1217"/>
      <c r="BA16" s="1217"/>
      <c r="BB16" s="1217"/>
      <c r="BC16" s="1217"/>
      <c r="BD16" s="1217"/>
      <c r="BE16" s="1217"/>
      <c r="BF16" s="1217"/>
      <c r="BG16" s="1217"/>
      <c r="BH16" s="1217"/>
      <c r="BI16" s="1217"/>
      <c r="BJ16" s="1217"/>
      <c r="BK16" s="1217"/>
      <c r="BL16" s="1217"/>
      <c r="BM16" s="1217"/>
      <c r="BN16" s="1217"/>
      <c r="BO16" s="1217"/>
      <c r="BP16" s="1217"/>
      <c r="BQ16" s="1217"/>
      <c r="BR16" s="1562"/>
      <c r="BS16" s="1562"/>
      <c r="BT16" s="1562"/>
      <c r="BU16" s="1562"/>
      <c r="BV16" s="1562"/>
      <c r="BW16" s="1562"/>
      <c r="BX16" s="1562"/>
      <c r="BY16" s="1562"/>
      <c r="BZ16" s="1562"/>
      <c r="CA16" s="1562"/>
      <c r="CB16" s="1563"/>
      <c r="CC16" s="1549">
        <f t="shared" si="0"/>
        <v>0</v>
      </c>
      <c r="CD16" s="1233">
        <f t="shared" si="1"/>
        <v>0</v>
      </c>
      <c r="CE16" s="1234">
        <f t="shared" si="2"/>
        <v>0</v>
      </c>
      <c r="CF16" s="1220"/>
      <c r="CG16" s="1751" t="str" cm="1">
        <f t="array" ref="CG16">IFERROR(INDEX($B$6:$B$53,_xlfn.AGGREGATE(15,6,(ROW($B$6:$B$53)-ROW($B$6)+1)/(MMULT(--($D$6:$CB$53&gt;0),TRANSPOSE(COLUMN($D$6:$CB$6)^0))&gt;0),ROWS($CG$6:CG16))),"")</f>
        <v/>
      </c>
      <c r="CH16" s="1752" t="str">
        <f t="shared" si="3"/>
        <v/>
      </c>
      <c r="CI16" s="1753" t="str" cm="1">
        <f t="array" ref="CI16">IF($CG16="","",IF(INDEX($D$6:$CB$53,MATCH($CG16,$B$6:$B$53,0),COLUMN()-COLUMN($CI$5)+1)&gt;0,INDEX($D$6:$CB$53,MATCH($CG16,$B$6:$B$53,0),COLUMN()-COLUMN($CI$5)+1),""))</f>
        <v/>
      </c>
      <c r="CJ16" s="1753" t="str" cm="1">
        <f t="array" ref="CJ16">IF($CG16="","",IF(INDEX($D$6:$CB$53,MATCH($CG16,$B$6:$B$53,0),COLUMN()-COLUMN($CI$5)+1)&gt;0,INDEX($D$6:$CB$53,MATCH($CG16,$B$6:$B$53,0),COLUMN()-COLUMN($CI$5)+1),""))</f>
        <v/>
      </c>
      <c r="CK16" s="1753" t="str" cm="1">
        <f t="array" ref="CK16">IF($CG16="","",IF(INDEX($D$6:$CB$53,MATCH($CG16,$B$6:$B$53,0),COLUMN()-COLUMN($CI$5)+1)&gt;0,INDEX($D$6:$CB$53,MATCH($CG16,$B$6:$B$53,0),COLUMN()-COLUMN($CI$5)+1),""))</f>
        <v/>
      </c>
      <c r="CL16" s="1753" t="str" cm="1">
        <f t="array" ref="CL16">IF($CG16="","",IF(INDEX($D$6:$CB$53,MATCH($CG16,$B$6:$B$53,0),COLUMN()-COLUMN($CI$5)+1)&gt;0,INDEX($D$6:$CB$53,MATCH($CG16,$B$6:$B$53,0),COLUMN()-COLUMN($CI$5)+1),""))</f>
        <v/>
      </c>
      <c r="CM16" s="1753" t="str" cm="1">
        <f t="array" ref="CM16">IF($CG16="","",IF(INDEX($D$6:$CB$53,MATCH($CG16,$B$6:$B$53,0),COLUMN()-COLUMN($CI$5)+1)&gt;0,INDEX($D$6:$CB$53,MATCH($CG16,$B$6:$B$53,0),COLUMN()-COLUMN($CI$5)+1),""))</f>
        <v/>
      </c>
      <c r="CN16" s="1753" t="str" cm="1">
        <f t="array" ref="CN16">IF($CG16="","",IF(INDEX($D$6:$CB$53,MATCH($CG16,$B$6:$B$53,0),COLUMN()-COLUMN($CI$5)+1)&gt;0,INDEX($D$6:$CB$53,MATCH($CG16,$B$6:$B$53,0),COLUMN()-COLUMN($CI$5)+1),""))</f>
        <v/>
      </c>
      <c r="CO16" s="1753" t="str" cm="1">
        <f t="array" ref="CO16">IF($CG16="","",IF(INDEX($D$6:$CB$53,MATCH($CG16,$B$6:$B$53,0),COLUMN()-COLUMN($CI$5)+1)&gt;0,INDEX($D$6:$CB$53,MATCH($CG16,$B$6:$B$53,0),COLUMN()-COLUMN($CI$5)+1),""))</f>
        <v/>
      </c>
      <c r="CP16" s="1753" t="str" cm="1">
        <f t="array" ref="CP16">IF($CG16="","",IF(INDEX($D$6:$CB$53,MATCH($CG16,$B$6:$B$53,0),COLUMN()-COLUMN($CI$5)+1)&gt;0,INDEX($D$6:$CB$53,MATCH($CG16,$B$6:$B$53,0),COLUMN()-COLUMN($CI$5)+1),""))</f>
        <v/>
      </c>
      <c r="CQ16" s="1753" t="str" cm="1">
        <f t="array" ref="CQ16">IF($CG16="","",IF(INDEX($D$6:$CB$53,MATCH($CG16,$B$6:$B$53,0),COLUMN()-COLUMN($CI$5)+1)&gt;0,INDEX($D$6:$CB$53,MATCH($CG16,$B$6:$B$53,0),COLUMN()-COLUMN($CI$5)+1),""))</f>
        <v/>
      </c>
      <c r="CR16" s="1753" t="str" cm="1">
        <f t="array" ref="CR16">IF($CG16="","",IF(INDEX($D$6:$CB$53,MATCH($CG16,$B$6:$B$53,0),COLUMN()-COLUMN($CI$5)+1)&gt;0,INDEX($D$6:$CB$53,MATCH($CG16,$B$6:$B$53,0),COLUMN()-COLUMN($CI$5)+1),""))</f>
        <v/>
      </c>
      <c r="CS16" s="1753" t="str" cm="1">
        <f t="array" ref="CS16">IF($CG16="","",IF(INDEX($D$6:$CB$53,MATCH($CG16,$B$6:$B$53,0),COLUMN()-COLUMN($CI$5)+1)&gt;0,INDEX($D$6:$CB$53,MATCH($CG16,$B$6:$B$53,0),COLUMN()-COLUMN($CI$5)+1),""))</f>
        <v/>
      </c>
      <c r="CT16" s="1753" t="str" cm="1">
        <f t="array" ref="CT16">IF($CG16="","",IF(INDEX($D$6:$CB$53,MATCH($CG16,$B$6:$B$53,0),COLUMN()-COLUMN($CI$5)+1)&gt;0,INDEX($D$6:$CB$53,MATCH($CG16,$B$6:$B$53,0),COLUMN()-COLUMN($CI$5)+1),""))</f>
        <v/>
      </c>
      <c r="CU16" s="1753" t="str" cm="1">
        <f t="array" ref="CU16">IF($CG16="","",IF(INDEX($D$6:$CB$53,MATCH($CG16,$B$6:$B$53,0),COLUMN()-COLUMN($CI$5)+1)&gt;0,INDEX($D$6:$CB$53,MATCH($CG16,$B$6:$B$53,0),COLUMN()-COLUMN($CI$5)+1),""))</f>
        <v/>
      </c>
      <c r="CV16" s="1753" t="str" cm="1">
        <f t="array" ref="CV16">IF($CG16="","",IF(INDEX($D$6:$CB$53,MATCH($CG16,$B$6:$B$53,0),COLUMN()-COLUMN($CI$5)+1)&gt;0,INDEX($D$6:$CB$53,MATCH($CG16,$B$6:$B$53,0),COLUMN()-COLUMN($CI$5)+1),""))</f>
        <v/>
      </c>
      <c r="CW16" s="1753" t="str" cm="1">
        <f t="array" ref="CW16">IF($CG16="","",IF(INDEX($D$6:$CB$53,MATCH($CG16,$B$6:$B$53,0),COLUMN()-COLUMN($CI$5)+1)&gt;0,INDEX($D$6:$CB$53,MATCH($CG16,$B$6:$B$53,0),COLUMN()-COLUMN($CI$5)+1),""))</f>
        <v/>
      </c>
      <c r="CX16" s="1753" t="str" cm="1">
        <f t="array" ref="CX16">IF($CG16="","",IF(INDEX($D$6:$CB$53,MATCH($CG16,$B$6:$B$53,0),COLUMN()-COLUMN($CI$5)+1)&gt;0,INDEX($D$6:$CB$53,MATCH($CG16,$B$6:$B$53,0),COLUMN()-COLUMN($CI$5)+1),""))</f>
        <v/>
      </c>
      <c r="CY16" s="1753" t="str" cm="1">
        <f t="array" ref="CY16">IF($CG16="","",IF(INDEX($D$6:$CB$53,MATCH($CG16,$B$6:$B$53,0),COLUMN()-COLUMN($CI$5)+1)&gt;0,INDEX($D$6:$CB$53,MATCH($CG16,$B$6:$B$53,0),COLUMN()-COLUMN($CI$5)+1),""))</f>
        <v/>
      </c>
      <c r="CZ16" s="1753" t="str" cm="1">
        <f t="array" ref="CZ16">IF($CG16="","",IF(INDEX($D$6:$CB$53,MATCH($CG16,$B$6:$B$53,0),COLUMN()-COLUMN($CI$5)+1)&gt;0,INDEX($D$6:$CB$53,MATCH($CG16,$B$6:$B$53,0),COLUMN()-COLUMN($CI$5)+1),""))</f>
        <v/>
      </c>
      <c r="DA16" s="1753" t="str" cm="1">
        <f t="array" ref="DA16">IF($CG16="","",IF(INDEX($D$6:$CB$53,MATCH($CG16,$B$6:$B$53,0),COLUMN()-COLUMN($CI$5)+1)&gt;0,INDEX($D$6:$CB$53,MATCH($CG16,$B$6:$B$53,0),COLUMN()-COLUMN($CI$5)+1),""))</f>
        <v/>
      </c>
      <c r="DB16" s="1753" t="str" cm="1">
        <f t="array" ref="DB16">IF($CG16="","",IF(INDEX($D$6:$CB$53,MATCH($CG16,$B$6:$B$53,0),COLUMN()-COLUMN($CI$5)+1)&gt;0,INDEX($D$6:$CB$53,MATCH($CG16,$B$6:$B$53,0),COLUMN()-COLUMN($CI$5)+1),""))</f>
        <v/>
      </c>
      <c r="DC16" s="1753" t="str" cm="1">
        <f t="array" ref="DC16">IF($CG16="","",IF(INDEX($D$6:$CB$53,MATCH($CG16,$B$6:$B$53,0),COLUMN()-COLUMN($CI$5)+1)&gt;0,INDEX($D$6:$CB$53,MATCH($CG16,$B$6:$B$53,0),COLUMN()-COLUMN($CI$5)+1),""))</f>
        <v/>
      </c>
      <c r="DD16" s="1753" t="str" cm="1">
        <f t="array" ref="DD16">IF($CG16="","",IF(INDEX($D$6:$CB$53,MATCH($CG16,$B$6:$B$53,0),COLUMN()-COLUMN($CI$5)+1)&gt;0,INDEX($D$6:$CB$53,MATCH($CG16,$B$6:$B$53,0),COLUMN()-COLUMN($CI$5)+1),""))</f>
        <v/>
      </c>
      <c r="DE16" s="1753" t="str" cm="1">
        <f t="array" ref="DE16">IF($CG16="","",IF(INDEX($D$6:$CB$53,MATCH($CG16,$B$6:$B$53,0),COLUMN()-COLUMN($CI$5)+1)&gt;0,INDEX($D$6:$CB$53,MATCH($CG16,$B$6:$B$53,0),COLUMN()-COLUMN($CI$5)+1),""))</f>
        <v/>
      </c>
      <c r="DF16" s="1753" t="str" cm="1">
        <f t="array" ref="DF16">IF($CG16="","",IF(INDEX($D$6:$CB$53,MATCH($CG16,$B$6:$B$53,0),COLUMN()-COLUMN($CI$5)+1)&gt;0,INDEX($D$6:$CB$53,MATCH($CG16,$B$6:$B$53,0),COLUMN()-COLUMN($CI$5)+1),""))</f>
        <v/>
      </c>
      <c r="DG16" s="1753" t="str" cm="1">
        <f t="array" ref="DG16">IF($CG16="","",IF(INDEX($D$6:$CB$53,MATCH($CG16,$B$6:$B$53,0),COLUMN()-COLUMN($CI$5)+1)&gt;0,INDEX($D$6:$CB$53,MATCH($CG16,$B$6:$B$53,0),COLUMN()-COLUMN($CI$5)+1),""))</f>
        <v/>
      </c>
      <c r="DH16" s="1753" t="str" cm="1">
        <f t="array" ref="DH16">IF($CG16="","",IF(INDEX($D$6:$CB$53,MATCH($CG16,$B$6:$B$53,0),COLUMN()-COLUMN($CI$5)+1)&gt;0,INDEX($D$6:$CB$53,MATCH($CG16,$B$6:$B$53,0),COLUMN()-COLUMN($CI$5)+1),""))</f>
        <v/>
      </c>
      <c r="DI16" s="1753" t="str" cm="1">
        <f t="array" ref="DI16">IF($CG16="","",IF(INDEX($D$6:$CB$53,MATCH($CG16,$B$6:$B$53,0),COLUMN()-COLUMN($CI$5)+1)&gt;0,INDEX($D$6:$CB$53,MATCH($CG16,$B$6:$B$53,0),COLUMN()-COLUMN($CI$5)+1),""))</f>
        <v/>
      </c>
      <c r="DJ16" s="1753" t="str" cm="1">
        <f t="array" ref="DJ16">IF($CG16="","",IF(INDEX($D$6:$CB$53,MATCH($CG16,$B$6:$B$53,0),COLUMN()-COLUMN($CI$5)+1)&gt;0,INDEX($D$6:$CB$53,MATCH($CG16,$B$6:$B$53,0),COLUMN()-COLUMN($CI$5)+1),""))</f>
        <v/>
      </c>
      <c r="DK16" s="1753" t="str" cm="1">
        <f t="array" ref="DK16">IF($CG16="","",IF(INDEX($D$6:$CB$53,MATCH($CG16,$B$6:$B$53,0),COLUMN()-COLUMN($CI$5)+1)&gt;0,INDEX($D$6:$CB$53,MATCH($CG16,$B$6:$B$53,0),COLUMN()-COLUMN($CI$5)+1),""))</f>
        <v/>
      </c>
      <c r="DL16" s="1753" t="str" cm="1">
        <f t="array" ref="DL16">IF($CG16="","",IF(INDEX($D$6:$CB$53,MATCH($CG16,$B$6:$B$53,0),COLUMN()-COLUMN($CI$5)+1)&gt;0,INDEX($D$6:$CB$53,MATCH($CG16,$B$6:$B$53,0),COLUMN()-COLUMN($CI$5)+1),""))</f>
        <v/>
      </c>
      <c r="DM16" s="1753" t="str" cm="1">
        <f t="array" ref="DM16">IF($CG16="","",IF(INDEX($D$6:$CB$53,MATCH($CG16,$B$6:$B$53,0),COLUMN()-COLUMN($CI$5)+1)&gt;0,INDEX($D$6:$CB$53,MATCH($CG16,$B$6:$B$53,0),COLUMN()-COLUMN($CI$5)+1),""))</f>
        <v/>
      </c>
      <c r="DN16" s="1753" t="str" cm="1">
        <f t="array" ref="DN16">IF($CG16="","",IF(INDEX($D$6:$CB$53,MATCH($CG16,$B$6:$B$53,0),COLUMN()-COLUMN($CI$5)+1)&gt;0,INDEX($D$6:$CB$53,MATCH($CG16,$B$6:$B$53,0),COLUMN()-COLUMN($CI$5)+1),""))</f>
        <v/>
      </c>
      <c r="DO16" s="1753" t="str" cm="1">
        <f t="array" ref="DO16">IF($CG16="","",IF(INDEX($D$6:$CB$53,MATCH($CG16,$B$6:$B$53,0),COLUMN()-COLUMN($CI$5)+1)&gt;0,INDEX($D$6:$CB$53,MATCH($CG16,$B$6:$B$53,0),COLUMN()-COLUMN($CI$5)+1),""))</f>
        <v/>
      </c>
      <c r="DP16" s="1753" t="str" cm="1">
        <f t="array" ref="DP16">IF($CG16="","",IF(INDEX($D$6:$CB$53,MATCH($CG16,$B$6:$B$53,0),COLUMN()-COLUMN($CI$5)+1)&gt;0,INDEX($D$6:$CB$53,MATCH($CG16,$B$6:$B$53,0),COLUMN()-COLUMN($CI$5)+1),""))</f>
        <v/>
      </c>
      <c r="DQ16" s="1753" t="str" cm="1">
        <f t="array" ref="DQ16">IF($CG16="","",IF(INDEX($D$6:$CB$53,MATCH($CG16,$B$6:$B$53,0),COLUMN()-COLUMN($CI$5)+1)&gt;0,INDEX($D$6:$CB$53,MATCH($CG16,$B$6:$B$53,0),COLUMN()-COLUMN($CI$5)+1),""))</f>
        <v/>
      </c>
      <c r="DR16" s="1753" t="str" cm="1">
        <f t="array" ref="DR16">IF($CG16="","",IF(INDEX($D$6:$CB$53,MATCH($CG16,$B$6:$B$53,0),COLUMN()-COLUMN($CI$5)+1)&gt;0,INDEX($D$6:$CB$53,MATCH($CG16,$B$6:$B$53,0),COLUMN()-COLUMN($CI$5)+1),""))</f>
        <v/>
      </c>
      <c r="DS16" s="1753" t="str" cm="1">
        <f t="array" ref="DS16">IF($CG16="","",IF(INDEX($D$6:$CB$53,MATCH($CG16,$B$6:$B$53,0),COLUMN()-COLUMN($CI$5)+1)&gt;0,INDEX($D$6:$CB$53,MATCH($CG16,$B$6:$B$53,0),COLUMN()-COLUMN($CI$5)+1),""))</f>
        <v/>
      </c>
      <c r="DT16" s="1753" t="str" cm="1">
        <f t="array" ref="DT16">IF($CG16="","",IF(INDEX($D$6:$CB$53,MATCH($CG16,$B$6:$B$53,0),COLUMN()-COLUMN($CI$5)+1)&gt;0,INDEX($D$6:$CB$53,MATCH($CG16,$B$6:$B$53,0),COLUMN()-COLUMN($CI$5)+1),""))</f>
        <v/>
      </c>
      <c r="DU16" s="1753" t="str" cm="1">
        <f t="array" ref="DU16">IF($CG16="","",IF(INDEX($D$6:$CB$53,MATCH($CG16,$B$6:$B$53,0),COLUMN()-COLUMN($CI$5)+1)&gt;0,INDEX($D$6:$CB$53,MATCH($CG16,$B$6:$B$53,0),COLUMN()-COLUMN($CI$5)+1),""))</f>
        <v/>
      </c>
      <c r="DV16" s="1753" t="str" cm="1">
        <f t="array" ref="DV16">IF($CG16="","",IF(INDEX($D$6:$CB$53,MATCH($CG16,$B$6:$B$53,0),COLUMN()-COLUMN($CI$5)+1)&gt;0,INDEX($D$6:$CB$53,MATCH($CG16,$B$6:$B$53,0),COLUMN()-COLUMN($CI$5)+1),""))</f>
        <v/>
      </c>
      <c r="DW16" s="1753" t="str" cm="1">
        <f t="array" ref="DW16">IF($CG16="","",IF(INDEX($D$6:$CB$53,MATCH($CG16,$B$6:$B$53,0),COLUMN()-COLUMN($CI$5)+1)&gt;0,INDEX($D$6:$CB$53,MATCH($CG16,$B$6:$B$53,0),COLUMN()-COLUMN($CI$5)+1),""))</f>
        <v/>
      </c>
      <c r="DX16" s="1753" t="str" cm="1">
        <f t="array" ref="DX16">IF($CG16="","",IF(INDEX($D$6:$CB$53,MATCH($CG16,$B$6:$B$53,0),COLUMN()-COLUMN($CI$5)+1)&gt;0,INDEX($D$6:$CB$53,MATCH($CG16,$B$6:$B$53,0),COLUMN()-COLUMN($CI$5)+1),""))</f>
        <v/>
      </c>
      <c r="DY16" s="1753" t="str" cm="1">
        <f t="array" ref="DY16">IF($CG16="","",IF(INDEX($D$6:$CB$53,MATCH($CG16,$B$6:$B$53,0),COLUMN()-COLUMN($CI$5)+1)&gt;0,INDEX($D$6:$CB$53,MATCH($CG16,$B$6:$B$53,0),COLUMN()-COLUMN($CI$5)+1),""))</f>
        <v/>
      </c>
      <c r="DZ16" s="1753" t="str" cm="1">
        <f t="array" ref="DZ16">IF($CG16="","",IF(INDEX($D$6:$CB$53,MATCH($CG16,$B$6:$B$53,0),COLUMN()-COLUMN($CI$5)+1)&gt;0,INDEX($D$6:$CB$53,MATCH($CG16,$B$6:$B$53,0),COLUMN()-COLUMN($CI$5)+1),""))</f>
        <v/>
      </c>
      <c r="EA16" s="1753" t="str" cm="1">
        <f t="array" ref="EA16">IF($CG16="","",IF(INDEX($D$6:$CB$53,MATCH($CG16,$B$6:$B$53,0),COLUMN()-COLUMN($CI$5)+1)&gt;0,INDEX($D$6:$CB$53,MATCH($CG16,$B$6:$B$53,0),COLUMN()-COLUMN($CI$5)+1),""))</f>
        <v/>
      </c>
      <c r="EB16" s="1753" t="str" cm="1">
        <f t="array" ref="EB16">IF($CG16="","",IF(INDEX($D$6:$CB$53,MATCH($CG16,$B$6:$B$53,0),COLUMN()-COLUMN($CI$5)+1)&gt;0,INDEX($D$6:$CB$53,MATCH($CG16,$B$6:$B$53,0),COLUMN()-COLUMN($CI$5)+1),""))</f>
        <v/>
      </c>
      <c r="EC16" s="1753" t="str" cm="1">
        <f t="array" ref="EC16">IF($CG16="","",IF(INDEX($D$6:$CB$53,MATCH($CG16,$B$6:$B$53,0),COLUMN()-COLUMN($CI$5)+1)&gt;0,INDEX($D$6:$CB$53,MATCH($CG16,$B$6:$B$53,0),COLUMN()-COLUMN($CI$5)+1),""))</f>
        <v/>
      </c>
      <c r="ED16" s="1753" t="str" cm="1">
        <f t="array" ref="ED16">IF($CG16="","",IF(INDEX($D$6:$CB$53,MATCH($CG16,$B$6:$B$53,0),COLUMN()-COLUMN($CI$5)+1)&gt;0,INDEX($D$6:$CB$53,MATCH($CG16,$B$6:$B$53,0),COLUMN()-COLUMN($CI$5)+1),""))</f>
        <v/>
      </c>
      <c r="EE16" s="1753" t="str" cm="1">
        <f t="array" ref="EE16">IF($CG16="","",IF(INDEX($D$6:$CB$53,MATCH($CG16,$B$6:$B$53,0),COLUMN()-COLUMN($CI$5)+1)&gt;0,INDEX($D$6:$CB$53,MATCH($CG16,$B$6:$B$53,0),COLUMN()-COLUMN($CI$5)+1),""))</f>
        <v/>
      </c>
      <c r="EF16" s="1753" t="str" cm="1">
        <f t="array" ref="EF16">IF($CG16="","",IF(INDEX($D$6:$CB$53,MATCH($CG16,$B$6:$B$53,0),COLUMN()-COLUMN($CI$5)+1)&gt;0,INDEX($D$6:$CB$53,MATCH($CG16,$B$6:$B$53,0),COLUMN()-COLUMN($CI$5)+1),""))</f>
        <v/>
      </c>
      <c r="EG16" s="1753" t="str" cm="1">
        <f t="array" ref="EG16">IF($CG16="","",IF(INDEX($D$6:$CB$53,MATCH($CG16,$B$6:$B$53,0),COLUMN()-COLUMN($CI$5)+1)&gt;0,INDEX($D$6:$CB$53,MATCH($CG16,$B$6:$B$53,0),COLUMN()-COLUMN($CI$5)+1),""))</f>
        <v/>
      </c>
      <c r="EH16" s="1753" t="str" cm="1">
        <f t="array" ref="EH16">IF($CG16="","",IF(INDEX($D$6:$CB$53,MATCH($CG16,$B$6:$B$53,0),COLUMN()-COLUMN($CI$5)+1)&gt;0,INDEX($D$6:$CB$53,MATCH($CG16,$B$6:$B$53,0),COLUMN()-COLUMN($CI$5)+1),""))</f>
        <v/>
      </c>
      <c r="EI16" s="1753" t="str" cm="1">
        <f t="array" ref="EI16">IF($CG16="","",IF(INDEX($D$6:$CB$53,MATCH($CG16,$B$6:$B$53,0),COLUMN()-COLUMN($CI$5)+1)&gt;0,INDEX($D$6:$CB$53,MATCH($CG16,$B$6:$B$53,0),COLUMN()-COLUMN($CI$5)+1),""))</f>
        <v/>
      </c>
      <c r="EJ16" s="1753" t="str" cm="1">
        <f t="array" ref="EJ16">IF($CG16="","",IF(INDEX($D$6:$CB$53,MATCH($CG16,$B$6:$B$53,0),COLUMN()-COLUMN($CI$5)+1)&gt;0,INDEX($D$6:$CB$53,MATCH($CG16,$B$6:$B$53,0),COLUMN()-COLUMN($CI$5)+1),""))</f>
        <v/>
      </c>
      <c r="EK16" s="1753" t="str" cm="1">
        <f t="array" ref="EK16">IF($CG16="","",IF(INDEX($D$6:$CB$53,MATCH($CG16,$B$6:$B$53,0),COLUMN()-COLUMN($CI$5)+1)&gt;0,INDEX($D$6:$CB$53,MATCH($CG16,$B$6:$B$53,0),COLUMN()-COLUMN($CI$5)+1),""))</f>
        <v/>
      </c>
      <c r="EL16" s="1753" t="str" cm="1">
        <f t="array" ref="EL16">IF($CG16="","",IF(INDEX($D$6:$CB$53,MATCH($CG16,$B$6:$B$53,0),COLUMN()-COLUMN($CI$5)+1)&gt;0,INDEX($D$6:$CB$53,MATCH($CG16,$B$6:$B$53,0),COLUMN()-COLUMN($CI$5)+1),""))</f>
        <v/>
      </c>
      <c r="EM16" s="1753" t="str" cm="1">
        <f t="array" ref="EM16">IF($CG16="","",IF(INDEX($D$6:$CB$53,MATCH($CG16,$B$6:$B$53,0),COLUMN()-COLUMN($CI$5)+1)&gt;0,INDEX($D$6:$CB$53,MATCH($CG16,$B$6:$B$53,0),COLUMN()-COLUMN($CI$5)+1),""))</f>
        <v/>
      </c>
      <c r="EN16" s="1753" t="str" cm="1">
        <f t="array" ref="EN16">IF($CG16="","",IF(INDEX($D$6:$CB$53,MATCH($CG16,$B$6:$B$53,0),COLUMN()-COLUMN($CI$5)+1)&gt;0,INDEX($D$6:$CB$53,MATCH($CG16,$B$6:$B$53,0),COLUMN()-COLUMN($CI$5)+1),""))</f>
        <v/>
      </c>
      <c r="EO16" s="1753" t="str" cm="1">
        <f t="array" ref="EO16">IF($CG16="","",IF(INDEX($D$6:$CB$53,MATCH($CG16,$B$6:$B$53,0),COLUMN()-COLUMN($CI$5)+1)&gt;0,INDEX($D$6:$CB$53,MATCH($CG16,$B$6:$B$53,0),COLUMN()-COLUMN($CI$5)+1),""))</f>
        <v/>
      </c>
      <c r="EP16" s="1753" t="str" cm="1">
        <f t="array" ref="EP16">IF($CG16="","",IF(INDEX($D$6:$CB$53,MATCH($CG16,$B$6:$B$53,0),COLUMN()-COLUMN($CI$5)+1)&gt;0,INDEX($D$6:$CB$53,MATCH($CG16,$B$6:$B$53,0),COLUMN()-COLUMN($CI$5)+1),""))</f>
        <v/>
      </c>
      <c r="EQ16" s="1753" t="str" cm="1">
        <f t="array" ref="EQ16">IF($CG16="","",IF(INDEX($D$6:$CB$53,MATCH($CG16,$B$6:$B$53,0),COLUMN()-COLUMN($CI$5)+1)&gt;0,INDEX($D$6:$CB$53,MATCH($CG16,$B$6:$B$53,0),COLUMN()-COLUMN($CI$5)+1),""))</f>
        <v/>
      </c>
      <c r="ER16" s="1753" t="str" cm="1">
        <f t="array" ref="ER16">IF($CG16="","",IF(INDEX($D$6:$CB$53,MATCH($CG16,$B$6:$B$53,0),COLUMN()-COLUMN($CI$5)+1)&gt;0,INDEX($D$6:$CB$53,MATCH($CG16,$B$6:$B$53,0),COLUMN()-COLUMN($CI$5)+1),""))</f>
        <v/>
      </c>
      <c r="ES16" s="1753" t="str" cm="1">
        <f t="array" ref="ES16">IF($CG16="","",IF(INDEX($D$6:$CB$53,MATCH($CG16,$B$6:$B$53,0),COLUMN()-COLUMN($CI$5)+1)&gt;0,INDEX($D$6:$CB$53,MATCH($CG16,$B$6:$B$53,0),COLUMN()-COLUMN($CI$5)+1),""))</f>
        <v/>
      </c>
      <c r="ET16" s="1753" t="str" cm="1">
        <f t="array" ref="ET16">IF($CG16="","",IF(INDEX($D$6:$CB$53,MATCH($CG16,$B$6:$B$53,0),COLUMN()-COLUMN($CI$5)+1)&gt;0,INDEX($D$6:$CB$53,MATCH($CG16,$B$6:$B$53,0),COLUMN()-COLUMN($CI$5)+1),""))</f>
        <v/>
      </c>
      <c r="EU16" s="1753" t="str" cm="1">
        <f t="array" ref="EU16">IF($CG16="","",IF(INDEX($D$6:$CB$53,MATCH($CG16,$B$6:$B$53,0),COLUMN()-COLUMN($CI$5)+1)&gt;0,INDEX($D$6:$CB$53,MATCH($CG16,$B$6:$B$53,0),COLUMN()-COLUMN($CI$5)+1),""))</f>
        <v/>
      </c>
      <c r="EV16" s="1753" t="str" cm="1">
        <f t="array" ref="EV16">IF($CG16="","",IF(INDEX($D$6:$CB$53,MATCH($CG16,$B$6:$B$53,0),COLUMN()-COLUMN($CI$5)+1)&gt;0,INDEX($D$6:$CB$53,MATCH($CG16,$B$6:$B$53,0),COLUMN()-COLUMN($CI$5)+1),""))</f>
        <v/>
      </c>
      <c r="EW16" s="1753" t="str" cm="1">
        <f t="array" ref="EW16">IF($CG16="","",IF(INDEX($D$6:$CB$53,MATCH($CG16,$B$6:$B$53,0),COLUMN()-COLUMN($CI$5)+1)&gt;0,INDEX($D$6:$CB$53,MATCH($CG16,$B$6:$B$53,0),COLUMN()-COLUMN($CI$5)+1),""))</f>
        <v/>
      </c>
      <c r="EX16" s="1753" t="str" cm="1">
        <f t="array" ref="EX16">IF($CG16="","",IF(INDEX($D$6:$CB$53,MATCH($CG16,$B$6:$B$53,0),COLUMN()-COLUMN($CI$5)+1)&gt;0,INDEX($D$6:$CB$53,MATCH($CG16,$B$6:$B$53,0),COLUMN()-COLUMN($CI$5)+1),""))</f>
        <v/>
      </c>
      <c r="EY16" s="1753" t="str" cm="1">
        <f t="array" ref="EY16">IF($CG16="","",IF(INDEX($D$6:$CB$53,MATCH($CG16,$B$6:$B$53,0),COLUMN()-COLUMN($CI$5)+1)&gt;0,INDEX($D$6:$CB$53,MATCH($CG16,$B$6:$B$53,0),COLUMN()-COLUMN($CI$5)+1),""))</f>
        <v/>
      </c>
      <c r="EZ16" s="1753" t="str" cm="1">
        <f t="array" ref="EZ16">IF($CG16="","",IF(INDEX($D$6:$CB$53,MATCH($CG16,$B$6:$B$53,0),COLUMN()-COLUMN($CI$5)+1)&gt;0,INDEX($D$6:$CB$53,MATCH($CG16,$B$6:$B$53,0),COLUMN()-COLUMN($CI$5)+1),""))</f>
        <v/>
      </c>
      <c r="FA16" s="1753" t="str" cm="1">
        <f t="array" ref="FA16">IF($CG16="","",IF(INDEX($D$6:$CB$53,MATCH($CG16,$B$6:$B$53,0),COLUMN()-COLUMN($CI$5)+1)&gt;0,INDEX($D$6:$CB$53,MATCH($CG16,$B$6:$B$53,0),COLUMN()-COLUMN($CI$5)+1),""))</f>
        <v/>
      </c>
      <c r="FB16" s="1753" t="str" cm="1">
        <f t="array" ref="FB16">IF($CG16="","",IF(INDEX($D$6:$CB$53,MATCH($CG16,$B$6:$B$53,0),COLUMN()-COLUMN($CI$5)+1)&gt;0,INDEX($D$6:$CB$53,MATCH($CG16,$B$6:$B$53,0),COLUMN()-COLUMN($CI$5)+1),""))</f>
        <v/>
      </c>
      <c r="FC16" s="1753" t="str" cm="1">
        <f t="array" ref="FC16">IF($CG16="","",IF(INDEX($D$6:$CB$53,MATCH($CG16,$B$6:$B$53,0),COLUMN()-COLUMN($CI$5)+1)&gt;0,INDEX($D$6:$CB$53,MATCH($CG16,$B$6:$B$53,0),COLUMN()-COLUMN($CI$5)+1),""))</f>
        <v/>
      </c>
      <c r="FD16" s="1753" t="str" cm="1">
        <f t="array" ref="FD16">IF($CG16="","",IF(INDEX($D$6:$CB$53,MATCH($CG16,$B$6:$B$53,0),COLUMN()-COLUMN($CI$5)+1)&gt;0,INDEX($D$6:$CB$53,MATCH($CG16,$B$6:$B$53,0),COLUMN()-COLUMN($CI$5)+1),""))</f>
        <v/>
      </c>
      <c r="FE16" s="1753" t="str" cm="1">
        <f t="array" ref="FE16">IF($CG16="","",IF(INDEX($D$6:$CB$53,MATCH($CG16,$B$6:$B$53,0),COLUMN()-COLUMN($CI$5)+1)&gt;0,INDEX($D$6:$CB$53,MATCH($CG16,$B$6:$B$53,0),COLUMN()-COLUMN($CI$5)+1),""))</f>
        <v/>
      </c>
      <c r="FF16" s="1753" t="str" cm="1">
        <f t="array" ref="FF16">IF($CG16="","",IF(INDEX($D$6:$CB$53,MATCH($CG16,$B$6:$B$53,0),COLUMN()-COLUMN($CI$5)+1)&gt;0,INDEX($D$6:$CB$53,MATCH($CG16,$B$6:$B$53,0),COLUMN()-COLUMN($CI$5)+1),""))</f>
        <v/>
      </c>
      <c r="FG16" s="1758" t="str" cm="1">
        <f t="array" ref="FG16">IF($CG16="","",IF(INDEX($D$6:$CB$53,MATCH($CG16,$B$6:$B$53,0),COLUMN()-COLUMN($CI$5)+1)&gt;0,INDEX($D$6:$CB$53,MATCH($CG16,$B$6:$B$53,0),COLUMN()-COLUMN($CI$5)+1),""))</f>
        <v/>
      </c>
      <c r="FH16" s="1764" t="str">
        <f t="shared" si="4"/>
        <v/>
      </c>
      <c r="FI16" s="1756" t="str">
        <f t="shared" si="5"/>
        <v/>
      </c>
      <c r="FJ16" s="1767" t="str">
        <f t="shared" si="6"/>
        <v/>
      </c>
      <c r="FK16" s="1760"/>
    </row>
    <row r="17" spans="1:167" ht="15.75" customHeight="1" thickBot="1">
      <c r="A17" s="1220"/>
      <c r="B17" s="1278">
        <f>+PP!B35</f>
        <v>12</v>
      </c>
      <c r="C17" s="1280" t="str">
        <f>+PP!C35</f>
        <v>BOTON AMARILLO SM ST</v>
      </c>
      <c r="D17" s="1407"/>
      <c r="E17" s="1408"/>
      <c r="F17" s="1408"/>
      <c r="G17" s="1408"/>
      <c r="H17" s="1408"/>
      <c r="I17" s="1408"/>
      <c r="J17" s="1408"/>
      <c r="K17" s="1408"/>
      <c r="L17" s="1408"/>
      <c r="M17" s="1408"/>
      <c r="N17" s="1408"/>
      <c r="O17" s="1408"/>
      <c r="P17" s="1408"/>
      <c r="Q17" s="1408"/>
      <c r="R17" s="1408"/>
      <c r="S17" s="1408"/>
      <c r="T17" s="1408"/>
      <c r="U17" s="1408"/>
      <c r="V17" s="1408"/>
      <c r="W17" s="1408"/>
      <c r="X17" s="1408"/>
      <c r="Y17" s="1408"/>
      <c r="Z17" s="1408"/>
      <c r="AA17" s="1408"/>
      <c r="AB17" s="1408"/>
      <c r="AC17" s="1408"/>
      <c r="AD17" s="1408"/>
      <c r="AE17" s="1408"/>
      <c r="AF17" s="1408"/>
      <c r="AG17" s="1408"/>
      <c r="AH17" s="1409"/>
      <c r="AI17" s="1238"/>
      <c r="AJ17" s="1238"/>
      <c r="AK17" s="1238"/>
      <c r="AL17" s="1238"/>
      <c r="AM17" s="1238"/>
      <c r="AN17" s="1238"/>
      <c r="AO17" s="1238"/>
      <c r="AP17" s="1219"/>
      <c r="AQ17" s="1219"/>
      <c r="AR17" s="1219"/>
      <c r="AS17" s="1219"/>
      <c r="AT17" s="1219"/>
      <c r="AU17" s="1219"/>
      <c r="AV17" s="1219"/>
      <c r="AW17" s="1219"/>
      <c r="AX17" s="1219"/>
      <c r="AY17" s="1219"/>
      <c r="AZ17" s="1219"/>
      <c r="BA17" s="1219"/>
      <c r="BB17" s="1219"/>
      <c r="BC17" s="1219"/>
      <c r="BD17" s="1219"/>
      <c r="BE17" s="1219"/>
      <c r="BF17" s="1219"/>
      <c r="BG17" s="1219"/>
      <c r="BH17" s="1219"/>
      <c r="BI17" s="1219"/>
      <c r="BJ17" s="1219"/>
      <c r="BK17" s="1219"/>
      <c r="BL17" s="1219"/>
      <c r="BM17" s="1219"/>
      <c r="BN17" s="1219"/>
      <c r="BO17" s="1219"/>
      <c r="BP17" s="1219"/>
      <c r="BQ17" s="1219"/>
      <c r="BR17" s="1565"/>
      <c r="BS17" s="1565"/>
      <c r="BT17" s="1565"/>
      <c r="BU17" s="1565"/>
      <c r="BV17" s="1565"/>
      <c r="BW17" s="1565"/>
      <c r="BX17" s="1565"/>
      <c r="BY17" s="1565"/>
      <c r="BZ17" s="1565"/>
      <c r="CA17" s="1565"/>
      <c r="CB17" s="1566"/>
      <c r="CC17" s="1551">
        <f t="shared" si="0"/>
        <v>0</v>
      </c>
      <c r="CD17" s="1239">
        <f t="shared" si="1"/>
        <v>0</v>
      </c>
      <c r="CE17" s="1240">
        <f t="shared" si="2"/>
        <v>0</v>
      </c>
      <c r="CF17" s="1220"/>
      <c r="CG17" s="1751" t="str" cm="1">
        <f t="array" ref="CG17">IFERROR(INDEX($B$6:$B$53,_xlfn.AGGREGATE(15,6,(ROW($B$6:$B$53)-ROW($B$6)+1)/(MMULT(--($D$6:$CB$53&gt;0),TRANSPOSE(COLUMN($D$6:$CB$6)^0))&gt;0),ROWS($CG$6:CG17))),"")</f>
        <v/>
      </c>
      <c r="CH17" s="1752" t="str">
        <f t="shared" si="3"/>
        <v/>
      </c>
      <c r="CI17" s="1753" t="str" cm="1">
        <f t="array" ref="CI17">IF($CG17="","",IF(INDEX($D$6:$CB$53,MATCH($CG17,$B$6:$B$53,0),COLUMN()-COLUMN($CI$5)+1)&gt;0,INDEX($D$6:$CB$53,MATCH($CG17,$B$6:$B$53,0),COLUMN()-COLUMN($CI$5)+1),""))</f>
        <v/>
      </c>
      <c r="CJ17" s="1753" t="str" cm="1">
        <f t="array" ref="CJ17">IF($CG17="","",IF(INDEX($D$6:$CB$53,MATCH($CG17,$B$6:$B$53,0),COLUMN()-COLUMN($CI$5)+1)&gt;0,INDEX($D$6:$CB$53,MATCH($CG17,$B$6:$B$53,0),COLUMN()-COLUMN($CI$5)+1),""))</f>
        <v/>
      </c>
      <c r="CK17" s="1753" t="str" cm="1">
        <f t="array" ref="CK17">IF($CG17="","",IF(INDEX($D$6:$CB$53,MATCH($CG17,$B$6:$B$53,0),COLUMN()-COLUMN($CI$5)+1)&gt;0,INDEX($D$6:$CB$53,MATCH($CG17,$B$6:$B$53,0),COLUMN()-COLUMN($CI$5)+1),""))</f>
        <v/>
      </c>
      <c r="CL17" s="1753" t="str" cm="1">
        <f t="array" ref="CL17">IF($CG17="","",IF(INDEX($D$6:$CB$53,MATCH($CG17,$B$6:$B$53,0),COLUMN()-COLUMN($CI$5)+1)&gt;0,INDEX($D$6:$CB$53,MATCH($CG17,$B$6:$B$53,0),COLUMN()-COLUMN($CI$5)+1),""))</f>
        <v/>
      </c>
      <c r="CM17" s="1753" t="str" cm="1">
        <f t="array" ref="CM17">IF($CG17="","",IF(INDEX($D$6:$CB$53,MATCH($CG17,$B$6:$B$53,0),COLUMN()-COLUMN($CI$5)+1)&gt;0,INDEX($D$6:$CB$53,MATCH($CG17,$B$6:$B$53,0),COLUMN()-COLUMN($CI$5)+1),""))</f>
        <v/>
      </c>
      <c r="CN17" s="1753" t="str" cm="1">
        <f t="array" ref="CN17">IF($CG17="","",IF(INDEX($D$6:$CB$53,MATCH($CG17,$B$6:$B$53,0),COLUMN()-COLUMN($CI$5)+1)&gt;0,INDEX($D$6:$CB$53,MATCH($CG17,$B$6:$B$53,0),COLUMN()-COLUMN($CI$5)+1),""))</f>
        <v/>
      </c>
      <c r="CO17" s="1753" t="str" cm="1">
        <f t="array" ref="CO17">IF($CG17="","",IF(INDEX($D$6:$CB$53,MATCH($CG17,$B$6:$B$53,0),COLUMN()-COLUMN($CI$5)+1)&gt;0,INDEX($D$6:$CB$53,MATCH($CG17,$B$6:$B$53,0),COLUMN()-COLUMN($CI$5)+1),""))</f>
        <v/>
      </c>
      <c r="CP17" s="1753" t="str" cm="1">
        <f t="array" ref="CP17">IF($CG17="","",IF(INDEX($D$6:$CB$53,MATCH($CG17,$B$6:$B$53,0),COLUMN()-COLUMN($CI$5)+1)&gt;0,INDEX($D$6:$CB$53,MATCH($CG17,$B$6:$B$53,0),COLUMN()-COLUMN($CI$5)+1),""))</f>
        <v/>
      </c>
      <c r="CQ17" s="1753" t="str" cm="1">
        <f t="array" ref="CQ17">IF($CG17="","",IF(INDEX($D$6:$CB$53,MATCH($CG17,$B$6:$B$53,0),COLUMN()-COLUMN($CI$5)+1)&gt;0,INDEX($D$6:$CB$53,MATCH($CG17,$B$6:$B$53,0),COLUMN()-COLUMN($CI$5)+1),""))</f>
        <v/>
      </c>
      <c r="CR17" s="1753" t="str" cm="1">
        <f t="array" ref="CR17">IF($CG17="","",IF(INDEX($D$6:$CB$53,MATCH($CG17,$B$6:$B$53,0),COLUMN()-COLUMN($CI$5)+1)&gt;0,INDEX($D$6:$CB$53,MATCH($CG17,$B$6:$B$53,0),COLUMN()-COLUMN($CI$5)+1),""))</f>
        <v/>
      </c>
      <c r="CS17" s="1753" t="str" cm="1">
        <f t="array" ref="CS17">IF($CG17="","",IF(INDEX($D$6:$CB$53,MATCH($CG17,$B$6:$B$53,0),COLUMN()-COLUMN($CI$5)+1)&gt;0,INDEX($D$6:$CB$53,MATCH($CG17,$B$6:$B$53,0),COLUMN()-COLUMN($CI$5)+1),""))</f>
        <v/>
      </c>
      <c r="CT17" s="1753" t="str" cm="1">
        <f t="array" ref="CT17">IF($CG17="","",IF(INDEX($D$6:$CB$53,MATCH($CG17,$B$6:$B$53,0),COLUMN()-COLUMN($CI$5)+1)&gt;0,INDEX($D$6:$CB$53,MATCH($CG17,$B$6:$B$53,0),COLUMN()-COLUMN($CI$5)+1),""))</f>
        <v/>
      </c>
      <c r="CU17" s="1753" t="str" cm="1">
        <f t="array" ref="CU17">IF($CG17="","",IF(INDEX($D$6:$CB$53,MATCH($CG17,$B$6:$B$53,0),COLUMN()-COLUMN($CI$5)+1)&gt;0,INDEX($D$6:$CB$53,MATCH($CG17,$B$6:$B$53,0),COLUMN()-COLUMN($CI$5)+1),""))</f>
        <v/>
      </c>
      <c r="CV17" s="1753" t="str" cm="1">
        <f t="array" ref="CV17">IF($CG17="","",IF(INDEX($D$6:$CB$53,MATCH($CG17,$B$6:$B$53,0),COLUMN()-COLUMN($CI$5)+1)&gt;0,INDEX($D$6:$CB$53,MATCH($CG17,$B$6:$B$53,0),COLUMN()-COLUMN($CI$5)+1),""))</f>
        <v/>
      </c>
      <c r="CW17" s="1753" t="str" cm="1">
        <f t="array" ref="CW17">IF($CG17="","",IF(INDEX($D$6:$CB$53,MATCH($CG17,$B$6:$B$53,0),COLUMN()-COLUMN($CI$5)+1)&gt;0,INDEX($D$6:$CB$53,MATCH($CG17,$B$6:$B$53,0),COLUMN()-COLUMN($CI$5)+1),""))</f>
        <v/>
      </c>
      <c r="CX17" s="1753" t="str" cm="1">
        <f t="array" ref="CX17">IF($CG17="","",IF(INDEX($D$6:$CB$53,MATCH($CG17,$B$6:$B$53,0),COLUMN()-COLUMN($CI$5)+1)&gt;0,INDEX($D$6:$CB$53,MATCH($CG17,$B$6:$B$53,0),COLUMN()-COLUMN($CI$5)+1),""))</f>
        <v/>
      </c>
      <c r="CY17" s="1753" t="str" cm="1">
        <f t="array" ref="CY17">IF($CG17="","",IF(INDEX($D$6:$CB$53,MATCH($CG17,$B$6:$B$53,0),COLUMN()-COLUMN($CI$5)+1)&gt;0,INDEX($D$6:$CB$53,MATCH($CG17,$B$6:$B$53,0),COLUMN()-COLUMN($CI$5)+1),""))</f>
        <v/>
      </c>
      <c r="CZ17" s="1753" t="str" cm="1">
        <f t="array" ref="CZ17">IF($CG17="","",IF(INDEX($D$6:$CB$53,MATCH($CG17,$B$6:$B$53,0),COLUMN()-COLUMN($CI$5)+1)&gt;0,INDEX($D$6:$CB$53,MATCH($CG17,$B$6:$B$53,0),COLUMN()-COLUMN($CI$5)+1),""))</f>
        <v/>
      </c>
      <c r="DA17" s="1753" t="str" cm="1">
        <f t="array" ref="DA17">IF($CG17="","",IF(INDEX($D$6:$CB$53,MATCH($CG17,$B$6:$B$53,0),COLUMN()-COLUMN($CI$5)+1)&gt;0,INDEX($D$6:$CB$53,MATCH($CG17,$B$6:$B$53,0),COLUMN()-COLUMN($CI$5)+1),""))</f>
        <v/>
      </c>
      <c r="DB17" s="1753" t="str" cm="1">
        <f t="array" ref="DB17">IF($CG17="","",IF(INDEX($D$6:$CB$53,MATCH($CG17,$B$6:$B$53,0),COLUMN()-COLUMN($CI$5)+1)&gt;0,INDEX($D$6:$CB$53,MATCH($CG17,$B$6:$B$53,0),COLUMN()-COLUMN($CI$5)+1),""))</f>
        <v/>
      </c>
      <c r="DC17" s="1753" t="str" cm="1">
        <f t="array" ref="DC17">IF($CG17="","",IF(INDEX($D$6:$CB$53,MATCH($CG17,$B$6:$B$53,0),COLUMN()-COLUMN($CI$5)+1)&gt;0,INDEX($D$6:$CB$53,MATCH($CG17,$B$6:$B$53,0),COLUMN()-COLUMN($CI$5)+1),""))</f>
        <v/>
      </c>
      <c r="DD17" s="1753" t="str" cm="1">
        <f t="array" ref="DD17">IF($CG17="","",IF(INDEX($D$6:$CB$53,MATCH($CG17,$B$6:$B$53,0),COLUMN()-COLUMN($CI$5)+1)&gt;0,INDEX($D$6:$CB$53,MATCH($CG17,$B$6:$B$53,0),COLUMN()-COLUMN($CI$5)+1),""))</f>
        <v/>
      </c>
      <c r="DE17" s="1753" t="str" cm="1">
        <f t="array" ref="DE17">IF($CG17="","",IF(INDEX($D$6:$CB$53,MATCH($CG17,$B$6:$B$53,0),COLUMN()-COLUMN($CI$5)+1)&gt;0,INDEX($D$6:$CB$53,MATCH($CG17,$B$6:$B$53,0),COLUMN()-COLUMN($CI$5)+1),""))</f>
        <v/>
      </c>
      <c r="DF17" s="1753" t="str" cm="1">
        <f t="array" ref="DF17">IF($CG17="","",IF(INDEX($D$6:$CB$53,MATCH($CG17,$B$6:$B$53,0),COLUMN()-COLUMN($CI$5)+1)&gt;0,INDEX($D$6:$CB$53,MATCH($CG17,$B$6:$B$53,0),COLUMN()-COLUMN($CI$5)+1),""))</f>
        <v/>
      </c>
      <c r="DG17" s="1753" t="str" cm="1">
        <f t="array" ref="DG17">IF($CG17="","",IF(INDEX($D$6:$CB$53,MATCH($CG17,$B$6:$B$53,0),COLUMN()-COLUMN($CI$5)+1)&gt;0,INDEX($D$6:$CB$53,MATCH($CG17,$B$6:$B$53,0),COLUMN()-COLUMN($CI$5)+1),""))</f>
        <v/>
      </c>
      <c r="DH17" s="1753" t="str" cm="1">
        <f t="array" ref="DH17">IF($CG17="","",IF(INDEX($D$6:$CB$53,MATCH($CG17,$B$6:$B$53,0),COLUMN()-COLUMN($CI$5)+1)&gt;0,INDEX($D$6:$CB$53,MATCH($CG17,$B$6:$B$53,0),COLUMN()-COLUMN($CI$5)+1),""))</f>
        <v/>
      </c>
      <c r="DI17" s="1753" t="str" cm="1">
        <f t="array" ref="DI17">IF($CG17="","",IF(INDEX($D$6:$CB$53,MATCH($CG17,$B$6:$B$53,0),COLUMN()-COLUMN($CI$5)+1)&gt;0,INDEX($D$6:$CB$53,MATCH($CG17,$B$6:$B$53,0),COLUMN()-COLUMN($CI$5)+1),""))</f>
        <v/>
      </c>
      <c r="DJ17" s="1753" t="str" cm="1">
        <f t="array" ref="DJ17">IF($CG17="","",IF(INDEX($D$6:$CB$53,MATCH($CG17,$B$6:$B$53,0),COLUMN()-COLUMN($CI$5)+1)&gt;0,INDEX($D$6:$CB$53,MATCH($CG17,$B$6:$B$53,0),COLUMN()-COLUMN($CI$5)+1),""))</f>
        <v/>
      </c>
      <c r="DK17" s="1753" t="str" cm="1">
        <f t="array" ref="DK17">IF($CG17="","",IF(INDEX($D$6:$CB$53,MATCH($CG17,$B$6:$B$53,0),COLUMN()-COLUMN($CI$5)+1)&gt;0,INDEX($D$6:$CB$53,MATCH($CG17,$B$6:$B$53,0),COLUMN()-COLUMN($CI$5)+1),""))</f>
        <v/>
      </c>
      <c r="DL17" s="1753" t="str" cm="1">
        <f t="array" ref="DL17">IF($CG17="","",IF(INDEX($D$6:$CB$53,MATCH($CG17,$B$6:$B$53,0),COLUMN()-COLUMN($CI$5)+1)&gt;0,INDEX($D$6:$CB$53,MATCH($CG17,$B$6:$B$53,0),COLUMN()-COLUMN($CI$5)+1),""))</f>
        <v/>
      </c>
      <c r="DM17" s="1753" t="str" cm="1">
        <f t="array" ref="DM17">IF($CG17="","",IF(INDEX($D$6:$CB$53,MATCH($CG17,$B$6:$B$53,0),COLUMN()-COLUMN($CI$5)+1)&gt;0,INDEX($D$6:$CB$53,MATCH($CG17,$B$6:$B$53,0),COLUMN()-COLUMN($CI$5)+1),""))</f>
        <v/>
      </c>
      <c r="DN17" s="1753" t="str" cm="1">
        <f t="array" ref="DN17">IF($CG17="","",IF(INDEX($D$6:$CB$53,MATCH($CG17,$B$6:$B$53,0),COLUMN()-COLUMN($CI$5)+1)&gt;0,INDEX($D$6:$CB$53,MATCH($CG17,$B$6:$B$53,0),COLUMN()-COLUMN($CI$5)+1),""))</f>
        <v/>
      </c>
      <c r="DO17" s="1753" t="str" cm="1">
        <f t="array" ref="DO17">IF($CG17="","",IF(INDEX($D$6:$CB$53,MATCH($CG17,$B$6:$B$53,0),COLUMN()-COLUMN($CI$5)+1)&gt;0,INDEX($D$6:$CB$53,MATCH($CG17,$B$6:$B$53,0),COLUMN()-COLUMN($CI$5)+1),""))</f>
        <v/>
      </c>
      <c r="DP17" s="1753" t="str" cm="1">
        <f t="array" ref="DP17">IF($CG17="","",IF(INDEX($D$6:$CB$53,MATCH($CG17,$B$6:$B$53,0),COLUMN()-COLUMN($CI$5)+1)&gt;0,INDEX($D$6:$CB$53,MATCH($CG17,$B$6:$B$53,0),COLUMN()-COLUMN($CI$5)+1),""))</f>
        <v/>
      </c>
      <c r="DQ17" s="1753" t="str" cm="1">
        <f t="array" ref="DQ17">IF($CG17="","",IF(INDEX($D$6:$CB$53,MATCH($CG17,$B$6:$B$53,0),COLUMN()-COLUMN($CI$5)+1)&gt;0,INDEX($D$6:$CB$53,MATCH($CG17,$B$6:$B$53,0),COLUMN()-COLUMN($CI$5)+1),""))</f>
        <v/>
      </c>
      <c r="DR17" s="1753" t="str" cm="1">
        <f t="array" ref="DR17">IF($CG17="","",IF(INDEX($D$6:$CB$53,MATCH($CG17,$B$6:$B$53,0),COLUMN()-COLUMN($CI$5)+1)&gt;0,INDEX($D$6:$CB$53,MATCH($CG17,$B$6:$B$53,0),COLUMN()-COLUMN($CI$5)+1),""))</f>
        <v/>
      </c>
      <c r="DS17" s="1753" t="str" cm="1">
        <f t="array" ref="DS17">IF($CG17="","",IF(INDEX($D$6:$CB$53,MATCH($CG17,$B$6:$B$53,0),COLUMN()-COLUMN($CI$5)+1)&gt;0,INDEX($D$6:$CB$53,MATCH($CG17,$B$6:$B$53,0),COLUMN()-COLUMN($CI$5)+1),""))</f>
        <v/>
      </c>
      <c r="DT17" s="1753" t="str" cm="1">
        <f t="array" ref="DT17">IF($CG17="","",IF(INDEX($D$6:$CB$53,MATCH($CG17,$B$6:$B$53,0),COLUMN()-COLUMN($CI$5)+1)&gt;0,INDEX($D$6:$CB$53,MATCH($CG17,$B$6:$B$53,0),COLUMN()-COLUMN($CI$5)+1),""))</f>
        <v/>
      </c>
      <c r="DU17" s="1753" t="str" cm="1">
        <f t="array" ref="DU17">IF($CG17="","",IF(INDEX($D$6:$CB$53,MATCH($CG17,$B$6:$B$53,0),COLUMN()-COLUMN($CI$5)+1)&gt;0,INDEX($D$6:$CB$53,MATCH($CG17,$B$6:$B$53,0),COLUMN()-COLUMN($CI$5)+1),""))</f>
        <v/>
      </c>
      <c r="DV17" s="1753" t="str" cm="1">
        <f t="array" ref="DV17">IF($CG17="","",IF(INDEX($D$6:$CB$53,MATCH($CG17,$B$6:$B$53,0),COLUMN()-COLUMN($CI$5)+1)&gt;0,INDEX($D$6:$CB$53,MATCH($CG17,$B$6:$B$53,0),COLUMN()-COLUMN($CI$5)+1),""))</f>
        <v/>
      </c>
      <c r="DW17" s="1753" t="str" cm="1">
        <f t="array" ref="DW17">IF($CG17="","",IF(INDEX($D$6:$CB$53,MATCH($CG17,$B$6:$B$53,0),COLUMN()-COLUMN($CI$5)+1)&gt;0,INDEX($D$6:$CB$53,MATCH($CG17,$B$6:$B$53,0),COLUMN()-COLUMN($CI$5)+1),""))</f>
        <v/>
      </c>
      <c r="DX17" s="1753" t="str" cm="1">
        <f t="array" ref="DX17">IF($CG17="","",IF(INDEX($D$6:$CB$53,MATCH($CG17,$B$6:$B$53,0),COLUMN()-COLUMN($CI$5)+1)&gt;0,INDEX($D$6:$CB$53,MATCH($CG17,$B$6:$B$53,0),COLUMN()-COLUMN($CI$5)+1),""))</f>
        <v/>
      </c>
      <c r="DY17" s="1753" t="str" cm="1">
        <f t="array" ref="DY17">IF($CG17="","",IF(INDEX($D$6:$CB$53,MATCH($CG17,$B$6:$B$53,0),COLUMN()-COLUMN($CI$5)+1)&gt;0,INDEX($D$6:$CB$53,MATCH($CG17,$B$6:$B$53,0),COLUMN()-COLUMN($CI$5)+1),""))</f>
        <v/>
      </c>
      <c r="DZ17" s="1753" t="str" cm="1">
        <f t="array" ref="DZ17">IF($CG17="","",IF(INDEX($D$6:$CB$53,MATCH($CG17,$B$6:$B$53,0),COLUMN()-COLUMN($CI$5)+1)&gt;0,INDEX($D$6:$CB$53,MATCH($CG17,$B$6:$B$53,0),COLUMN()-COLUMN($CI$5)+1),""))</f>
        <v/>
      </c>
      <c r="EA17" s="1753" t="str" cm="1">
        <f t="array" ref="EA17">IF($CG17="","",IF(INDEX($D$6:$CB$53,MATCH($CG17,$B$6:$B$53,0),COLUMN()-COLUMN($CI$5)+1)&gt;0,INDEX($D$6:$CB$53,MATCH($CG17,$B$6:$B$53,0),COLUMN()-COLUMN($CI$5)+1),""))</f>
        <v/>
      </c>
      <c r="EB17" s="1753" t="str" cm="1">
        <f t="array" ref="EB17">IF($CG17="","",IF(INDEX($D$6:$CB$53,MATCH($CG17,$B$6:$B$53,0),COLUMN()-COLUMN($CI$5)+1)&gt;0,INDEX($D$6:$CB$53,MATCH($CG17,$B$6:$B$53,0),COLUMN()-COLUMN($CI$5)+1),""))</f>
        <v/>
      </c>
      <c r="EC17" s="1753" t="str" cm="1">
        <f t="array" ref="EC17">IF($CG17="","",IF(INDEX($D$6:$CB$53,MATCH($CG17,$B$6:$B$53,0),COLUMN()-COLUMN($CI$5)+1)&gt;0,INDEX($D$6:$CB$53,MATCH($CG17,$B$6:$B$53,0),COLUMN()-COLUMN($CI$5)+1),""))</f>
        <v/>
      </c>
      <c r="ED17" s="1753" t="str" cm="1">
        <f t="array" ref="ED17">IF($CG17="","",IF(INDEX($D$6:$CB$53,MATCH($CG17,$B$6:$B$53,0),COLUMN()-COLUMN($CI$5)+1)&gt;0,INDEX($D$6:$CB$53,MATCH($CG17,$B$6:$B$53,0),COLUMN()-COLUMN($CI$5)+1),""))</f>
        <v/>
      </c>
      <c r="EE17" s="1753" t="str" cm="1">
        <f t="array" ref="EE17">IF($CG17="","",IF(INDEX($D$6:$CB$53,MATCH($CG17,$B$6:$B$53,0),COLUMN()-COLUMN($CI$5)+1)&gt;0,INDEX($D$6:$CB$53,MATCH($CG17,$B$6:$B$53,0),COLUMN()-COLUMN($CI$5)+1),""))</f>
        <v/>
      </c>
      <c r="EF17" s="1753" t="str" cm="1">
        <f t="array" ref="EF17">IF($CG17="","",IF(INDEX($D$6:$CB$53,MATCH($CG17,$B$6:$B$53,0),COLUMN()-COLUMN($CI$5)+1)&gt;0,INDEX($D$6:$CB$53,MATCH($CG17,$B$6:$B$53,0),COLUMN()-COLUMN($CI$5)+1),""))</f>
        <v/>
      </c>
      <c r="EG17" s="1753" t="str" cm="1">
        <f t="array" ref="EG17">IF($CG17="","",IF(INDEX($D$6:$CB$53,MATCH($CG17,$B$6:$B$53,0),COLUMN()-COLUMN($CI$5)+1)&gt;0,INDEX($D$6:$CB$53,MATCH($CG17,$B$6:$B$53,0),COLUMN()-COLUMN($CI$5)+1),""))</f>
        <v/>
      </c>
      <c r="EH17" s="1753" t="str" cm="1">
        <f t="array" ref="EH17">IF($CG17="","",IF(INDEX($D$6:$CB$53,MATCH($CG17,$B$6:$B$53,0),COLUMN()-COLUMN($CI$5)+1)&gt;0,INDEX($D$6:$CB$53,MATCH($CG17,$B$6:$B$53,0),COLUMN()-COLUMN($CI$5)+1),""))</f>
        <v/>
      </c>
      <c r="EI17" s="1753" t="str" cm="1">
        <f t="array" ref="EI17">IF($CG17="","",IF(INDEX($D$6:$CB$53,MATCH($CG17,$B$6:$B$53,0),COLUMN()-COLUMN($CI$5)+1)&gt;0,INDEX($D$6:$CB$53,MATCH($CG17,$B$6:$B$53,0),COLUMN()-COLUMN($CI$5)+1),""))</f>
        <v/>
      </c>
      <c r="EJ17" s="1753" t="str" cm="1">
        <f t="array" ref="EJ17">IF($CG17="","",IF(INDEX($D$6:$CB$53,MATCH($CG17,$B$6:$B$53,0),COLUMN()-COLUMN($CI$5)+1)&gt;0,INDEX($D$6:$CB$53,MATCH($CG17,$B$6:$B$53,0),COLUMN()-COLUMN($CI$5)+1),""))</f>
        <v/>
      </c>
      <c r="EK17" s="1753" t="str" cm="1">
        <f t="array" ref="EK17">IF($CG17="","",IF(INDEX($D$6:$CB$53,MATCH($CG17,$B$6:$B$53,0),COLUMN()-COLUMN($CI$5)+1)&gt;0,INDEX($D$6:$CB$53,MATCH($CG17,$B$6:$B$53,0),COLUMN()-COLUMN($CI$5)+1),""))</f>
        <v/>
      </c>
      <c r="EL17" s="1753" t="str" cm="1">
        <f t="array" ref="EL17">IF($CG17="","",IF(INDEX($D$6:$CB$53,MATCH($CG17,$B$6:$B$53,0),COLUMN()-COLUMN($CI$5)+1)&gt;0,INDEX($D$6:$CB$53,MATCH($CG17,$B$6:$B$53,0),COLUMN()-COLUMN($CI$5)+1),""))</f>
        <v/>
      </c>
      <c r="EM17" s="1753" t="str" cm="1">
        <f t="array" ref="EM17">IF($CG17="","",IF(INDEX($D$6:$CB$53,MATCH($CG17,$B$6:$B$53,0),COLUMN()-COLUMN($CI$5)+1)&gt;0,INDEX($D$6:$CB$53,MATCH($CG17,$B$6:$B$53,0),COLUMN()-COLUMN($CI$5)+1),""))</f>
        <v/>
      </c>
      <c r="EN17" s="1753" t="str" cm="1">
        <f t="array" ref="EN17">IF($CG17="","",IF(INDEX($D$6:$CB$53,MATCH($CG17,$B$6:$B$53,0),COLUMN()-COLUMN($CI$5)+1)&gt;0,INDEX($D$6:$CB$53,MATCH($CG17,$B$6:$B$53,0),COLUMN()-COLUMN($CI$5)+1),""))</f>
        <v/>
      </c>
      <c r="EO17" s="1753" t="str" cm="1">
        <f t="array" ref="EO17">IF($CG17="","",IF(INDEX($D$6:$CB$53,MATCH($CG17,$B$6:$B$53,0),COLUMN()-COLUMN($CI$5)+1)&gt;0,INDEX($D$6:$CB$53,MATCH($CG17,$B$6:$B$53,0),COLUMN()-COLUMN($CI$5)+1),""))</f>
        <v/>
      </c>
      <c r="EP17" s="1753" t="str" cm="1">
        <f t="array" ref="EP17">IF($CG17="","",IF(INDEX($D$6:$CB$53,MATCH($CG17,$B$6:$B$53,0),COLUMN()-COLUMN($CI$5)+1)&gt;0,INDEX($D$6:$CB$53,MATCH($CG17,$B$6:$B$53,0),COLUMN()-COLUMN($CI$5)+1),""))</f>
        <v/>
      </c>
      <c r="EQ17" s="1753" t="str" cm="1">
        <f t="array" ref="EQ17">IF($CG17="","",IF(INDEX($D$6:$CB$53,MATCH($CG17,$B$6:$B$53,0),COLUMN()-COLUMN($CI$5)+1)&gt;0,INDEX($D$6:$CB$53,MATCH($CG17,$B$6:$B$53,0),COLUMN()-COLUMN($CI$5)+1),""))</f>
        <v/>
      </c>
      <c r="ER17" s="1753" t="str" cm="1">
        <f t="array" ref="ER17">IF($CG17="","",IF(INDEX($D$6:$CB$53,MATCH($CG17,$B$6:$B$53,0),COLUMN()-COLUMN($CI$5)+1)&gt;0,INDEX($D$6:$CB$53,MATCH($CG17,$B$6:$B$53,0),COLUMN()-COLUMN($CI$5)+1),""))</f>
        <v/>
      </c>
      <c r="ES17" s="1753" t="str" cm="1">
        <f t="array" ref="ES17">IF($CG17="","",IF(INDEX($D$6:$CB$53,MATCH($CG17,$B$6:$B$53,0),COLUMN()-COLUMN($CI$5)+1)&gt;0,INDEX($D$6:$CB$53,MATCH($CG17,$B$6:$B$53,0),COLUMN()-COLUMN($CI$5)+1),""))</f>
        <v/>
      </c>
      <c r="ET17" s="1753" t="str" cm="1">
        <f t="array" ref="ET17">IF($CG17="","",IF(INDEX($D$6:$CB$53,MATCH($CG17,$B$6:$B$53,0),COLUMN()-COLUMN($CI$5)+1)&gt;0,INDEX($D$6:$CB$53,MATCH($CG17,$B$6:$B$53,0),COLUMN()-COLUMN($CI$5)+1),""))</f>
        <v/>
      </c>
      <c r="EU17" s="1753" t="str" cm="1">
        <f t="array" ref="EU17">IF($CG17="","",IF(INDEX($D$6:$CB$53,MATCH($CG17,$B$6:$B$53,0),COLUMN()-COLUMN($CI$5)+1)&gt;0,INDEX($D$6:$CB$53,MATCH($CG17,$B$6:$B$53,0),COLUMN()-COLUMN($CI$5)+1),""))</f>
        <v/>
      </c>
      <c r="EV17" s="1753" t="str" cm="1">
        <f t="array" ref="EV17">IF($CG17="","",IF(INDEX($D$6:$CB$53,MATCH($CG17,$B$6:$B$53,0),COLUMN()-COLUMN($CI$5)+1)&gt;0,INDEX($D$6:$CB$53,MATCH($CG17,$B$6:$B$53,0),COLUMN()-COLUMN($CI$5)+1),""))</f>
        <v/>
      </c>
      <c r="EW17" s="1753" t="str" cm="1">
        <f t="array" ref="EW17">IF($CG17="","",IF(INDEX($D$6:$CB$53,MATCH($CG17,$B$6:$B$53,0),COLUMN()-COLUMN($CI$5)+1)&gt;0,INDEX($D$6:$CB$53,MATCH($CG17,$B$6:$B$53,0),COLUMN()-COLUMN($CI$5)+1),""))</f>
        <v/>
      </c>
      <c r="EX17" s="1753" t="str" cm="1">
        <f t="array" ref="EX17">IF($CG17="","",IF(INDEX($D$6:$CB$53,MATCH($CG17,$B$6:$B$53,0),COLUMN()-COLUMN($CI$5)+1)&gt;0,INDEX($D$6:$CB$53,MATCH($CG17,$B$6:$B$53,0),COLUMN()-COLUMN($CI$5)+1),""))</f>
        <v/>
      </c>
      <c r="EY17" s="1753" t="str" cm="1">
        <f t="array" ref="EY17">IF($CG17="","",IF(INDEX($D$6:$CB$53,MATCH($CG17,$B$6:$B$53,0),COLUMN()-COLUMN($CI$5)+1)&gt;0,INDEX($D$6:$CB$53,MATCH($CG17,$B$6:$B$53,0),COLUMN()-COLUMN($CI$5)+1),""))</f>
        <v/>
      </c>
      <c r="EZ17" s="1753" t="str" cm="1">
        <f t="array" ref="EZ17">IF($CG17="","",IF(INDEX($D$6:$CB$53,MATCH($CG17,$B$6:$B$53,0),COLUMN()-COLUMN($CI$5)+1)&gt;0,INDEX($D$6:$CB$53,MATCH($CG17,$B$6:$B$53,0),COLUMN()-COLUMN($CI$5)+1),""))</f>
        <v/>
      </c>
      <c r="FA17" s="1753" t="str" cm="1">
        <f t="array" ref="FA17">IF($CG17="","",IF(INDEX($D$6:$CB$53,MATCH($CG17,$B$6:$B$53,0),COLUMN()-COLUMN($CI$5)+1)&gt;0,INDEX($D$6:$CB$53,MATCH($CG17,$B$6:$B$53,0),COLUMN()-COLUMN($CI$5)+1),""))</f>
        <v/>
      </c>
      <c r="FB17" s="1753" t="str" cm="1">
        <f t="array" ref="FB17">IF($CG17="","",IF(INDEX($D$6:$CB$53,MATCH($CG17,$B$6:$B$53,0),COLUMN()-COLUMN($CI$5)+1)&gt;0,INDEX($D$6:$CB$53,MATCH($CG17,$B$6:$B$53,0),COLUMN()-COLUMN($CI$5)+1),""))</f>
        <v/>
      </c>
      <c r="FC17" s="1753" t="str" cm="1">
        <f t="array" ref="FC17">IF($CG17="","",IF(INDEX($D$6:$CB$53,MATCH($CG17,$B$6:$B$53,0),COLUMN()-COLUMN($CI$5)+1)&gt;0,INDEX($D$6:$CB$53,MATCH($CG17,$B$6:$B$53,0),COLUMN()-COLUMN($CI$5)+1),""))</f>
        <v/>
      </c>
      <c r="FD17" s="1753" t="str" cm="1">
        <f t="array" ref="FD17">IF($CG17="","",IF(INDEX($D$6:$CB$53,MATCH($CG17,$B$6:$B$53,0),COLUMN()-COLUMN($CI$5)+1)&gt;0,INDEX($D$6:$CB$53,MATCH($CG17,$B$6:$B$53,0),COLUMN()-COLUMN($CI$5)+1),""))</f>
        <v/>
      </c>
      <c r="FE17" s="1753" t="str" cm="1">
        <f t="array" ref="FE17">IF($CG17="","",IF(INDEX($D$6:$CB$53,MATCH($CG17,$B$6:$B$53,0),COLUMN()-COLUMN($CI$5)+1)&gt;0,INDEX($D$6:$CB$53,MATCH($CG17,$B$6:$B$53,0),COLUMN()-COLUMN($CI$5)+1),""))</f>
        <v/>
      </c>
      <c r="FF17" s="1753" t="str" cm="1">
        <f t="array" ref="FF17">IF($CG17="","",IF(INDEX($D$6:$CB$53,MATCH($CG17,$B$6:$B$53,0),COLUMN()-COLUMN($CI$5)+1)&gt;0,INDEX($D$6:$CB$53,MATCH($CG17,$B$6:$B$53,0),COLUMN()-COLUMN($CI$5)+1),""))</f>
        <v/>
      </c>
      <c r="FG17" s="1758" t="str" cm="1">
        <f t="array" ref="FG17">IF($CG17="","",IF(INDEX($D$6:$CB$53,MATCH($CG17,$B$6:$B$53,0),COLUMN()-COLUMN($CI$5)+1)&gt;0,INDEX($D$6:$CB$53,MATCH($CG17,$B$6:$B$53,0),COLUMN()-COLUMN($CI$5)+1),""))</f>
        <v/>
      </c>
      <c r="FH17" s="1764" t="str">
        <f t="shared" si="4"/>
        <v/>
      </c>
      <c r="FI17" s="1756" t="str">
        <f t="shared" si="5"/>
        <v/>
      </c>
      <c r="FJ17" s="1767" t="str">
        <f t="shared" si="6"/>
        <v/>
      </c>
      <c r="FK17" s="1760"/>
    </row>
    <row r="18" spans="1:167" ht="15.75" customHeight="1" thickBot="1">
      <c r="A18" s="1220"/>
      <c r="B18" s="1278">
        <f>+PP!B36</f>
        <v>13</v>
      </c>
      <c r="C18" s="1281" t="str">
        <f>+PP!C36</f>
        <v>CONOS DE POTA</v>
      </c>
      <c r="D18" s="1410"/>
      <c r="E18" s="1411"/>
      <c r="F18" s="1411"/>
      <c r="G18" s="1411"/>
      <c r="H18" s="1411"/>
      <c r="I18" s="1411"/>
      <c r="J18" s="1411"/>
      <c r="K18" s="1411"/>
      <c r="L18" s="1411"/>
      <c r="M18" s="1411"/>
      <c r="N18" s="1411"/>
      <c r="O18" s="1411"/>
      <c r="P18" s="1411"/>
      <c r="Q18" s="1411"/>
      <c r="R18" s="1411"/>
      <c r="S18" s="1411"/>
      <c r="T18" s="1411"/>
      <c r="U18" s="1411"/>
      <c r="V18" s="1411"/>
      <c r="W18" s="1411"/>
      <c r="X18" s="1411"/>
      <c r="Y18" s="1411"/>
      <c r="Z18" s="1411"/>
      <c r="AA18" s="1411"/>
      <c r="AB18" s="1411"/>
      <c r="AC18" s="1411"/>
      <c r="AD18" s="1411"/>
      <c r="AE18" s="1411"/>
      <c r="AF18" s="1411"/>
      <c r="AG18" s="1411"/>
      <c r="AH18" s="1412"/>
      <c r="AI18" s="1413"/>
      <c r="AJ18" s="1413"/>
      <c r="AK18" s="1413"/>
      <c r="AL18" s="1413"/>
      <c r="AM18" s="1413"/>
      <c r="AN18" s="1413"/>
      <c r="AO18" s="1413"/>
      <c r="AP18" s="1216"/>
      <c r="AQ18" s="1216"/>
      <c r="AR18" s="1216"/>
      <c r="AS18" s="1216"/>
      <c r="AT18" s="1216"/>
      <c r="AU18" s="1216"/>
      <c r="AV18" s="1216"/>
      <c r="AW18" s="1216"/>
      <c r="AX18" s="1216"/>
      <c r="AY18" s="1216"/>
      <c r="AZ18" s="1216"/>
      <c r="BA18" s="1216"/>
      <c r="BB18" s="1216"/>
      <c r="BC18" s="1216"/>
      <c r="BD18" s="1216"/>
      <c r="BE18" s="1216"/>
      <c r="BF18" s="1216"/>
      <c r="BG18" s="1216"/>
      <c r="BH18" s="1216"/>
      <c r="BI18" s="1216"/>
      <c r="BJ18" s="1216"/>
      <c r="BK18" s="1216"/>
      <c r="BL18" s="1216"/>
      <c r="BM18" s="1216"/>
      <c r="BN18" s="1216"/>
      <c r="BO18" s="1216"/>
      <c r="BP18" s="1216"/>
      <c r="BQ18" s="1216"/>
      <c r="BR18" s="1568"/>
      <c r="BS18" s="1568"/>
      <c r="BT18" s="1568"/>
      <c r="BU18" s="1568"/>
      <c r="BV18" s="1568"/>
      <c r="BW18" s="1568"/>
      <c r="BX18" s="1568"/>
      <c r="BY18" s="1568"/>
      <c r="BZ18" s="1568"/>
      <c r="CA18" s="1568"/>
      <c r="CB18" s="1569"/>
      <c r="CC18" s="1552">
        <f t="shared" si="0"/>
        <v>0</v>
      </c>
      <c r="CD18" s="1244">
        <f t="shared" si="1"/>
        <v>0</v>
      </c>
      <c r="CE18" s="1245">
        <f t="shared" si="2"/>
        <v>0</v>
      </c>
      <c r="CF18" s="1220"/>
      <c r="CG18" s="1751" t="str" cm="1">
        <f t="array" ref="CG18">IFERROR(INDEX($B$6:$B$53,_xlfn.AGGREGATE(15,6,(ROW($B$6:$B$53)-ROW($B$6)+1)/(MMULT(--($D$6:$CB$53&gt;0),TRANSPOSE(COLUMN($D$6:$CB$6)^0))&gt;0),ROWS($CG$6:CG18))),"")</f>
        <v/>
      </c>
      <c r="CH18" s="1752" t="str">
        <f t="shared" si="3"/>
        <v/>
      </c>
      <c r="CI18" s="1753" t="str" cm="1">
        <f t="array" ref="CI18">IF($CG18="","",IF(INDEX($D$6:$CB$53,MATCH($CG18,$B$6:$B$53,0),COLUMN()-COLUMN($CI$5)+1)&gt;0,INDEX($D$6:$CB$53,MATCH($CG18,$B$6:$B$53,0),COLUMN()-COLUMN($CI$5)+1),""))</f>
        <v/>
      </c>
      <c r="CJ18" s="1753" t="str" cm="1">
        <f t="array" ref="CJ18">IF($CG18="","",IF(INDEX($D$6:$CB$53,MATCH($CG18,$B$6:$B$53,0),COLUMN()-COLUMN($CI$5)+1)&gt;0,INDEX($D$6:$CB$53,MATCH($CG18,$B$6:$B$53,0),COLUMN()-COLUMN($CI$5)+1),""))</f>
        <v/>
      </c>
      <c r="CK18" s="1753" t="str" cm="1">
        <f t="array" ref="CK18">IF($CG18="","",IF(INDEX($D$6:$CB$53,MATCH($CG18,$B$6:$B$53,0),COLUMN()-COLUMN($CI$5)+1)&gt;0,INDEX($D$6:$CB$53,MATCH($CG18,$B$6:$B$53,0),COLUMN()-COLUMN($CI$5)+1),""))</f>
        <v/>
      </c>
      <c r="CL18" s="1753" t="str" cm="1">
        <f t="array" ref="CL18">IF($CG18="","",IF(INDEX($D$6:$CB$53,MATCH($CG18,$B$6:$B$53,0),COLUMN()-COLUMN($CI$5)+1)&gt;0,INDEX($D$6:$CB$53,MATCH($CG18,$B$6:$B$53,0),COLUMN()-COLUMN($CI$5)+1),""))</f>
        <v/>
      </c>
      <c r="CM18" s="1753" t="str" cm="1">
        <f t="array" ref="CM18">IF($CG18="","",IF(INDEX($D$6:$CB$53,MATCH($CG18,$B$6:$B$53,0),COLUMN()-COLUMN($CI$5)+1)&gt;0,INDEX($D$6:$CB$53,MATCH($CG18,$B$6:$B$53,0),COLUMN()-COLUMN($CI$5)+1),""))</f>
        <v/>
      </c>
      <c r="CN18" s="1753" t="str" cm="1">
        <f t="array" ref="CN18">IF($CG18="","",IF(INDEX($D$6:$CB$53,MATCH($CG18,$B$6:$B$53,0),COLUMN()-COLUMN($CI$5)+1)&gt;0,INDEX($D$6:$CB$53,MATCH($CG18,$B$6:$B$53,0),COLUMN()-COLUMN($CI$5)+1),""))</f>
        <v/>
      </c>
      <c r="CO18" s="1753" t="str" cm="1">
        <f t="array" ref="CO18">IF($CG18="","",IF(INDEX($D$6:$CB$53,MATCH($CG18,$B$6:$B$53,0),COLUMN()-COLUMN($CI$5)+1)&gt;0,INDEX($D$6:$CB$53,MATCH($CG18,$B$6:$B$53,0),COLUMN()-COLUMN($CI$5)+1),""))</f>
        <v/>
      </c>
      <c r="CP18" s="1753" t="str" cm="1">
        <f t="array" ref="CP18">IF($CG18="","",IF(INDEX($D$6:$CB$53,MATCH($CG18,$B$6:$B$53,0),COLUMN()-COLUMN($CI$5)+1)&gt;0,INDEX($D$6:$CB$53,MATCH($CG18,$B$6:$B$53,0),COLUMN()-COLUMN($CI$5)+1),""))</f>
        <v/>
      </c>
      <c r="CQ18" s="1753" t="str" cm="1">
        <f t="array" ref="CQ18">IF($CG18="","",IF(INDEX($D$6:$CB$53,MATCH($CG18,$B$6:$B$53,0),COLUMN()-COLUMN($CI$5)+1)&gt;0,INDEX($D$6:$CB$53,MATCH($CG18,$B$6:$B$53,0),COLUMN()-COLUMN($CI$5)+1),""))</f>
        <v/>
      </c>
      <c r="CR18" s="1753" t="str" cm="1">
        <f t="array" ref="CR18">IF($CG18="","",IF(INDEX($D$6:$CB$53,MATCH($CG18,$B$6:$B$53,0),COLUMN()-COLUMN($CI$5)+1)&gt;0,INDEX($D$6:$CB$53,MATCH($CG18,$B$6:$B$53,0),COLUMN()-COLUMN($CI$5)+1),""))</f>
        <v/>
      </c>
      <c r="CS18" s="1753" t="str" cm="1">
        <f t="array" ref="CS18">IF($CG18="","",IF(INDEX($D$6:$CB$53,MATCH($CG18,$B$6:$B$53,0),COLUMN()-COLUMN($CI$5)+1)&gt;0,INDEX($D$6:$CB$53,MATCH($CG18,$B$6:$B$53,0),COLUMN()-COLUMN($CI$5)+1),""))</f>
        <v/>
      </c>
      <c r="CT18" s="1753" t="str" cm="1">
        <f t="array" ref="CT18">IF($CG18="","",IF(INDEX($D$6:$CB$53,MATCH($CG18,$B$6:$B$53,0),COLUMN()-COLUMN($CI$5)+1)&gt;0,INDEX($D$6:$CB$53,MATCH($CG18,$B$6:$B$53,0),COLUMN()-COLUMN($CI$5)+1),""))</f>
        <v/>
      </c>
      <c r="CU18" s="1753" t="str" cm="1">
        <f t="array" ref="CU18">IF($CG18="","",IF(INDEX($D$6:$CB$53,MATCH($CG18,$B$6:$B$53,0),COLUMN()-COLUMN($CI$5)+1)&gt;0,INDEX($D$6:$CB$53,MATCH($CG18,$B$6:$B$53,0),COLUMN()-COLUMN($CI$5)+1),""))</f>
        <v/>
      </c>
      <c r="CV18" s="1753" t="str" cm="1">
        <f t="array" ref="CV18">IF($CG18="","",IF(INDEX($D$6:$CB$53,MATCH($CG18,$B$6:$B$53,0),COLUMN()-COLUMN($CI$5)+1)&gt;0,INDEX($D$6:$CB$53,MATCH($CG18,$B$6:$B$53,0),COLUMN()-COLUMN($CI$5)+1),""))</f>
        <v/>
      </c>
      <c r="CW18" s="1753" t="str" cm="1">
        <f t="array" ref="CW18">IF($CG18="","",IF(INDEX($D$6:$CB$53,MATCH($CG18,$B$6:$B$53,0),COLUMN()-COLUMN($CI$5)+1)&gt;0,INDEX($D$6:$CB$53,MATCH($CG18,$B$6:$B$53,0),COLUMN()-COLUMN($CI$5)+1),""))</f>
        <v/>
      </c>
      <c r="CX18" s="1753" t="str" cm="1">
        <f t="array" ref="CX18">IF($CG18="","",IF(INDEX($D$6:$CB$53,MATCH($CG18,$B$6:$B$53,0),COLUMN()-COLUMN($CI$5)+1)&gt;0,INDEX($D$6:$CB$53,MATCH($CG18,$B$6:$B$53,0),COLUMN()-COLUMN($CI$5)+1),""))</f>
        <v/>
      </c>
      <c r="CY18" s="1753" t="str" cm="1">
        <f t="array" ref="CY18">IF($CG18="","",IF(INDEX($D$6:$CB$53,MATCH($CG18,$B$6:$B$53,0),COLUMN()-COLUMN($CI$5)+1)&gt;0,INDEX($D$6:$CB$53,MATCH($CG18,$B$6:$B$53,0),COLUMN()-COLUMN($CI$5)+1),""))</f>
        <v/>
      </c>
      <c r="CZ18" s="1753" t="str" cm="1">
        <f t="array" ref="CZ18">IF($CG18="","",IF(INDEX($D$6:$CB$53,MATCH($CG18,$B$6:$B$53,0),COLUMN()-COLUMN($CI$5)+1)&gt;0,INDEX($D$6:$CB$53,MATCH($CG18,$B$6:$B$53,0),COLUMN()-COLUMN($CI$5)+1),""))</f>
        <v/>
      </c>
      <c r="DA18" s="1753" t="str" cm="1">
        <f t="array" ref="DA18">IF($CG18="","",IF(INDEX($D$6:$CB$53,MATCH($CG18,$B$6:$B$53,0),COLUMN()-COLUMN($CI$5)+1)&gt;0,INDEX($D$6:$CB$53,MATCH($CG18,$B$6:$B$53,0),COLUMN()-COLUMN($CI$5)+1),""))</f>
        <v/>
      </c>
      <c r="DB18" s="1753" t="str" cm="1">
        <f t="array" ref="DB18">IF($CG18="","",IF(INDEX($D$6:$CB$53,MATCH($CG18,$B$6:$B$53,0),COLUMN()-COLUMN($CI$5)+1)&gt;0,INDEX($D$6:$CB$53,MATCH($CG18,$B$6:$B$53,0),COLUMN()-COLUMN($CI$5)+1),""))</f>
        <v/>
      </c>
      <c r="DC18" s="1753" t="str" cm="1">
        <f t="array" ref="DC18">IF($CG18="","",IF(INDEX($D$6:$CB$53,MATCH($CG18,$B$6:$B$53,0),COLUMN()-COLUMN($CI$5)+1)&gt;0,INDEX($D$6:$CB$53,MATCH($CG18,$B$6:$B$53,0),COLUMN()-COLUMN($CI$5)+1),""))</f>
        <v/>
      </c>
      <c r="DD18" s="1753" t="str" cm="1">
        <f t="array" ref="DD18">IF($CG18="","",IF(INDEX($D$6:$CB$53,MATCH($CG18,$B$6:$B$53,0),COLUMN()-COLUMN($CI$5)+1)&gt;0,INDEX($D$6:$CB$53,MATCH($CG18,$B$6:$B$53,0),COLUMN()-COLUMN($CI$5)+1),""))</f>
        <v/>
      </c>
      <c r="DE18" s="1753" t="str" cm="1">
        <f t="array" ref="DE18">IF($CG18="","",IF(INDEX($D$6:$CB$53,MATCH($CG18,$B$6:$B$53,0),COLUMN()-COLUMN($CI$5)+1)&gt;0,INDEX($D$6:$CB$53,MATCH($CG18,$B$6:$B$53,0),COLUMN()-COLUMN($CI$5)+1),""))</f>
        <v/>
      </c>
      <c r="DF18" s="1753" t="str" cm="1">
        <f t="array" ref="DF18">IF($CG18="","",IF(INDEX($D$6:$CB$53,MATCH($CG18,$B$6:$B$53,0),COLUMN()-COLUMN($CI$5)+1)&gt;0,INDEX($D$6:$CB$53,MATCH($CG18,$B$6:$B$53,0),COLUMN()-COLUMN($CI$5)+1),""))</f>
        <v/>
      </c>
      <c r="DG18" s="1753" t="str" cm="1">
        <f t="array" ref="DG18">IF($CG18="","",IF(INDEX($D$6:$CB$53,MATCH($CG18,$B$6:$B$53,0),COLUMN()-COLUMN($CI$5)+1)&gt;0,INDEX($D$6:$CB$53,MATCH($CG18,$B$6:$B$53,0),COLUMN()-COLUMN($CI$5)+1),""))</f>
        <v/>
      </c>
      <c r="DH18" s="1753" t="str" cm="1">
        <f t="array" ref="DH18">IF($CG18="","",IF(INDEX($D$6:$CB$53,MATCH($CG18,$B$6:$B$53,0),COLUMN()-COLUMN($CI$5)+1)&gt;0,INDEX($D$6:$CB$53,MATCH($CG18,$B$6:$B$53,0),COLUMN()-COLUMN($CI$5)+1),""))</f>
        <v/>
      </c>
      <c r="DI18" s="1753" t="str" cm="1">
        <f t="array" ref="DI18">IF($CG18="","",IF(INDEX($D$6:$CB$53,MATCH($CG18,$B$6:$B$53,0),COLUMN()-COLUMN($CI$5)+1)&gt;0,INDEX($D$6:$CB$53,MATCH($CG18,$B$6:$B$53,0),COLUMN()-COLUMN($CI$5)+1),""))</f>
        <v/>
      </c>
      <c r="DJ18" s="1753" t="str" cm="1">
        <f t="array" ref="DJ18">IF($CG18="","",IF(INDEX($D$6:$CB$53,MATCH($CG18,$B$6:$B$53,0),COLUMN()-COLUMN($CI$5)+1)&gt;0,INDEX($D$6:$CB$53,MATCH($CG18,$B$6:$B$53,0),COLUMN()-COLUMN($CI$5)+1),""))</f>
        <v/>
      </c>
      <c r="DK18" s="1753" t="str" cm="1">
        <f t="array" ref="DK18">IF($CG18="","",IF(INDEX($D$6:$CB$53,MATCH($CG18,$B$6:$B$53,0),COLUMN()-COLUMN($CI$5)+1)&gt;0,INDEX($D$6:$CB$53,MATCH($CG18,$B$6:$B$53,0),COLUMN()-COLUMN($CI$5)+1),""))</f>
        <v/>
      </c>
      <c r="DL18" s="1753" t="str" cm="1">
        <f t="array" ref="DL18">IF($CG18="","",IF(INDEX($D$6:$CB$53,MATCH($CG18,$B$6:$B$53,0),COLUMN()-COLUMN($CI$5)+1)&gt;0,INDEX($D$6:$CB$53,MATCH($CG18,$B$6:$B$53,0),COLUMN()-COLUMN($CI$5)+1),""))</f>
        <v/>
      </c>
      <c r="DM18" s="1753" t="str" cm="1">
        <f t="array" ref="DM18">IF($CG18="","",IF(INDEX($D$6:$CB$53,MATCH($CG18,$B$6:$B$53,0),COLUMN()-COLUMN($CI$5)+1)&gt;0,INDEX($D$6:$CB$53,MATCH($CG18,$B$6:$B$53,0),COLUMN()-COLUMN($CI$5)+1),""))</f>
        <v/>
      </c>
      <c r="DN18" s="1753" t="str" cm="1">
        <f t="array" ref="DN18">IF($CG18="","",IF(INDEX($D$6:$CB$53,MATCH($CG18,$B$6:$B$53,0),COLUMN()-COLUMN($CI$5)+1)&gt;0,INDEX($D$6:$CB$53,MATCH($CG18,$B$6:$B$53,0),COLUMN()-COLUMN($CI$5)+1),""))</f>
        <v/>
      </c>
      <c r="DO18" s="1753" t="str" cm="1">
        <f t="array" ref="DO18">IF($CG18="","",IF(INDEX($D$6:$CB$53,MATCH($CG18,$B$6:$B$53,0),COLUMN()-COLUMN($CI$5)+1)&gt;0,INDEX($D$6:$CB$53,MATCH($CG18,$B$6:$B$53,0),COLUMN()-COLUMN($CI$5)+1),""))</f>
        <v/>
      </c>
      <c r="DP18" s="1753" t="str" cm="1">
        <f t="array" ref="DP18">IF($CG18="","",IF(INDEX($D$6:$CB$53,MATCH($CG18,$B$6:$B$53,0),COLUMN()-COLUMN($CI$5)+1)&gt;0,INDEX($D$6:$CB$53,MATCH($CG18,$B$6:$B$53,0),COLUMN()-COLUMN($CI$5)+1),""))</f>
        <v/>
      </c>
      <c r="DQ18" s="1753" t="str" cm="1">
        <f t="array" ref="DQ18">IF($CG18="","",IF(INDEX($D$6:$CB$53,MATCH($CG18,$B$6:$B$53,0),COLUMN()-COLUMN($CI$5)+1)&gt;0,INDEX($D$6:$CB$53,MATCH($CG18,$B$6:$B$53,0),COLUMN()-COLUMN($CI$5)+1),""))</f>
        <v/>
      </c>
      <c r="DR18" s="1753" t="str" cm="1">
        <f t="array" ref="DR18">IF($CG18="","",IF(INDEX($D$6:$CB$53,MATCH($CG18,$B$6:$B$53,0),COLUMN()-COLUMN($CI$5)+1)&gt;0,INDEX($D$6:$CB$53,MATCH($CG18,$B$6:$B$53,0),COLUMN()-COLUMN($CI$5)+1),""))</f>
        <v/>
      </c>
      <c r="DS18" s="1753" t="str" cm="1">
        <f t="array" ref="DS18">IF($CG18="","",IF(INDEX($D$6:$CB$53,MATCH($CG18,$B$6:$B$53,0),COLUMN()-COLUMN($CI$5)+1)&gt;0,INDEX($D$6:$CB$53,MATCH($CG18,$B$6:$B$53,0),COLUMN()-COLUMN($CI$5)+1),""))</f>
        <v/>
      </c>
      <c r="DT18" s="1753" t="str" cm="1">
        <f t="array" ref="DT18">IF($CG18="","",IF(INDEX($D$6:$CB$53,MATCH($CG18,$B$6:$B$53,0),COLUMN()-COLUMN($CI$5)+1)&gt;0,INDEX($D$6:$CB$53,MATCH($CG18,$B$6:$B$53,0),COLUMN()-COLUMN($CI$5)+1),""))</f>
        <v/>
      </c>
      <c r="DU18" s="1753" t="str" cm="1">
        <f t="array" ref="DU18">IF($CG18="","",IF(INDEX($D$6:$CB$53,MATCH($CG18,$B$6:$B$53,0),COLUMN()-COLUMN($CI$5)+1)&gt;0,INDEX($D$6:$CB$53,MATCH($CG18,$B$6:$B$53,0),COLUMN()-COLUMN($CI$5)+1),""))</f>
        <v/>
      </c>
      <c r="DV18" s="1753" t="str" cm="1">
        <f t="array" ref="DV18">IF($CG18="","",IF(INDEX($D$6:$CB$53,MATCH($CG18,$B$6:$B$53,0),COLUMN()-COLUMN($CI$5)+1)&gt;0,INDEX($D$6:$CB$53,MATCH($CG18,$B$6:$B$53,0),COLUMN()-COLUMN($CI$5)+1),""))</f>
        <v/>
      </c>
      <c r="DW18" s="1753" t="str" cm="1">
        <f t="array" ref="DW18">IF($CG18="","",IF(INDEX($D$6:$CB$53,MATCH($CG18,$B$6:$B$53,0),COLUMN()-COLUMN($CI$5)+1)&gt;0,INDEX($D$6:$CB$53,MATCH($CG18,$B$6:$B$53,0),COLUMN()-COLUMN($CI$5)+1),""))</f>
        <v/>
      </c>
      <c r="DX18" s="1753" t="str" cm="1">
        <f t="array" ref="DX18">IF($CG18="","",IF(INDEX($D$6:$CB$53,MATCH($CG18,$B$6:$B$53,0),COLUMN()-COLUMN($CI$5)+1)&gt;0,INDEX($D$6:$CB$53,MATCH($CG18,$B$6:$B$53,0),COLUMN()-COLUMN($CI$5)+1),""))</f>
        <v/>
      </c>
      <c r="DY18" s="1753" t="str" cm="1">
        <f t="array" ref="DY18">IF($CG18="","",IF(INDEX($D$6:$CB$53,MATCH($CG18,$B$6:$B$53,0),COLUMN()-COLUMN($CI$5)+1)&gt;0,INDEX($D$6:$CB$53,MATCH($CG18,$B$6:$B$53,0),COLUMN()-COLUMN($CI$5)+1),""))</f>
        <v/>
      </c>
      <c r="DZ18" s="1753" t="str" cm="1">
        <f t="array" ref="DZ18">IF($CG18="","",IF(INDEX($D$6:$CB$53,MATCH($CG18,$B$6:$B$53,0),COLUMN()-COLUMN($CI$5)+1)&gt;0,INDEX($D$6:$CB$53,MATCH($CG18,$B$6:$B$53,0),COLUMN()-COLUMN($CI$5)+1),""))</f>
        <v/>
      </c>
      <c r="EA18" s="1753" t="str" cm="1">
        <f t="array" ref="EA18">IF($CG18="","",IF(INDEX($D$6:$CB$53,MATCH($CG18,$B$6:$B$53,0),COLUMN()-COLUMN($CI$5)+1)&gt;0,INDEX($D$6:$CB$53,MATCH($CG18,$B$6:$B$53,0),COLUMN()-COLUMN($CI$5)+1),""))</f>
        <v/>
      </c>
      <c r="EB18" s="1753" t="str" cm="1">
        <f t="array" ref="EB18">IF($CG18="","",IF(INDEX($D$6:$CB$53,MATCH($CG18,$B$6:$B$53,0),COLUMN()-COLUMN($CI$5)+1)&gt;0,INDEX($D$6:$CB$53,MATCH($CG18,$B$6:$B$53,0),COLUMN()-COLUMN($CI$5)+1),""))</f>
        <v/>
      </c>
      <c r="EC18" s="1753" t="str" cm="1">
        <f t="array" ref="EC18">IF($CG18="","",IF(INDEX($D$6:$CB$53,MATCH($CG18,$B$6:$B$53,0),COLUMN()-COLUMN($CI$5)+1)&gt;0,INDEX($D$6:$CB$53,MATCH($CG18,$B$6:$B$53,0),COLUMN()-COLUMN($CI$5)+1),""))</f>
        <v/>
      </c>
      <c r="ED18" s="1753" t="str" cm="1">
        <f t="array" ref="ED18">IF($CG18="","",IF(INDEX($D$6:$CB$53,MATCH($CG18,$B$6:$B$53,0),COLUMN()-COLUMN($CI$5)+1)&gt;0,INDEX($D$6:$CB$53,MATCH($CG18,$B$6:$B$53,0),COLUMN()-COLUMN($CI$5)+1),""))</f>
        <v/>
      </c>
      <c r="EE18" s="1753" t="str" cm="1">
        <f t="array" ref="EE18">IF($CG18="","",IF(INDEX($D$6:$CB$53,MATCH($CG18,$B$6:$B$53,0),COLUMN()-COLUMN($CI$5)+1)&gt;0,INDEX($D$6:$CB$53,MATCH($CG18,$B$6:$B$53,0),COLUMN()-COLUMN($CI$5)+1),""))</f>
        <v/>
      </c>
      <c r="EF18" s="1753" t="str" cm="1">
        <f t="array" ref="EF18">IF($CG18="","",IF(INDEX($D$6:$CB$53,MATCH($CG18,$B$6:$B$53,0),COLUMN()-COLUMN($CI$5)+1)&gt;0,INDEX($D$6:$CB$53,MATCH($CG18,$B$6:$B$53,0),COLUMN()-COLUMN($CI$5)+1),""))</f>
        <v/>
      </c>
      <c r="EG18" s="1753" t="str" cm="1">
        <f t="array" ref="EG18">IF($CG18="","",IF(INDEX($D$6:$CB$53,MATCH($CG18,$B$6:$B$53,0),COLUMN()-COLUMN($CI$5)+1)&gt;0,INDEX($D$6:$CB$53,MATCH($CG18,$B$6:$B$53,0),COLUMN()-COLUMN($CI$5)+1),""))</f>
        <v/>
      </c>
      <c r="EH18" s="1753" t="str" cm="1">
        <f t="array" ref="EH18">IF($CG18="","",IF(INDEX($D$6:$CB$53,MATCH($CG18,$B$6:$B$53,0),COLUMN()-COLUMN($CI$5)+1)&gt;0,INDEX($D$6:$CB$53,MATCH($CG18,$B$6:$B$53,0),COLUMN()-COLUMN($CI$5)+1),""))</f>
        <v/>
      </c>
      <c r="EI18" s="1753" t="str" cm="1">
        <f t="array" ref="EI18">IF($CG18="","",IF(INDEX($D$6:$CB$53,MATCH($CG18,$B$6:$B$53,0),COLUMN()-COLUMN($CI$5)+1)&gt;0,INDEX($D$6:$CB$53,MATCH($CG18,$B$6:$B$53,0),COLUMN()-COLUMN($CI$5)+1),""))</f>
        <v/>
      </c>
      <c r="EJ18" s="1753" t="str" cm="1">
        <f t="array" ref="EJ18">IF($CG18="","",IF(INDEX($D$6:$CB$53,MATCH($CG18,$B$6:$B$53,0),COLUMN()-COLUMN($CI$5)+1)&gt;0,INDEX($D$6:$CB$53,MATCH($CG18,$B$6:$B$53,0),COLUMN()-COLUMN($CI$5)+1),""))</f>
        <v/>
      </c>
      <c r="EK18" s="1753" t="str" cm="1">
        <f t="array" ref="EK18">IF($CG18="","",IF(INDEX($D$6:$CB$53,MATCH($CG18,$B$6:$B$53,0),COLUMN()-COLUMN($CI$5)+1)&gt;0,INDEX($D$6:$CB$53,MATCH($CG18,$B$6:$B$53,0),COLUMN()-COLUMN($CI$5)+1),""))</f>
        <v/>
      </c>
      <c r="EL18" s="1753" t="str" cm="1">
        <f t="array" ref="EL18">IF($CG18="","",IF(INDEX($D$6:$CB$53,MATCH($CG18,$B$6:$B$53,0),COLUMN()-COLUMN($CI$5)+1)&gt;0,INDEX($D$6:$CB$53,MATCH($CG18,$B$6:$B$53,0),COLUMN()-COLUMN($CI$5)+1),""))</f>
        <v/>
      </c>
      <c r="EM18" s="1753" t="str" cm="1">
        <f t="array" ref="EM18">IF($CG18="","",IF(INDEX($D$6:$CB$53,MATCH($CG18,$B$6:$B$53,0),COLUMN()-COLUMN($CI$5)+1)&gt;0,INDEX($D$6:$CB$53,MATCH($CG18,$B$6:$B$53,0),COLUMN()-COLUMN($CI$5)+1),""))</f>
        <v/>
      </c>
      <c r="EN18" s="1753" t="str" cm="1">
        <f t="array" ref="EN18">IF($CG18="","",IF(INDEX($D$6:$CB$53,MATCH($CG18,$B$6:$B$53,0),COLUMN()-COLUMN($CI$5)+1)&gt;0,INDEX($D$6:$CB$53,MATCH($CG18,$B$6:$B$53,0),COLUMN()-COLUMN($CI$5)+1),""))</f>
        <v/>
      </c>
      <c r="EO18" s="1753" t="str" cm="1">
        <f t="array" ref="EO18">IF($CG18="","",IF(INDEX($D$6:$CB$53,MATCH($CG18,$B$6:$B$53,0),COLUMN()-COLUMN($CI$5)+1)&gt;0,INDEX($D$6:$CB$53,MATCH($CG18,$B$6:$B$53,0),COLUMN()-COLUMN($CI$5)+1),""))</f>
        <v/>
      </c>
      <c r="EP18" s="1753" t="str" cm="1">
        <f t="array" ref="EP18">IF($CG18="","",IF(INDEX($D$6:$CB$53,MATCH($CG18,$B$6:$B$53,0),COLUMN()-COLUMN($CI$5)+1)&gt;0,INDEX($D$6:$CB$53,MATCH($CG18,$B$6:$B$53,0),COLUMN()-COLUMN($CI$5)+1),""))</f>
        <v/>
      </c>
      <c r="EQ18" s="1753" t="str" cm="1">
        <f t="array" ref="EQ18">IF($CG18="","",IF(INDEX($D$6:$CB$53,MATCH($CG18,$B$6:$B$53,0),COLUMN()-COLUMN($CI$5)+1)&gt;0,INDEX($D$6:$CB$53,MATCH($CG18,$B$6:$B$53,0),COLUMN()-COLUMN($CI$5)+1),""))</f>
        <v/>
      </c>
      <c r="ER18" s="1753" t="str" cm="1">
        <f t="array" ref="ER18">IF($CG18="","",IF(INDEX($D$6:$CB$53,MATCH($CG18,$B$6:$B$53,0),COLUMN()-COLUMN($CI$5)+1)&gt;0,INDEX($D$6:$CB$53,MATCH($CG18,$B$6:$B$53,0),COLUMN()-COLUMN($CI$5)+1),""))</f>
        <v/>
      </c>
      <c r="ES18" s="1753" t="str" cm="1">
        <f t="array" ref="ES18">IF($CG18="","",IF(INDEX($D$6:$CB$53,MATCH($CG18,$B$6:$B$53,0),COLUMN()-COLUMN($CI$5)+1)&gt;0,INDEX($D$6:$CB$53,MATCH($CG18,$B$6:$B$53,0),COLUMN()-COLUMN($CI$5)+1),""))</f>
        <v/>
      </c>
      <c r="ET18" s="1753" t="str" cm="1">
        <f t="array" ref="ET18">IF($CG18="","",IF(INDEX($D$6:$CB$53,MATCH($CG18,$B$6:$B$53,0),COLUMN()-COLUMN($CI$5)+1)&gt;0,INDEX($D$6:$CB$53,MATCH($CG18,$B$6:$B$53,0),COLUMN()-COLUMN($CI$5)+1),""))</f>
        <v/>
      </c>
      <c r="EU18" s="1753" t="str" cm="1">
        <f t="array" ref="EU18">IF($CG18="","",IF(INDEX($D$6:$CB$53,MATCH($CG18,$B$6:$B$53,0),COLUMN()-COLUMN($CI$5)+1)&gt;0,INDEX($D$6:$CB$53,MATCH($CG18,$B$6:$B$53,0),COLUMN()-COLUMN($CI$5)+1),""))</f>
        <v/>
      </c>
      <c r="EV18" s="1753" t="str" cm="1">
        <f t="array" ref="EV18">IF($CG18="","",IF(INDEX($D$6:$CB$53,MATCH($CG18,$B$6:$B$53,0),COLUMN()-COLUMN($CI$5)+1)&gt;0,INDEX($D$6:$CB$53,MATCH($CG18,$B$6:$B$53,0),COLUMN()-COLUMN($CI$5)+1),""))</f>
        <v/>
      </c>
      <c r="EW18" s="1753" t="str" cm="1">
        <f t="array" ref="EW18">IF($CG18="","",IF(INDEX($D$6:$CB$53,MATCH($CG18,$B$6:$B$53,0),COLUMN()-COLUMN($CI$5)+1)&gt;0,INDEX($D$6:$CB$53,MATCH($CG18,$B$6:$B$53,0),COLUMN()-COLUMN($CI$5)+1),""))</f>
        <v/>
      </c>
      <c r="EX18" s="1753" t="str" cm="1">
        <f t="array" ref="EX18">IF($CG18="","",IF(INDEX($D$6:$CB$53,MATCH($CG18,$B$6:$B$53,0),COLUMN()-COLUMN($CI$5)+1)&gt;0,INDEX($D$6:$CB$53,MATCH($CG18,$B$6:$B$53,0),COLUMN()-COLUMN($CI$5)+1),""))</f>
        <v/>
      </c>
      <c r="EY18" s="1753" t="str" cm="1">
        <f t="array" ref="EY18">IF($CG18="","",IF(INDEX($D$6:$CB$53,MATCH($CG18,$B$6:$B$53,0),COLUMN()-COLUMN($CI$5)+1)&gt;0,INDEX($D$6:$CB$53,MATCH($CG18,$B$6:$B$53,0),COLUMN()-COLUMN($CI$5)+1),""))</f>
        <v/>
      </c>
      <c r="EZ18" s="1753" t="str" cm="1">
        <f t="array" ref="EZ18">IF($CG18="","",IF(INDEX($D$6:$CB$53,MATCH($CG18,$B$6:$B$53,0),COLUMN()-COLUMN($CI$5)+1)&gt;0,INDEX($D$6:$CB$53,MATCH($CG18,$B$6:$B$53,0),COLUMN()-COLUMN($CI$5)+1),""))</f>
        <v/>
      </c>
      <c r="FA18" s="1753" t="str" cm="1">
        <f t="array" ref="FA18">IF($CG18="","",IF(INDEX($D$6:$CB$53,MATCH($CG18,$B$6:$B$53,0),COLUMN()-COLUMN($CI$5)+1)&gt;0,INDEX($D$6:$CB$53,MATCH($CG18,$B$6:$B$53,0),COLUMN()-COLUMN($CI$5)+1),""))</f>
        <v/>
      </c>
      <c r="FB18" s="1753" t="str" cm="1">
        <f t="array" ref="FB18">IF($CG18="","",IF(INDEX($D$6:$CB$53,MATCH($CG18,$B$6:$B$53,0),COLUMN()-COLUMN($CI$5)+1)&gt;0,INDEX($D$6:$CB$53,MATCH($CG18,$B$6:$B$53,0),COLUMN()-COLUMN($CI$5)+1),""))</f>
        <v/>
      </c>
      <c r="FC18" s="1753" t="str" cm="1">
        <f t="array" ref="FC18">IF($CG18="","",IF(INDEX($D$6:$CB$53,MATCH($CG18,$B$6:$B$53,0),COLUMN()-COLUMN($CI$5)+1)&gt;0,INDEX($D$6:$CB$53,MATCH($CG18,$B$6:$B$53,0),COLUMN()-COLUMN($CI$5)+1),""))</f>
        <v/>
      </c>
      <c r="FD18" s="1753" t="str" cm="1">
        <f t="array" ref="FD18">IF($CG18="","",IF(INDEX($D$6:$CB$53,MATCH($CG18,$B$6:$B$53,0),COLUMN()-COLUMN($CI$5)+1)&gt;0,INDEX($D$6:$CB$53,MATCH($CG18,$B$6:$B$53,0),COLUMN()-COLUMN($CI$5)+1),""))</f>
        <v/>
      </c>
      <c r="FE18" s="1753" t="str" cm="1">
        <f t="array" ref="FE18">IF($CG18="","",IF(INDEX($D$6:$CB$53,MATCH($CG18,$B$6:$B$53,0),COLUMN()-COLUMN($CI$5)+1)&gt;0,INDEX($D$6:$CB$53,MATCH($CG18,$B$6:$B$53,0),COLUMN()-COLUMN($CI$5)+1),""))</f>
        <v/>
      </c>
      <c r="FF18" s="1753" t="str" cm="1">
        <f t="array" ref="FF18">IF($CG18="","",IF(INDEX($D$6:$CB$53,MATCH($CG18,$B$6:$B$53,0),COLUMN()-COLUMN($CI$5)+1)&gt;0,INDEX($D$6:$CB$53,MATCH($CG18,$B$6:$B$53,0),COLUMN()-COLUMN($CI$5)+1),""))</f>
        <v/>
      </c>
      <c r="FG18" s="1758" t="str" cm="1">
        <f t="array" ref="FG18">IF($CG18="","",IF(INDEX($D$6:$CB$53,MATCH($CG18,$B$6:$B$53,0),COLUMN()-COLUMN($CI$5)+1)&gt;0,INDEX($D$6:$CB$53,MATCH($CG18,$B$6:$B$53,0),COLUMN()-COLUMN($CI$5)+1),""))</f>
        <v/>
      </c>
      <c r="FH18" s="1764" t="str">
        <f t="shared" si="4"/>
        <v/>
      </c>
      <c r="FI18" s="1756" t="str">
        <f t="shared" si="5"/>
        <v/>
      </c>
      <c r="FJ18" s="1767" t="str">
        <f t="shared" si="6"/>
        <v/>
      </c>
      <c r="FK18" s="1760"/>
    </row>
    <row r="19" spans="1:167" ht="15.75" customHeight="1">
      <c r="A19" s="1220"/>
      <c r="B19" s="1278">
        <f>+PP!B37</f>
        <v>14</v>
      </c>
      <c r="C19" s="1277" t="str">
        <f>+PP!C37</f>
        <v>FILETE C/TT DARUMA</v>
      </c>
      <c r="D19" s="1401"/>
      <c r="E19" s="1402"/>
      <c r="F19" s="1402"/>
      <c r="G19" s="1402"/>
      <c r="H19" s="1402"/>
      <c r="I19" s="1402"/>
      <c r="J19" s="1402"/>
      <c r="K19" s="1402"/>
      <c r="L19" s="1402"/>
      <c r="M19" s="1402"/>
      <c r="N19" s="1402"/>
      <c r="O19" s="1402"/>
      <c r="P19" s="1402"/>
      <c r="Q19" s="1402"/>
      <c r="R19" s="1402"/>
      <c r="S19" s="1402"/>
      <c r="T19" s="1402"/>
      <c r="U19" s="1402"/>
      <c r="V19" s="1402"/>
      <c r="W19" s="1402"/>
      <c r="X19" s="1402"/>
      <c r="Y19" s="1402"/>
      <c r="Z19" s="1402"/>
      <c r="AA19" s="1402"/>
      <c r="AB19" s="1402"/>
      <c r="AC19" s="1402"/>
      <c r="AD19" s="1402"/>
      <c r="AE19" s="1402"/>
      <c r="AF19" s="1402"/>
      <c r="AG19" s="1402"/>
      <c r="AH19" s="1403"/>
      <c r="AI19" s="1232"/>
      <c r="AJ19" s="1232"/>
      <c r="AK19" s="1232"/>
      <c r="AL19" s="1232"/>
      <c r="AM19" s="1232"/>
      <c r="AN19" s="1232"/>
      <c r="AO19" s="1232"/>
      <c r="AP19" s="1217"/>
      <c r="AQ19" s="1217"/>
      <c r="AR19" s="1217"/>
      <c r="AS19" s="1217"/>
      <c r="AT19" s="1217"/>
      <c r="AU19" s="1217"/>
      <c r="AV19" s="1217"/>
      <c r="AW19" s="1217"/>
      <c r="AX19" s="1217"/>
      <c r="AY19" s="1217"/>
      <c r="AZ19" s="1217"/>
      <c r="BA19" s="1217"/>
      <c r="BB19" s="1217"/>
      <c r="BC19" s="1217"/>
      <c r="BD19" s="1217"/>
      <c r="BE19" s="1217"/>
      <c r="BF19" s="1217"/>
      <c r="BG19" s="1217"/>
      <c r="BH19" s="1217"/>
      <c r="BI19" s="1217"/>
      <c r="BJ19" s="1217"/>
      <c r="BK19" s="1217"/>
      <c r="BL19" s="1217"/>
      <c r="BM19" s="1217"/>
      <c r="BN19" s="1217"/>
      <c r="BO19" s="1217"/>
      <c r="BP19" s="1217"/>
      <c r="BQ19" s="1217"/>
      <c r="BR19" s="1562"/>
      <c r="BS19" s="1562"/>
      <c r="BT19" s="1562"/>
      <c r="BU19" s="1562"/>
      <c r="BV19" s="1562"/>
      <c r="BW19" s="1562"/>
      <c r="BX19" s="1562"/>
      <c r="BY19" s="1562"/>
      <c r="BZ19" s="1562"/>
      <c r="CA19" s="1562"/>
      <c r="CB19" s="1563"/>
      <c r="CC19" s="1549">
        <f t="shared" si="0"/>
        <v>0</v>
      </c>
      <c r="CD19" s="1233">
        <f t="shared" si="1"/>
        <v>0</v>
      </c>
      <c r="CE19" s="1234">
        <f t="shared" si="2"/>
        <v>0</v>
      </c>
      <c r="CF19" s="1220"/>
      <c r="CG19" s="1751" t="str" cm="1">
        <f t="array" ref="CG19">IFERROR(INDEX($B$6:$B$53,_xlfn.AGGREGATE(15,6,(ROW($B$6:$B$53)-ROW($B$6)+1)/(MMULT(--($D$6:$CB$53&gt;0),TRANSPOSE(COLUMN($D$6:$CB$6)^0))&gt;0),ROWS($CG$6:CG19))),"")</f>
        <v/>
      </c>
      <c r="CH19" s="1752" t="str">
        <f t="shared" si="3"/>
        <v/>
      </c>
      <c r="CI19" s="1753" t="str" cm="1">
        <f t="array" ref="CI19">IF($CG19="","",IF(INDEX($D$6:$CB$53,MATCH($CG19,$B$6:$B$53,0),COLUMN()-COLUMN($CI$5)+1)&gt;0,INDEX($D$6:$CB$53,MATCH($CG19,$B$6:$B$53,0),COLUMN()-COLUMN($CI$5)+1),""))</f>
        <v/>
      </c>
      <c r="CJ19" s="1753" t="str" cm="1">
        <f t="array" ref="CJ19">IF($CG19="","",IF(INDEX($D$6:$CB$53,MATCH($CG19,$B$6:$B$53,0),COLUMN()-COLUMN($CI$5)+1)&gt;0,INDEX($D$6:$CB$53,MATCH($CG19,$B$6:$B$53,0),COLUMN()-COLUMN($CI$5)+1),""))</f>
        <v/>
      </c>
      <c r="CK19" s="1753" t="str" cm="1">
        <f t="array" ref="CK19">IF($CG19="","",IF(INDEX($D$6:$CB$53,MATCH($CG19,$B$6:$B$53,0),COLUMN()-COLUMN($CI$5)+1)&gt;0,INDEX($D$6:$CB$53,MATCH($CG19,$B$6:$B$53,0),COLUMN()-COLUMN($CI$5)+1),""))</f>
        <v/>
      </c>
      <c r="CL19" s="1753" t="str" cm="1">
        <f t="array" ref="CL19">IF($CG19="","",IF(INDEX($D$6:$CB$53,MATCH($CG19,$B$6:$B$53,0),COLUMN()-COLUMN($CI$5)+1)&gt;0,INDEX($D$6:$CB$53,MATCH($CG19,$B$6:$B$53,0),COLUMN()-COLUMN($CI$5)+1),""))</f>
        <v/>
      </c>
      <c r="CM19" s="1753" t="str" cm="1">
        <f t="array" ref="CM19">IF($CG19="","",IF(INDEX($D$6:$CB$53,MATCH($CG19,$B$6:$B$53,0),COLUMN()-COLUMN($CI$5)+1)&gt;0,INDEX($D$6:$CB$53,MATCH($CG19,$B$6:$B$53,0),COLUMN()-COLUMN($CI$5)+1),""))</f>
        <v/>
      </c>
      <c r="CN19" s="1753" t="str" cm="1">
        <f t="array" ref="CN19">IF($CG19="","",IF(INDEX($D$6:$CB$53,MATCH($CG19,$B$6:$B$53,0),COLUMN()-COLUMN($CI$5)+1)&gt;0,INDEX($D$6:$CB$53,MATCH($CG19,$B$6:$B$53,0),COLUMN()-COLUMN($CI$5)+1),""))</f>
        <v/>
      </c>
      <c r="CO19" s="1753" t="str" cm="1">
        <f t="array" ref="CO19">IF($CG19="","",IF(INDEX($D$6:$CB$53,MATCH($CG19,$B$6:$B$53,0),COLUMN()-COLUMN($CI$5)+1)&gt;0,INDEX($D$6:$CB$53,MATCH($CG19,$B$6:$B$53,0),COLUMN()-COLUMN($CI$5)+1),""))</f>
        <v/>
      </c>
      <c r="CP19" s="1753" t="str" cm="1">
        <f t="array" ref="CP19">IF($CG19="","",IF(INDEX($D$6:$CB$53,MATCH($CG19,$B$6:$B$53,0),COLUMN()-COLUMN($CI$5)+1)&gt;0,INDEX($D$6:$CB$53,MATCH($CG19,$B$6:$B$53,0),COLUMN()-COLUMN($CI$5)+1),""))</f>
        <v/>
      </c>
      <c r="CQ19" s="1753" t="str" cm="1">
        <f t="array" ref="CQ19">IF($CG19="","",IF(INDEX($D$6:$CB$53,MATCH($CG19,$B$6:$B$53,0),COLUMN()-COLUMN($CI$5)+1)&gt;0,INDEX($D$6:$CB$53,MATCH($CG19,$B$6:$B$53,0),COLUMN()-COLUMN($CI$5)+1),""))</f>
        <v/>
      </c>
      <c r="CR19" s="1753" t="str" cm="1">
        <f t="array" ref="CR19">IF($CG19="","",IF(INDEX($D$6:$CB$53,MATCH($CG19,$B$6:$B$53,0),COLUMN()-COLUMN($CI$5)+1)&gt;0,INDEX($D$6:$CB$53,MATCH($CG19,$B$6:$B$53,0),COLUMN()-COLUMN($CI$5)+1),""))</f>
        <v/>
      </c>
      <c r="CS19" s="1753" t="str" cm="1">
        <f t="array" ref="CS19">IF($CG19="","",IF(INDEX($D$6:$CB$53,MATCH($CG19,$B$6:$B$53,0),COLUMN()-COLUMN($CI$5)+1)&gt;0,INDEX($D$6:$CB$53,MATCH($CG19,$B$6:$B$53,0),COLUMN()-COLUMN($CI$5)+1),""))</f>
        <v/>
      </c>
      <c r="CT19" s="1753" t="str" cm="1">
        <f t="array" ref="CT19">IF($CG19="","",IF(INDEX($D$6:$CB$53,MATCH($CG19,$B$6:$B$53,0),COLUMN()-COLUMN($CI$5)+1)&gt;0,INDEX($D$6:$CB$53,MATCH($CG19,$B$6:$B$53,0),COLUMN()-COLUMN($CI$5)+1),""))</f>
        <v/>
      </c>
      <c r="CU19" s="1753" t="str" cm="1">
        <f t="array" ref="CU19">IF($CG19="","",IF(INDEX($D$6:$CB$53,MATCH($CG19,$B$6:$B$53,0),COLUMN()-COLUMN($CI$5)+1)&gt;0,INDEX($D$6:$CB$53,MATCH($CG19,$B$6:$B$53,0),COLUMN()-COLUMN($CI$5)+1),""))</f>
        <v/>
      </c>
      <c r="CV19" s="1753" t="str" cm="1">
        <f t="array" ref="CV19">IF($CG19="","",IF(INDEX($D$6:$CB$53,MATCH($CG19,$B$6:$B$53,0),COLUMN()-COLUMN($CI$5)+1)&gt;0,INDEX($D$6:$CB$53,MATCH($CG19,$B$6:$B$53,0),COLUMN()-COLUMN($CI$5)+1),""))</f>
        <v/>
      </c>
      <c r="CW19" s="1753" t="str" cm="1">
        <f t="array" ref="CW19">IF($CG19="","",IF(INDEX($D$6:$CB$53,MATCH($CG19,$B$6:$B$53,0),COLUMN()-COLUMN($CI$5)+1)&gt;0,INDEX($D$6:$CB$53,MATCH($CG19,$B$6:$B$53,0),COLUMN()-COLUMN($CI$5)+1),""))</f>
        <v/>
      </c>
      <c r="CX19" s="1753" t="str" cm="1">
        <f t="array" ref="CX19">IF($CG19="","",IF(INDEX($D$6:$CB$53,MATCH($CG19,$B$6:$B$53,0),COLUMN()-COLUMN($CI$5)+1)&gt;0,INDEX($D$6:$CB$53,MATCH($CG19,$B$6:$B$53,0),COLUMN()-COLUMN($CI$5)+1),""))</f>
        <v/>
      </c>
      <c r="CY19" s="1753" t="str" cm="1">
        <f t="array" ref="CY19">IF($CG19="","",IF(INDEX($D$6:$CB$53,MATCH($CG19,$B$6:$B$53,0),COLUMN()-COLUMN($CI$5)+1)&gt;0,INDEX($D$6:$CB$53,MATCH($CG19,$B$6:$B$53,0),COLUMN()-COLUMN($CI$5)+1),""))</f>
        <v/>
      </c>
      <c r="CZ19" s="1753" t="str" cm="1">
        <f t="array" ref="CZ19">IF($CG19="","",IF(INDEX($D$6:$CB$53,MATCH($CG19,$B$6:$B$53,0),COLUMN()-COLUMN($CI$5)+1)&gt;0,INDEX($D$6:$CB$53,MATCH($CG19,$B$6:$B$53,0),COLUMN()-COLUMN($CI$5)+1),""))</f>
        <v/>
      </c>
      <c r="DA19" s="1753" t="str" cm="1">
        <f t="array" ref="DA19">IF($CG19="","",IF(INDEX($D$6:$CB$53,MATCH($CG19,$B$6:$B$53,0),COLUMN()-COLUMN($CI$5)+1)&gt;0,INDEX($D$6:$CB$53,MATCH($CG19,$B$6:$B$53,0),COLUMN()-COLUMN($CI$5)+1),""))</f>
        <v/>
      </c>
      <c r="DB19" s="1753" t="str" cm="1">
        <f t="array" ref="DB19">IF($CG19="","",IF(INDEX($D$6:$CB$53,MATCH($CG19,$B$6:$B$53,0),COLUMN()-COLUMN($CI$5)+1)&gt;0,INDEX($D$6:$CB$53,MATCH($CG19,$B$6:$B$53,0),COLUMN()-COLUMN($CI$5)+1),""))</f>
        <v/>
      </c>
      <c r="DC19" s="1753" t="str" cm="1">
        <f t="array" ref="DC19">IF($CG19="","",IF(INDEX($D$6:$CB$53,MATCH($CG19,$B$6:$B$53,0),COLUMN()-COLUMN($CI$5)+1)&gt;0,INDEX($D$6:$CB$53,MATCH($CG19,$B$6:$B$53,0),COLUMN()-COLUMN($CI$5)+1),""))</f>
        <v/>
      </c>
      <c r="DD19" s="1753" t="str" cm="1">
        <f t="array" ref="DD19">IF($CG19="","",IF(INDEX($D$6:$CB$53,MATCH($CG19,$B$6:$B$53,0),COLUMN()-COLUMN($CI$5)+1)&gt;0,INDEX($D$6:$CB$53,MATCH($CG19,$B$6:$B$53,0),COLUMN()-COLUMN($CI$5)+1),""))</f>
        <v/>
      </c>
      <c r="DE19" s="1753" t="str" cm="1">
        <f t="array" ref="DE19">IF($CG19="","",IF(INDEX($D$6:$CB$53,MATCH($CG19,$B$6:$B$53,0),COLUMN()-COLUMN($CI$5)+1)&gt;0,INDEX($D$6:$CB$53,MATCH($CG19,$B$6:$B$53,0),COLUMN()-COLUMN($CI$5)+1),""))</f>
        <v/>
      </c>
      <c r="DF19" s="1753" t="str" cm="1">
        <f t="array" ref="DF19">IF($CG19="","",IF(INDEX($D$6:$CB$53,MATCH($CG19,$B$6:$B$53,0),COLUMN()-COLUMN($CI$5)+1)&gt;0,INDEX($D$6:$CB$53,MATCH($CG19,$B$6:$B$53,0),COLUMN()-COLUMN($CI$5)+1),""))</f>
        <v/>
      </c>
      <c r="DG19" s="1753" t="str" cm="1">
        <f t="array" ref="DG19">IF($CG19="","",IF(INDEX($D$6:$CB$53,MATCH($CG19,$B$6:$B$53,0),COLUMN()-COLUMN($CI$5)+1)&gt;0,INDEX($D$6:$CB$53,MATCH($CG19,$B$6:$B$53,0),COLUMN()-COLUMN($CI$5)+1),""))</f>
        <v/>
      </c>
      <c r="DH19" s="1753" t="str" cm="1">
        <f t="array" ref="DH19">IF($CG19="","",IF(INDEX($D$6:$CB$53,MATCH($CG19,$B$6:$B$53,0),COLUMN()-COLUMN($CI$5)+1)&gt;0,INDEX($D$6:$CB$53,MATCH($CG19,$B$6:$B$53,0),COLUMN()-COLUMN($CI$5)+1),""))</f>
        <v/>
      </c>
      <c r="DI19" s="1753" t="str" cm="1">
        <f t="array" ref="DI19">IF($CG19="","",IF(INDEX($D$6:$CB$53,MATCH($CG19,$B$6:$B$53,0),COLUMN()-COLUMN($CI$5)+1)&gt;0,INDEX($D$6:$CB$53,MATCH($CG19,$B$6:$B$53,0),COLUMN()-COLUMN($CI$5)+1),""))</f>
        <v/>
      </c>
      <c r="DJ19" s="1753" t="str" cm="1">
        <f t="array" ref="DJ19">IF($CG19="","",IF(INDEX($D$6:$CB$53,MATCH($CG19,$B$6:$B$53,0),COLUMN()-COLUMN($CI$5)+1)&gt;0,INDEX($D$6:$CB$53,MATCH($CG19,$B$6:$B$53,0),COLUMN()-COLUMN($CI$5)+1),""))</f>
        <v/>
      </c>
      <c r="DK19" s="1753" t="str" cm="1">
        <f t="array" ref="DK19">IF($CG19="","",IF(INDEX($D$6:$CB$53,MATCH($CG19,$B$6:$B$53,0),COLUMN()-COLUMN($CI$5)+1)&gt;0,INDEX($D$6:$CB$53,MATCH($CG19,$B$6:$B$53,0),COLUMN()-COLUMN($CI$5)+1),""))</f>
        <v/>
      </c>
      <c r="DL19" s="1753" t="str" cm="1">
        <f t="array" ref="DL19">IF($CG19="","",IF(INDEX($D$6:$CB$53,MATCH($CG19,$B$6:$B$53,0),COLUMN()-COLUMN($CI$5)+1)&gt;0,INDEX($D$6:$CB$53,MATCH($CG19,$B$6:$B$53,0),COLUMN()-COLUMN($CI$5)+1),""))</f>
        <v/>
      </c>
      <c r="DM19" s="1753" t="str" cm="1">
        <f t="array" ref="DM19">IF($CG19="","",IF(INDEX($D$6:$CB$53,MATCH($CG19,$B$6:$B$53,0),COLUMN()-COLUMN($CI$5)+1)&gt;0,INDEX($D$6:$CB$53,MATCH($CG19,$B$6:$B$53,0),COLUMN()-COLUMN($CI$5)+1),""))</f>
        <v/>
      </c>
      <c r="DN19" s="1753" t="str" cm="1">
        <f t="array" ref="DN19">IF($CG19="","",IF(INDEX($D$6:$CB$53,MATCH($CG19,$B$6:$B$53,0),COLUMN()-COLUMN($CI$5)+1)&gt;0,INDEX($D$6:$CB$53,MATCH($CG19,$B$6:$B$53,0),COLUMN()-COLUMN($CI$5)+1),""))</f>
        <v/>
      </c>
      <c r="DO19" s="1753" t="str" cm="1">
        <f t="array" ref="DO19">IF($CG19="","",IF(INDEX($D$6:$CB$53,MATCH($CG19,$B$6:$B$53,0),COLUMN()-COLUMN($CI$5)+1)&gt;0,INDEX($D$6:$CB$53,MATCH($CG19,$B$6:$B$53,0),COLUMN()-COLUMN($CI$5)+1),""))</f>
        <v/>
      </c>
      <c r="DP19" s="1753" t="str" cm="1">
        <f t="array" ref="DP19">IF($CG19="","",IF(INDEX($D$6:$CB$53,MATCH($CG19,$B$6:$B$53,0),COLUMN()-COLUMN($CI$5)+1)&gt;0,INDEX($D$6:$CB$53,MATCH($CG19,$B$6:$B$53,0),COLUMN()-COLUMN($CI$5)+1),""))</f>
        <v/>
      </c>
      <c r="DQ19" s="1753" t="str" cm="1">
        <f t="array" ref="DQ19">IF($CG19="","",IF(INDEX($D$6:$CB$53,MATCH($CG19,$B$6:$B$53,0),COLUMN()-COLUMN($CI$5)+1)&gt;0,INDEX($D$6:$CB$53,MATCH($CG19,$B$6:$B$53,0),COLUMN()-COLUMN($CI$5)+1),""))</f>
        <v/>
      </c>
      <c r="DR19" s="1753" t="str" cm="1">
        <f t="array" ref="DR19">IF($CG19="","",IF(INDEX($D$6:$CB$53,MATCH($CG19,$B$6:$B$53,0),COLUMN()-COLUMN($CI$5)+1)&gt;0,INDEX($D$6:$CB$53,MATCH($CG19,$B$6:$B$53,0),COLUMN()-COLUMN($CI$5)+1),""))</f>
        <v/>
      </c>
      <c r="DS19" s="1753" t="str" cm="1">
        <f t="array" ref="DS19">IF($CG19="","",IF(INDEX($D$6:$CB$53,MATCH($CG19,$B$6:$B$53,0),COLUMN()-COLUMN($CI$5)+1)&gt;0,INDEX($D$6:$CB$53,MATCH($CG19,$B$6:$B$53,0),COLUMN()-COLUMN($CI$5)+1),""))</f>
        <v/>
      </c>
      <c r="DT19" s="1753" t="str" cm="1">
        <f t="array" ref="DT19">IF($CG19="","",IF(INDEX($D$6:$CB$53,MATCH($CG19,$B$6:$B$53,0),COLUMN()-COLUMN($CI$5)+1)&gt;0,INDEX($D$6:$CB$53,MATCH($CG19,$B$6:$B$53,0),COLUMN()-COLUMN($CI$5)+1),""))</f>
        <v/>
      </c>
      <c r="DU19" s="1753" t="str" cm="1">
        <f t="array" ref="DU19">IF($CG19="","",IF(INDEX($D$6:$CB$53,MATCH($CG19,$B$6:$B$53,0),COLUMN()-COLUMN($CI$5)+1)&gt;0,INDEX($D$6:$CB$53,MATCH($CG19,$B$6:$B$53,0),COLUMN()-COLUMN($CI$5)+1),""))</f>
        <v/>
      </c>
      <c r="DV19" s="1753" t="str" cm="1">
        <f t="array" ref="DV19">IF($CG19="","",IF(INDEX($D$6:$CB$53,MATCH($CG19,$B$6:$B$53,0),COLUMN()-COLUMN($CI$5)+1)&gt;0,INDEX($D$6:$CB$53,MATCH($CG19,$B$6:$B$53,0),COLUMN()-COLUMN($CI$5)+1),""))</f>
        <v/>
      </c>
      <c r="DW19" s="1753" t="str" cm="1">
        <f t="array" ref="DW19">IF($CG19="","",IF(INDEX($D$6:$CB$53,MATCH($CG19,$B$6:$B$53,0),COLUMN()-COLUMN($CI$5)+1)&gt;0,INDEX($D$6:$CB$53,MATCH($CG19,$B$6:$B$53,0),COLUMN()-COLUMN($CI$5)+1),""))</f>
        <v/>
      </c>
      <c r="DX19" s="1753" t="str" cm="1">
        <f t="array" ref="DX19">IF($CG19="","",IF(INDEX($D$6:$CB$53,MATCH($CG19,$B$6:$B$53,0),COLUMN()-COLUMN($CI$5)+1)&gt;0,INDEX($D$6:$CB$53,MATCH($CG19,$B$6:$B$53,0),COLUMN()-COLUMN($CI$5)+1),""))</f>
        <v/>
      </c>
      <c r="DY19" s="1753" t="str" cm="1">
        <f t="array" ref="DY19">IF($CG19="","",IF(INDEX($D$6:$CB$53,MATCH($CG19,$B$6:$B$53,0),COLUMN()-COLUMN($CI$5)+1)&gt;0,INDEX($D$6:$CB$53,MATCH($CG19,$B$6:$B$53,0),COLUMN()-COLUMN($CI$5)+1),""))</f>
        <v/>
      </c>
      <c r="DZ19" s="1753" t="str" cm="1">
        <f t="array" ref="DZ19">IF($CG19="","",IF(INDEX($D$6:$CB$53,MATCH($CG19,$B$6:$B$53,0),COLUMN()-COLUMN($CI$5)+1)&gt;0,INDEX($D$6:$CB$53,MATCH($CG19,$B$6:$B$53,0),COLUMN()-COLUMN($CI$5)+1),""))</f>
        <v/>
      </c>
      <c r="EA19" s="1753" t="str" cm="1">
        <f t="array" ref="EA19">IF($CG19="","",IF(INDEX($D$6:$CB$53,MATCH($CG19,$B$6:$B$53,0),COLUMN()-COLUMN($CI$5)+1)&gt;0,INDEX($D$6:$CB$53,MATCH($CG19,$B$6:$B$53,0),COLUMN()-COLUMN($CI$5)+1),""))</f>
        <v/>
      </c>
      <c r="EB19" s="1753" t="str" cm="1">
        <f t="array" ref="EB19">IF($CG19="","",IF(INDEX($D$6:$CB$53,MATCH($CG19,$B$6:$B$53,0),COLUMN()-COLUMN($CI$5)+1)&gt;0,INDEX($D$6:$CB$53,MATCH($CG19,$B$6:$B$53,0),COLUMN()-COLUMN($CI$5)+1),""))</f>
        <v/>
      </c>
      <c r="EC19" s="1753" t="str" cm="1">
        <f t="array" ref="EC19">IF($CG19="","",IF(INDEX($D$6:$CB$53,MATCH($CG19,$B$6:$B$53,0),COLUMN()-COLUMN($CI$5)+1)&gt;0,INDEX($D$6:$CB$53,MATCH($CG19,$B$6:$B$53,0),COLUMN()-COLUMN($CI$5)+1),""))</f>
        <v/>
      </c>
      <c r="ED19" s="1753" t="str" cm="1">
        <f t="array" ref="ED19">IF($CG19="","",IF(INDEX($D$6:$CB$53,MATCH($CG19,$B$6:$B$53,0),COLUMN()-COLUMN($CI$5)+1)&gt;0,INDEX($D$6:$CB$53,MATCH($CG19,$B$6:$B$53,0),COLUMN()-COLUMN($CI$5)+1),""))</f>
        <v/>
      </c>
      <c r="EE19" s="1753" t="str" cm="1">
        <f t="array" ref="EE19">IF($CG19="","",IF(INDEX($D$6:$CB$53,MATCH($CG19,$B$6:$B$53,0),COLUMN()-COLUMN($CI$5)+1)&gt;0,INDEX($D$6:$CB$53,MATCH($CG19,$B$6:$B$53,0),COLUMN()-COLUMN($CI$5)+1),""))</f>
        <v/>
      </c>
      <c r="EF19" s="1753" t="str" cm="1">
        <f t="array" ref="EF19">IF($CG19="","",IF(INDEX($D$6:$CB$53,MATCH($CG19,$B$6:$B$53,0),COLUMN()-COLUMN($CI$5)+1)&gt;0,INDEX($D$6:$CB$53,MATCH($CG19,$B$6:$B$53,0),COLUMN()-COLUMN($CI$5)+1),""))</f>
        <v/>
      </c>
      <c r="EG19" s="1753" t="str" cm="1">
        <f t="array" ref="EG19">IF($CG19="","",IF(INDEX($D$6:$CB$53,MATCH($CG19,$B$6:$B$53,0),COLUMN()-COLUMN($CI$5)+1)&gt;0,INDEX($D$6:$CB$53,MATCH($CG19,$B$6:$B$53,0),COLUMN()-COLUMN($CI$5)+1),""))</f>
        <v/>
      </c>
      <c r="EH19" s="1753" t="str" cm="1">
        <f t="array" ref="EH19">IF($CG19="","",IF(INDEX($D$6:$CB$53,MATCH($CG19,$B$6:$B$53,0),COLUMN()-COLUMN($CI$5)+1)&gt;0,INDEX($D$6:$CB$53,MATCH($CG19,$B$6:$B$53,0),COLUMN()-COLUMN($CI$5)+1),""))</f>
        <v/>
      </c>
      <c r="EI19" s="1753" t="str" cm="1">
        <f t="array" ref="EI19">IF($CG19="","",IF(INDEX($D$6:$CB$53,MATCH($CG19,$B$6:$B$53,0),COLUMN()-COLUMN($CI$5)+1)&gt;0,INDEX($D$6:$CB$53,MATCH($CG19,$B$6:$B$53,0),COLUMN()-COLUMN($CI$5)+1),""))</f>
        <v/>
      </c>
      <c r="EJ19" s="1753" t="str" cm="1">
        <f t="array" ref="EJ19">IF($CG19="","",IF(INDEX($D$6:$CB$53,MATCH($CG19,$B$6:$B$53,0),COLUMN()-COLUMN($CI$5)+1)&gt;0,INDEX($D$6:$CB$53,MATCH($CG19,$B$6:$B$53,0),COLUMN()-COLUMN($CI$5)+1),""))</f>
        <v/>
      </c>
      <c r="EK19" s="1753" t="str" cm="1">
        <f t="array" ref="EK19">IF($CG19="","",IF(INDEX($D$6:$CB$53,MATCH($CG19,$B$6:$B$53,0),COLUMN()-COLUMN($CI$5)+1)&gt;0,INDEX($D$6:$CB$53,MATCH($CG19,$B$6:$B$53,0),COLUMN()-COLUMN($CI$5)+1),""))</f>
        <v/>
      </c>
      <c r="EL19" s="1753" t="str" cm="1">
        <f t="array" ref="EL19">IF($CG19="","",IF(INDEX($D$6:$CB$53,MATCH($CG19,$B$6:$B$53,0),COLUMN()-COLUMN($CI$5)+1)&gt;0,INDEX($D$6:$CB$53,MATCH($CG19,$B$6:$B$53,0),COLUMN()-COLUMN($CI$5)+1),""))</f>
        <v/>
      </c>
      <c r="EM19" s="1753" t="str" cm="1">
        <f t="array" ref="EM19">IF($CG19="","",IF(INDEX($D$6:$CB$53,MATCH($CG19,$B$6:$B$53,0),COLUMN()-COLUMN($CI$5)+1)&gt;0,INDEX($D$6:$CB$53,MATCH($CG19,$B$6:$B$53,0),COLUMN()-COLUMN($CI$5)+1),""))</f>
        <v/>
      </c>
      <c r="EN19" s="1753" t="str" cm="1">
        <f t="array" ref="EN19">IF($CG19="","",IF(INDEX($D$6:$CB$53,MATCH($CG19,$B$6:$B$53,0),COLUMN()-COLUMN($CI$5)+1)&gt;0,INDEX($D$6:$CB$53,MATCH($CG19,$B$6:$B$53,0),COLUMN()-COLUMN($CI$5)+1),""))</f>
        <v/>
      </c>
      <c r="EO19" s="1753" t="str" cm="1">
        <f t="array" ref="EO19">IF($CG19="","",IF(INDEX($D$6:$CB$53,MATCH($CG19,$B$6:$B$53,0),COLUMN()-COLUMN($CI$5)+1)&gt;0,INDEX($D$6:$CB$53,MATCH($CG19,$B$6:$B$53,0),COLUMN()-COLUMN($CI$5)+1),""))</f>
        <v/>
      </c>
      <c r="EP19" s="1753" t="str" cm="1">
        <f t="array" ref="EP19">IF($CG19="","",IF(INDEX($D$6:$CB$53,MATCH($CG19,$B$6:$B$53,0),COLUMN()-COLUMN($CI$5)+1)&gt;0,INDEX($D$6:$CB$53,MATCH($CG19,$B$6:$B$53,0),COLUMN()-COLUMN($CI$5)+1),""))</f>
        <v/>
      </c>
      <c r="EQ19" s="1753" t="str" cm="1">
        <f t="array" ref="EQ19">IF($CG19="","",IF(INDEX($D$6:$CB$53,MATCH($CG19,$B$6:$B$53,0),COLUMN()-COLUMN($CI$5)+1)&gt;0,INDEX($D$6:$CB$53,MATCH($CG19,$B$6:$B$53,0),COLUMN()-COLUMN($CI$5)+1),""))</f>
        <v/>
      </c>
      <c r="ER19" s="1753" t="str" cm="1">
        <f t="array" ref="ER19">IF($CG19="","",IF(INDEX($D$6:$CB$53,MATCH($CG19,$B$6:$B$53,0),COLUMN()-COLUMN($CI$5)+1)&gt;0,INDEX($D$6:$CB$53,MATCH($CG19,$B$6:$B$53,0),COLUMN()-COLUMN($CI$5)+1),""))</f>
        <v/>
      </c>
      <c r="ES19" s="1753" t="str" cm="1">
        <f t="array" ref="ES19">IF($CG19="","",IF(INDEX($D$6:$CB$53,MATCH($CG19,$B$6:$B$53,0),COLUMN()-COLUMN($CI$5)+1)&gt;0,INDEX($D$6:$CB$53,MATCH($CG19,$B$6:$B$53,0),COLUMN()-COLUMN($CI$5)+1),""))</f>
        <v/>
      </c>
      <c r="ET19" s="1753" t="str" cm="1">
        <f t="array" ref="ET19">IF($CG19="","",IF(INDEX($D$6:$CB$53,MATCH($CG19,$B$6:$B$53,0),COLUMN()-COLUMN($CI$5)+1)&gt;0,INDEX($D$6:$CB$53,MATCH($CG19,$B$6:$B$53,0),COLUMN()-COLUMN($CI$5)+1),""))</f>
        <v/>
      </c>
      <c r="EU19" s="1753" t="str" cm="1">
        <f t="array" ref="EU19">IF($CG19="","",IF(INDEX($D$6:$CB$53,MATCH($CG19,$B$6:$B$53,0),COLUMN()-COLUMN($CI$5)+1)&gt;0,INDEX($D$6:$CB$53,MATCH($CG19,$B$6:$B$53,0),COLUMN()-COLUMN($CI$5)+1),""))</f>
        <v/>
      </c>
      <c r="EV19" s="1753" t="str" cm="1">
        <f t="array" ref="EV19">IF($CG19="","",IF(INDEX($D$6:$CB$53,MATCH($CG19,$B$6:$B$53,0),COLUMN()-COLUMN($CI$5)+1)&gt;0,INDEX($D$6:$CB$53,MATCH($CG19,$B$6:$B$53,0),COLUMN()-COLUMN($CI$5)+1),""))</f>
        <v/>
      </c>
      <c r="EW19" s="1753" t="str" cm="1">
        <f t="array" ref="EW19">IF($CG19="","",IF(INDEX($D$6:$CB$53,MATCH($CG19,$B$6:$B$53,0),COLUMN()-COLUMN($CI$5)+1)&gt;0,INDEX($D$6:$CB$53,MATCH($CG19,$B$6:$B$53,0),COLUMN()-COLUMN($CI$5)+1),""))</f>
        <v/>
      </c>
      <c r="EX19" s="1753" t="str" cm="1">
        <f t="array" ref="EX19">IF($CG19="","",IF(INDEX($D$6:$CB$53,MATCH($CG19,$B$6:$B$53,0),COLUMN()-COLUMN($CI$5)+1)&gt;0,INDEX($D$6:$CB$53,MATCH($CG19,$B$6:$B$53,0),COLUMN()-COLUMN($CI$5)+1),""))</f>
        <v/>
      </c>
      <c r="EY19" s="1753" t="str" cm="1">
        <f t="array" ref="EY19">IF($CG19="","",IF(INDEX($D$6:$CB$53,MATCH($CG19,$B$6:$B$53,0),COLUMN()-COLUMN($CI$5)+1)&gt;0,INDEX($D$6:$CB$53,MATCH($CG19,$B$6:$B$53,0),COLUMN()-COLUMN($CI$5)+1),""))</f>
        <v/>
      </c>
      <c r="EZ19" s="1753" t="str" cm="1">
        <f t="array" ref="EZ19">IF($CG19="","",IF(INDEX($D$6:$CB$53,MATCH($CG19,$B$6:$B$53,0),COLUMN()-COLUMN($CI$5)+1)&gt;0,INDEX($D$6:$CB$53,MATCH($CG19,$B$6:$B$53,0),COLUMN()-COLUMN($CI$5)+1),""))</f>
        <v/>
      </c>
      <c r="FA19" s="1753" t="str" cm="1">
        <f t="array" ref="FA19">IF($CG19="","",IF(INDEX($D$6:$CB$53,MATCH($CG19,$B$6:$B$53,0),COLUMN()-COLUMN($CI$5)+1)&gt;0,INDEX($D$6:$CB$53,MATCH($CG19,$B$6:$B$53,0),COLUMN()-COLUMN($CI$5)+1),""))</f>
        <v/>
      </c>
      <c r="FB19" s="1753" t="str" cm="1">
        <f t="array" ref="FB19">IF($CG19="","",IF(INDEX($D$6:$CB$53,MATCH($CG19,$B$6:$B$53,0),COLUMN()-COLUMN($CI$5)+1)&gt;0,INDEX($D$6:$CB$53,MATCH($CG19,$B$6:$B$53,0),COLUMN()-COLUMN($CI$5)+1),""))</f>
        <v/>
      </c>
      <c r="FC19" s="1753" t="str" cm="1">
        <f t="array" ref="FC19">IF($CG19="","",IF(INDEX($D$6:$CB$53,MATCH($CG19,$B$6:$B$53,0),COLUMN()-COLUMN($CI$5)+1)&gt;0,INDEX($D$6:$CB$53,MATCH($CG19,$B$6:$B$53,0),COLUMN()-COLUMN($CI$5)+1),""))</f>
        <v/>
      </c>
      <c r="FD19" s="1753" t="str" cm="1">
        <f t="array" ref="FD19">IF($CG19="","",IF(INDEX($D$6:$CB$53,MATCH($CG19,$B$6:$B$53,0),COLUMN()-COLUMN($CI$5)+1)&gt;0,INDEX($D$6:$CB$53,MATCH($CG19,$B$6:$B$53,0),COLUMN()-COLUMN($CI$5)+1),""))</f>
        <v/>
      </c>
      <c r="FE19" s="1753" t="str" cm="1">
        <f t="array" ref="FE19">IF($CG19="","",IF(INDEX($D$6:$CB$53,MATCH($CG19,$B$6:$B$53,0),COLUMN()-COLUMN($CI$5)+1)&gt;0,INDEX($D$6:$CB$53,MATCH($CG19,$B$6:$B$53,0),COLUMN()-COLUMN($CI$5)+1),""))</f>
        <v/>
      </c>
      <c r="FF19" s="1753" t="str" cm="1">
        <f t="array" ref="FF19">IF($CG19="","",IF(INDEX($D$6:$CB$53,MATCH($CG19,$B$6:$B$53,0),COLUMN()-COLUMN($CI$5)+1)&gt;0,INDEX($D$6:$CB$53,MATCH($CG19,$B$6:$B$53,0),COLUMN()-COLUMN($CI$5)+1),""))</f>
        <v/>
      </c>
      <c r="FG19" s="1758" t="str" cm="1">
        <f t="array" ref="FG19">IF($CG19="","",IF(INDEX($D$6:$CB$53,MATCH($CG19,$B$6:$B$53,0),COLUMN()-COLUMN($CI$5)+1)&gt;0,INDEX($D$6:$CB$53,MATCH($CG19,$B$6:$B$53,0),COLUMN()-COLUMN($CI$5)+1),""))</f>
        <v/>
      </c>
      <c r="FH19" s="1764" t="str">
        <f t="shared" si="4"/>
        <v/>
      </c>
      <c r="FI19" s="1756" t="str">
        <f t="shared" si="5"/>
        <v/>
      </c>
      <c r="FJ19" s="1767" t="str">
        <f t="shared" si="6"/>
        <v/>
      </c>
      <c r="FK19" s="1760"/>
    </row>
    <row r="20" spans="1:167" ht="15.75" customHeight="1">
      <c r="A20" s="1220"/>
      <c r="B20" s="1278">
        <f>+PP!B38</f>
        <v>15</v>
      </c>
      <c r="C20" s="1279" t="str">
        <f>+PP!C38</f>
        <v>FILETE C/M C/T TRES PIELES 1.0-2.0 kg/pza</v>
      </c>
      <c r="D20" s="1404"/>
      <c r="E20" s="1405"/>
      <c r="F20" s="1405"/>
      <c r="G20" s="1405"/>
      <c r="H20" s="1405"/>
      <c r="I20" s="1405"/>
      <c r="J20" s="1405"/>
      <c r="K20" s="1405"/>
      <c r="L20" s="1405"/>
      <c r="M20" s="1405"/>
      <c r="N20" s="1405"/>
      <c r="O20" s="1405"/>
      <c r="P20" s="1405"/>
      <c r="Q20" s="1405"/>
      <c r="R20" s="1405"/>
      <c r="S20" s="1405"/>
      <c r="T20" s="1405"/>
      <c r="U20" s="1405"/>
      <c r="V20" s="1405"/>
      <c r="W20" s="1405"/>
      <c r="X20" s="1405"/>
      <c r="Y20" s="1405"/>
      <c r="Z20" s="1405"/>
      <c r="AA20" s="1405"/>
      <c r="AB20" s="1405"/>
      <c r="AC20" s="1405"/>
      <c r="AD20" s="1405"/>
      <c r="AE20" s="1405"/>
      <c r="AF20" s="1405"/>
      <c r="AG20" s="1405"/>
      <c r="AH20" s="1406"/>
      <c r="AI20" s="1235"/>
      <c r="AJ20" s="1235"/>
      <c r="AK20" s="1235"/>
      <c r="AL20" s="1235"/>
      <c r="AM20" s="1235"/>
      <c r="AN20" s="1235"/>
      <c r="AO20" s="1235"/>
      <c r="AP20" s="1218"/>
      <c r="AQ20" s="1218"/>
      <c r="AR20" s="1218"/>
      <c r="AS20" s="1218"/>
      <c r="AT20" s="1218"/>
      <c r="AU20" s="1218"/>
      <c r="AV20" s="1218"/>
      <c r="AW20" s="1218"/>
      <c r="AX20" s="1218"/>
      <c r="AY20" s="1218"/>
      <c r="AZ20" s="1218"/>
      <c r="BA20" s="1218"/>
      <c r="BB20" s="1218"/>
      <c r="BC20" s="1218"/>
      <c r="BD20" s="1218"/>
      <c r="BE20" s="1218"/>
      <c r="BF20" s="1218"/>
      <c r="BG20" s="1218"/>
      <c r="BH20" s="1218"/>
      <c r="BI20" s="1218"/>
      <c r="BJ20" s="1218"/>
      <c r="BK20" s="1218"/>
      <c r="BL20" s="1218"/>
      <c r="BM20" s="1218"/>
      <c r="BN20" s="1218"/>
      <c r="BO20" s="1218"/>
      <c r="BP20" s="1218"/>
      <c r="BQ20" s="1218"/>
      <c r="BR20" s="1557"/>
      <c r="BS20" s="1557"/>
      <c r="BT20" s="1557"/>
      <c r="BU20" s="1557"/>
      <c r="BV20" s="1557"/>
      <c r="BW20" s="1557"/>
      <c r="BX20" s="1557"/>
      <c r="BY20" s="1557"/>
      <c r="BZ20" s="1557"/>
      <c r="CA20" s="1557"/>
      <c r="CB20" s="1564"/>
      <c r="CC20" s="1550">
        <f t="shared" si="0"/>
        <v>0</v>
      </c>
      <c r="CD20" s="1236">
        <f t="shared" si="1"/>
        <v>0</v>
      </c>
      <c r="CE20" s="1237">
        <f t="shared" si="2"/>
        <v>0</v>
      </c>
      <c r="CF20" s="1220"/>
      <c r="CG20" s="1751" t="str" cm="1">
        <f t="array" ref="CG20">IFERROR(INDEX($B$6:$B$53,_xlfn.AGGREGATE(15,6,(ROW($B$6:$B$53)-ROW($B$6)+1)/(MMULT(--($D$6:$CB$53&gt;0),TRANSPOSE(COLUMN($D$6:$CB$6)^0))&gt;0),ROWS($CG$6:CG20))),"")</f>
        <v/>
      </c>
      <c r="CH20" s="1752" t="str">
        <f t="shared" si="3"/>
        <v/>
      </c>
      <c r="CI20" s="1753" t="str" cm="1">
        <f t="array" ref="CI20">IF($CG20="","",IF(INDEX($D$6:$CB$53,MATCH($CG20,$B$6:$B$53,0),COLUMN()-COLUMN($CI$5)+1)&gt;0,INDEX($D$6:$CB$53,MATCH($CG20,$B$6:$B$53,0),COLUMN()-COLUMN($CI$5)+1),""))</f>
        <v/>
      </c>
      <c r="CJ20" s="1753" t="str" cm="1">
        <f t="array" ref="CJ20">IF($CG20="","",IF(INDEX($D$6:$CB$53,MATCH($CG20,$B$6:$B$53,0),COLUMN()-COLUMN($CI$5)+1)&gt;0,INDEX($D$6:$CB$53,MATCH($CG20,$B$6:$B$53,0),COLUMN()-COLUMN($CI$5)+1),""))</f>
        <v/>
      </c>
      <c r="CK20" s="1753" t="str" cm="1">
        <f t="array" ref="CK20">IF($CG20="","",IF(INDEX($D$6:$CB$53,MATCH($CG20,$B$6:$B$53,0),COLUMN()-COLUMN($CI$5)+1)&gt;0,INDEX($D$6:$CB$53,MATCH($CG20,$B$6:$B$53,0),COLUMN()-COLUMN($CI$5)+1),""))</f>
        <v/>
      </c>
      <c r="CL20" s="1753" t="str" cm="1">
        <f t="array" ref="CL20">IF($CG20="","",IF(INDEX($D$6:$CB$53,MATCH($CG20,$B$6:$B$53,0),COLUMN()-COLUMN($CI$5)+1)&gt;0,INDEX($D$6:$CB$53,MATCH($CG20,$B$6:$B$53,0),COLUMN()-COLUMN($CI$5)+1),""))</f>
        <v/>
      </c>
      <c r="CM20" s="1753" t="str" cm="1">
        <f t="array" ref="CM20">IF($CG20="","",IF(INDEX($D$6:$CB$53,MATCH($CG20,$B$6:$B$53,0),COLUMN()-COLUMN($CI$5)+1)&gt;0,INDEX($D$6:$CB$53,MATCH($CG20,$B$6:$B$53,0),COLUMN()-COLUMN($CI$5)+1),""))</f>
        <v/>
      </c>
      <c r="CN20" s="1753" t="str" cm="1">
        <f t="array" ref="CN20">IF($CG20="","",IF(INDEX($D$6:$CB$53,MATCH($CG20,$B$6:$B$53,0),COLUMN()-COLUMN($CI$5)+1)&gt;0,INDEX($D$6:$CB$53,MATCH($CG20,$B$6:$B$53,0),COLUMN()-COLUMN($CI$5)+1),""))</f>
        <v/>
      </c>
      <c r="CO20" s="1753" t="str" cm="1">
        <f t="array" ref="CO20">IF($CG20="","",IF(INDEX($D$6:$CB$53,MATCH($CG20,$B$6:$B$53,0),COLUMN()-COLUMN($CI$5)+1)&gt;0,INDEX($D$6:$CB$53,MATCH($CG20,$B$6:$B$53,0),COLUMN()-COLUMN($CI$5)+1),""))</f>
        <v/>
      </c>
      <c r="CP20" s="1753" t="str" cm="1">
        <f t="array" ref="CP20">IF($CG20="","",IF(INDEX($D$6:$CB$53,MATCH($CG20,$B$6:$B$53,0),COLUMN()-COLUMN($CI$5)+1)&gt;0,INDEX($D$6:$CB$53,MATCH($CG20,$B$6:$B$53,0),COLUMN()-COLUMN($CI$5)+1),""))</f>
        <v/>
      </c>
      <c r="CQ20" s="1753" t="str" cm="1">
        <f t="array" ref="CQ20">IF($CG20="","",IF(INDEX($D$6:$CB$53,MATCH($CG20,$B$6:$B$53,0),COLUMN()-COLUMN($CI$5)+1)&gt;0,INDEX($D$6:$CB$53,MATCH($CG20,$B$6:$B$53,0),COLUMN()-COLUMN($CI$5)+1),""))</f>
        <v/>
      </c>
      <c r="CR20" s="1753" t="str" cm="1">
        <f t="array" ref="CR20">IF($CG20="","",IF(INDEX($D$6:$CB$53,MATCH($CG20,$B$6:$B$53,0),COLUMN()-COLUMN($CI$5)+1)&gt;0,INDEX($D$6:$CB$53,MATCH($CG20,$B$6:$B$53,0),COLUMN()-COLUMN($CI$5)+1),""))</f>
        <v/>
      </c>
      <c r="CS20" s="1753" t="str" cm="1">
        <f t="array" ref="CS20">IF($CG20="","",IF(INDEX($D$6:$CB$53,MATCH($CG20,$B$6:$B$53,0),COLUMN()-COLUMN($CI$5)+1)&gt;0,INDEX($D$6:$CB$53,MATCH($CG20,$B$6:$B$53,0),COLUMN()-COLUMN($CI$5)+1),""))</f>
        <v/>
      </c>
      <c r="CT20" s="1753" t="str" cm="1">
        <f t="array" ref="CT20">IF($CG20="","",IF(INDEX($D$6:$CB$53,MATCH($CG20,$B$6:$B$53,0),COLUMN()-COLUMN($CI$5)+1)&gt;0,INDEX($D$6:$CB$53,MATCH($CG20,$B$6:$B$53,0),COLUMN()-COLUMN($CI$5)+1),""))</f>
        <v/>
      </c>
      <c r="CU20" s="1753" t="str" cm="1">
        <f t="array" ref="CU20">IF($CG20="","",IF(INDEX($D$6:$CB$53,MATCH($CG20,$B$6:$B$53,0),COLUMN()-COLUMN($CI$5)+1)&gt;0,INDEX($D$6:$CB$53,MATCH($CG20,$B$6:$B$53,0),COLUMN()-COLUMN($CI$5)+1),""))</f>
        <v/>
      </c>
      <c r="CV20" s="1753" t="str" cm="1">
        <f t="array" ref="CV20">IF($CG20="","",IF(INDEX($D$6:$CB$53,MATCH($CG20,$B$6:$B$53,0),COLUMN()-COLUMN($CI$5)+1)&gt;0,INDEX($D$6:$CB$53,MATCH($CG20,$B$6:$B$53,0),COLUMN()-COLUMN($CI$5)+1),""))</f>
        <v/>
      </c>
      <c r="CW20" s="1753" t="str" cm="1">
        <f t="array" ref="CW20">IF($CG20="","",IF(INDEX($D$6:$CB$53,MATCH($CG20,$B$6:$B$53,0),COLUMN()-COLUMN($CI$5)+1)&gt;0,INDEX($D$6:$CB$53,MATCH($CG20,$B$6:$B$53,0),COLUMN()-COLUMN($CI$5)+1),""))</f>
        <v/>
      </c>
      <c r="CX20" s="1753" t="str" cm="1">
        <f t="array" ref="CX20">IF($CG20="","",IF(INDEX($D$6:$CB$53,MATCH($CG20,$B$6:$B$53,0),COLUMN()-COLUMN($CI$5)+1)&gt;0,INDEX($D$6:$CB$53,MATCH($CG20,$B$6:$B$53,0),COLUMN()-COLUMN($CI$5)+1),""))</f>
        <v/>
      </c>
      <c r="CY20" s="1753" t="str" cm="1">
        <f t="array" ref="CY20">IF($CG20="","",IF(INDEX($D$6:$CB$53,MATCH($CG20,$B$6:$B$53,0),COLUMN()-COLUMN($CI$5)+1)&gt;0,INDEX($D$6:$CB$53,MATCH($CG20,$B$6:$B$53,0),COLUMN()-COLUMN($CI$5)+1),""))</f>
        <v/>
      </c>
      <c r="CZ20" s="1753" t="str" cm="1">
        <f t="array" ref="CZ20">IF($CG20="","",IF(INDEX($D$6:$CB$53,MATCH($CG20,$B$6:$B$53,0),COLUMN()-COLUMN($CI$5)+1)&gt;0,INDEX($D$6:$CB$53,MATCH($CG20,$B$6:$B$53,0),COLUMN()-COLUMN($CI$5)+1),""))</f>
        <v/>
      </c>
      <c r="DA20" s="1753" t="str" cm="1">
        <f t="array" ref="DA20">IF($CG20="","",IF(INDEX($D$6:$CB$53,MATCH($CG20,$B$6:$B$53,0),COLUMN()-COLUMN($CI$5)+1)&gt;0,INDEX($D$6:$CB$53,MATCH($CG20,$B$6:$B$53,0),COLUMN()-COLUMN($CI$5)+1),""))</f>
        <v/>
      </c>
      <c r="DB20" s="1753" t="str" cm="1">
        <f t="array" ref="DB20">IF($CG20="","",IF(INDEX($D$6:$CB$53,MATCH($CG20,$B$6:$B$53,0),COLUMN()-COLUMN($CI$5)+1)&gt;0,INDEX($D$6:$CB$53,MATCH($CG20,$B$6:$B$53,0),COLUMN()-COLUMN($CI$5)+1),""))</f>
        <v/>
      </c>
      <c r="DC20" s="1753" t="str" cm="1">
        <f t="array" ref="DC20">IF($CG20="","",IF(INDEX($D$6:$CB$53,MATCH($CG20,$B$6:$B$53,0),COLUMN()-COLUMN($CI$5)+1)&gt;0,INDEX($D$6:$CB$53,MATCH($CG20,$B$6:$B$53,0),COLUMN()-COLUMN($CI$5)+1),""))</f>
        <v/>
      </c>
      <c r="DD20" s="1753" t="str" cm="1">
        <f t="array" ref="DD20">IF($CG20="","",IF(INDEX($D$6:$CB$53,MATCH($CG20,$B$6:$B$53,0),COLUMN()-COLUMN($CI$5)+1)&gt;0,INDEX($D$6:$CB$53,MATCH($CG20,$B$6:$B$53,0),COLUMN()-COLUMN($CI$5)+1),""))</f>
        <v/>
      </c>
      <c r="DE20" s="1753" t="str" cm="1">
        <f t="array" ref="DE20">IF($CG20="","",IF(INDEX($D$6:$CB$53,MATCH($CG20,$B$6:$B$53,0),COLUMN()-COLUMN($CI$5)+1)&gt;0,INDEX($D$6:$CB$53,MATCH($CG20,$B$6:$B$53,0),COLUMN()-COLUMN($CI$5)+1),""))</f>
        <v/>
      </c>
      <c r="DF20" s="1753" t="str" cm="1">
        <f t="array" ref="DF20">IF($CG20="","",IF(INDEX($D$6:$CB$53,MATCH($CG20,$B$6:$B$53,0),COLUMN()-COLUMN($CI$5)+1)&gt;0,INDEX($D$6:$CB$53,MATCH($CG20,$B$6:$B$53,0),COLUMN()-COLUMN($CI$5)+1),""))</f>
        <v/>
      </c>
      <c r="DG20" s="1753" t="str" cm="1">
        <f t="array" ref="DG20">IF($CG20="","",IF(INDEX($D$6:$CB$53,MATCH($CG20,$B$6:$B$53,0),COLUMN()-COLUMN($CI$5)+1)&gt;0,INDEX($D$6:$CB$53,MATCH($CG20,$B$6:$B$53,0),COLUMN()-COLUMN($CI$5)+1),""))</f>
        <v/>
      </c>
      <c r="DH20" s="1753" t="str" cm="1">
        <f t="array" ref="DH20">IF($CG20="","",IF(INDEX($D$6:$CB$53,MATCH($CG20,$B$6:$B$53,0),COLUMN()-COLUMN($CI$5)+1)&gt;0,INDEX($D$6:$CB$53,MATCH($CG20,$B$6:$B$53,0),COLUMN()-COLUMN($CI$5)+1),""))</f>
        <v/>
      </c>
      <c r="DI20" s="1753" t="str" cm="1">
        <f t="array" ref="DI20">IF($CG20="","",IF(INDEX($D$6:$CB$53,MATCH($CG20,$B$6:$B$53,0),COLUMN()-COLUMN($CI$5)+1)&gt;0,INDEX($D$6:$CB$53,MATCH($CG20,$B$6:$B$53,0),COLUMN()-COLUMN($CI$5)+1),""))</f>
        <v/>
      </c>
      <c r="DJ20" s="1753" t="str" cm="1">
        <f t="array" ref="DJ20">IF($CG20="","",IF(INDEX($D$6:$CB$53,MATCH($CG20,$B$6:$B$53,0),COLUMN()-COLUMN($CI$5)+1)&gt;0,INDEX($D$6:$CB$53,MATCH($CG20,$B$6:$B$53,0),COLUMN()-COLUMN($CI$5)+1),""))</f>
        <v/>
      </c>
      <c r="DK20" s="1753" t="str" cm="1">
        <f t="array" ref="DK20">IF($CG20="","",IF(INDEX($D$6:$CB$53,MATCH($CG20,$B$6:$B$53,0),COLUMN()-COLUMN($CI$5)+1)&gt;0,INDEX($D$6:$CB$53,MATCH($CG20,$B$6:$B$53,0),COLUMN()-COLUMN($CI$5)+1),""))</f>
        <v/>
      </c>
      <c r="DL20" s="1753" t="str" cm="1">
        <f t="array" ref="DL20">IF($CG20="","",IF(INDEX($D$6:$CB$53,MATCH($CG20,$B$6:$B$53,0),COLUMN()-COLUMN($CI$5)+1)&gt;0,INDEX($D$6:$CB$53,MATCH($CG20,$B$6:$B$53,0),COLUMN()-COLUMN($CI$5)+1),""))</f>
        <v/>
      </c>
      <c r="DM20" s="1753" t="str" cm="1">
        <f t="array" ref="DM20">IF($CG20="","",IF(INDEX($D$6:$CB$53,MATCH($CG20,$B$6:$B$53,0),COLUMN()-COLUMN($CI$5)+1)&gt;0,INDEX($D$6:$CB$53,MATCH($CG20,$B$6:$B$53,0),COLUMN()-COLUMN($CI$5)+1),""))</f>
        <v/>
      </c>
      <c r="DN20" s="1753" t="str" cm="1">
        <f t="array" ref="DN20">IF($CG20="","",IF(INDEX($D$6:$CB$53,MATCH($CG20,$B$6:$B$53,0),COLUMN()-COLUMN($CI$5)+1)&gt;0,INDEX($D$6:$CB$53,MATCH($CG20,$B$6:$B$53,0),COLUMN()-COLUMN($CI$5)+1),""))</f>
        <v/>
      </c>
      <c r="DO20" s="1753" t="str" cm="1">
        <f t="array" ref="DO20">IF($CG20="","",IF(INDEX($D$6:$CB$53,MATCH($CG20,$B$6:$B$53,0),COLUMN()-COLUMN($CI$5)+1)&gt;0,INDEX($D$6:$CB$53,MATCH($CG20,$B$6:$B$53,0),COLUMN()-COLUMN($CI$5)+1),""))</f>
        <v/>
      </c>
      <c r="DP20" s="1753" t="str" cm="1">
        <f t="array" ref="DP20">IF($CG20="","",IF(INDEX($D$6:$CB$53,MATCH($CG20,$B$6:$B$53,0),COLUMN()-COLUMN($CI$5)+1)&gt;0,INDEX($D$6:$CB$53,MATCH($CG20,$B$6:$B$53,0),COLUMN()-COLUMN($CI$5)+1),""))</f>
        <v/>
      </c>
      <c r="DQ20" s="1753" t="str" cm="1">
        <f t="array" ref="DQ20">IF($CG20="","",IF(INDEX($D$6:$CB$53,MATCH($CG20,$B$6:$B$53,0),COLUMN()-COLUMN($CI$5)+1)&gt;0,INDEX($D$6:$CB$53,MATCH($CG20,$B$6:$B$53,0),COLUMN()-COLUMN($CI$5)+1),""))</f>
        <v/>
      </c>
      <c r="DR20" s="1753" t="str" cm="1">
        <f t="array" ref="DR20">IF($CG20="","",IF(INDEX($D$6:$CB$53,MATCH($CG20,$B$6:$B$53,0),COLUMN()-COLUMN($CI$5)+1)&gt;0,INDEX($D$6:$CB$53,MATCH($CG20,$B$6:$B$53,0),COLUMN()-COLUMN($CI$5)+1),""))</f>
        <v/>
      </c>
      <c r="DS20" s="1753" t="str" cm="1">
        <f t="array" ref="DS20">IF($CG20="","",IF(INDEX($D$6:$CB$53,MATCH($CG20,$B$6:$B$53,0),COLUMN()-COLUMN($CI$5)+1)&gt;0,INDEX($D$6:$CB$53,MATCH($CG20,$B$6:$B$53,0),COLUMN()-COLUMN($CI$5)+1),""))</f>
        <v/>
      </c>
      <c r="DT20" s="1753" t="str" cm="1">
        <f t="array" ref="DT20">IF($CG20="","",IF(INDEX($D$6:$CB$53,MATCH($CG20,$B$6:$B$53,0),COLUMN()-COLUMN($CI$5)+1)&gt;0,INDEX($D$6:$CB$53,MATCH($CG20,$B$6:$B$53,0),COLUMN()-COLUMN($CI$5)+1),""))</f>
        <v/>
      </c>
      <c r="DU20" s="1753" t="str" cm="1">
        <f t="array" ref="DU20">IF($CG20="","",IF(INDEX($D$6:$CB$53,MATCH($CG20,$B$6:$B$53,0),COLUMN()-COLUMN($CI$5)+1)&gt;0,INDEX($D$6:$CB$53,MATCH($CG20,$B$6:$B$53,0),COLUMN()-COLUMN($CI$5)+1),""))</f>
        <v/>
      </c>
      <c r="DV20" s="1753" t="str" cm="1">
        <f t="array" ref="DV20">IF($CG20="","",IF(INDEX($D$6:$CB$53,MATCH($CG20,$B$6:$B$53,0),COLUMN()-COLUMN($CI$5)+1)&gt;0,INDEX($D$6:$CB$53,MATCH($CG20,$B$6:$B$53,0),COLUMN()-COLUMN($CI$5)+1),""))</f>
        <v/>
      </c>
      <c r="DW20" s="1753" t="str" cm="1">
        <f t="array" ref="DW20">IF($CG20="","",IF(INDEX($D$6:$CB$53,MATCH($CG20,$B$6:$B$53,0),COLUMN()-COLUMN($CI$5)+1)&gt;0,INDEX($D$6:$CB$53,MATCH($CG20,$B$6:$B$53,0),COLUMN()-COLUMN($CI$5)+1),""))</f>
        <v/>
      </c>
      <c r="DX20" s="1753" t="str" cm="1">
        <f t="array" ref="DX20">IF($CG20="","",IF(INDEX($D$6:$CB$53,MATCH($CG20,$B$6:$B$53,0),COLUMN()-COLUMN($CI$5)+1)&gt;0,INDEX($D$6:$CB$53,MATCH($CG20,$B$6:$B$53,0),COLUMN()-COLUMN($CI$5)+1),""))</f>
        <v/>
      </c>
      <c r="DY20" s="1753" t="str" cm="1">
        <f t="array" ref="DY20">IF($CG20="","",IF(INDEX($D$6:$CB$53,MATCH($CG20,$B$6:$B$53,0),COLUMN()-COLUMN($CI$5)+1)&gt;0,INDEX($D$6:$CB$53,MATCH($CG20,$B$6:$B$53,0),COLUMN()-COLUMN($CI$5)+1),""))</f>
        <v/>
      </c>
      <c r="DZ20" s="1753" t="str" cm="1">
        <f t="array" ref="DZ20">IF($CG20="","",IF(INDEX($D$6:$CB$53,MATCH($CG20,$B$6:$B$53,0),COLUMN()-COLUMN($CI$5)+1)&gt;0,INDEX($D$6:$CB$53,MATCH($CG20,$B$6:$B$53,0),COLUMN()-COLUMN($CI$5)+1),""))</f>
        <v/>
      </c>
      <c r="EA20" s="1753" t="str" cm="1">
        <f t="array" ref="EA20">IF($CG20="","",IF(INDEX($D$6:$CB$53,MATCH($CG20,$B$6:$B$53,0),COLUMN()-COLUMN($CI$5)+1)&gt;0,INDEX($D$6:$CB$53,MATCH($CG20,$B$6:$B$53,0),COLUMN()-COLUMN($CI$5)+1),""))</f>
        <v/>
      </c>
      <c r="EB20" s="1753" t="str" cm="1">
        <f t="array" ref="EB20">IF($CG20="","",IF(INDEX($D$6:$CB$53,MATCH($CG20,$B$6:$B$53,0),COLUMN()-COLUMN($CI$5)+1)&gt;0,INDEX($D$6:$CB$53,MATCH($CG20,$B$6:$B$53,0),COLUMN()-COLUMN($CI$5)+1),""))</f>
        <v/>
      </c>
      <c r="EC20" s="1753" t="str" cm="1">
        <f t="array" ref="EC20">IF($CG20="","",IF(INDEX($D$6:$CB$53,MATCH($CG20,$B$6:$B$53,0),COLUMN()-COLUMN($CI$5)+1)&gt;0,INDEX($D$6:$CB$53,MATCH($CG20,$B$6:$B$53,0),COLUMN()-COLUMN($CI$5)+1),""))</f>
        <v/>
      </c>
      <c r="ED20" s="1753" t="str" cm="1">
        <f t="array" ref="ED20">IF($CG20="","",IF(INDEX($D$6:$CB$53,MATCH($CG20,$B$6:$B$53,0),COLUMN()-COLUMN($CI$5)+1)&gt;0,INDEX($D$6:$CB$53,MATCH($CG20,$B$6:$B$53,0),COLUMN()-COLUMN($CI$5)+1),""))</f>
        <v/>
      </c>
      <c r="EE20" s="1753" t="str" cm="1">
        <f t="array" ref="EE20">IF($CG20="","",IF(INDEX($D$6:$CB$53,MATCH($CG20,$B$6:$B$53,0),COLUMN()-COLUMN($CI$5)+1)&gt;0,INDEX($D$6:$CB$53,MATCH($CG20,$B$6:$B$53,0),COLUMN()-COLUMN($CI$5)+1),""))</f>
        <v/>
      </c>
      <c r="EF20" s="1753" t="str" cm="1">
        <f t="array" ref="EF20">IF($CG20="","",IF(INDEX($D$6:$CB$53,MATCH($CG20,$B$6:$B$53,0),COLUMN()-COLUMN($CI$5)+1)&gt;0,INDEX($D$6:$CB$53,MATCH($CG20,$B$6:$B$53,0),COLUMN()-COLUMN($CI$5)+1),""))</f>
        <v/>
      </c>
      <c r="EG20" s="1753" t="str" cm="1">
        <f t="array" ref="EG20">IF($CG20="","",IF(INDEX($D$6:$CB$53,MATCH($CG20,$B$6:$B$53,0),COLUMN()-COLUMN($CI$5)+1)&gt;0,INDEX($D$6:$CB$53,MATCH($CG20,$B$6:$B$53,0),COLUMN()-COLUMN($CI$5)+1),""))</f>
        <v/>
      </c>
      <c r="EH20" s="1753" t="str" cm="1">
        <f t="array" ref="EH20">IF($CG20="","",IF(INDEX($D$6:$CB$53,MATCH($CG20,$B$6:$B$53,0),COLUMN()-COLUMN($CI$5)+1)&gt;0,INDEX($D$6:$CB$53,MATCH($CG20,$B$6:$B$53,0),COLUMN()-COLUMN($CI$5)+1),""))</f>
        <v/>
      </c>
      <c r="EI20" s="1753" t="str" cm="1">
        <f t="array" ref="EI20">IF($CG20="","",IF(INDEX($D$6:$CB$53,MATCH($CG20,$B$6:$B$53,0),COLUMN()-COLUMN($CI$5)+1)&gt;0,INDEX($D$6:$CB$53,MATCH($CG20,$B$6:$B$53,0),COLUMN()-COLUMN($CI$5)+1),""))</f>
        <v/>
      </c>
      <c r="EJ20" s="1753" t="str" cm="1">
        <f t="array" ref="EJ20">IF($CG20="","",IF(INDEX($D$6:$CB$53,MATCH($CG20,$B$6:$B$53,0),COLUMN()-COLUMN($CI$5)+1)&gt;0,INDEX($D$6:$CB$53,MATCH($CG20,$B$6:$B$53,0),COLUMN()-COLUMN($CI$5)+1),""))</f>
        <v/>
      </c>
      <c r="EK20" s="1753" t="str" cm="1">
        <f t="array" ref="EK20">IF($CG20="","",IF(INDEX($D$6:$CB$53,MATCH($CG20,$B$6:$B$53,0),COLUMN()-COLUMN($CI$5)+1)&gt;0,INDEX($D$6:$CB$53,MATCH($CG20,$B$6:$B$53,0),COLUMN()-COLUMN($CI$5)+1),""))</f>
        <v/>
      </c>
      <c r="EL20" s="1753" t="str" cm="1">
        <f t="array" ref="EL20">IF($CG20="","",IF(INDEX($D$6:$CB$53,MATCH($CG20,$B$6:$B$53,0),COLUMN()-COLUMN($CI$5)+1)&gt;0,INDEX($D$6:$CB$53,MATCH($CG20,$B$6:$B$53,0),COLUMN()-COLUMN($CI$5)+1),""))</f>
        <v/>
      </c>
      <c r="EM20" s="1753" t="str" cm="1">
        <f t="array" ref="EM20">IF($CG20="","",IF(INDEX($D$6:$CB$53,MATCH($CG20,$B$6:$B$53,0),COLUMN()-COLUMN($CI$5)+1)&gt;0,INDEX($D$6:$CB$53,MATCH($CG20,$B$6:$B$53,0),COLUMN()-COLUMN($CI$5)+1),""))</f>
        <v/>
      </c>
      <c r="EN20" s="1753" t="str" cm="1">
        <f t="array" ref="EN20">IF($CG20="","",IF(INDEX($D$6:$CB$53,MATCH($CG20,$B$6:$B$53,0),COLUMN()-COLUMN($CI$5)+1)&gt;0,INDEX($D$6:$CB$53,MATCH($CG20,$B$6:$B$53,0),COLUMN()-COLUMN($CI$5)+1),""))</f>
        <v/>
      </c>
      <c r="EO20" s="1753" t="str" cm="1">
        <f t="array" ref="EO20">IF($CG20="","",IF(INDEX($D$6:$CB$53,MATCH($CG20,$B$6:$B$53,0),COLUMN()-COLUMN($CI$5)+1)&gt;0,INDEX($D$6:$CB$53,MATCH($CG20,$B$6:$B$53,0),COLUMN()-COLUMN($CI$5)+1),""))</f>
        <v/>
      </c>
      <c r="EP20" s="1753" t="str" cm="1">
        <f t="array" ref="EP20">IF($CG20="","",IF(INDEX($D$6:$CB$53,MATCH($CG20,$B$6:$B$53,0),COLUMN()-COLUMN($CI$5)+1)&gt;0,INDEX($D$6:$CB$53,MATCH($CG20,$B$6:$B$53,0),COLUMN()-COLUMN($CI$5)+1),""))</f>
        <v/>
      </c>
      <c r="EQ20" s="1753" t="str" cm="1">
        <f t="array" ref="EQ20">IF($CG20="","",IF(INDEX($D$6:$CB$53,MATCH($CG20,$B$6:$B$53,0),COLUMN()-COLUMN($CI$5)+1)&gt;0,INDEX($D$6:$CB$53,MATCH($CG20,$B$6:$B$53,0),COLUMN()-COLUMN($CI$5)+1),""))</f>
        <v/>
      </c>
      <c r="ER20" s="1753" t="str" cm="1">
        <f t="array" ref="ER20">IF($CG20="","",IF(INDEX($D$6:$CB$53,MATCH($CG20,$B$6:$B$53,0),COLUMN()-COLUMN($CI$5)+1)&gt;0,INDEX($D$6:$CB$53,MATCH($CG20,$B$6:$B$53,0),COLUMN()-COLUMN($CI$5)+1),""))</f>
        <v/>
      </c>
      <c r="ES20" s="1753" t="str" cm="1">
        <f t="array" ref="ES20">IF($CG20="","",IF(INDEX($D$6:$CB$53,MATCH($CG20,$B$6:$B$53,0),COLUMN()-COLUMN($CI$5)+1)&gt;0,INDEX($D$6:$CB$53,MATCH($CG20,$B$6:$B$53,0),COLUMN()-COLUMN($CI$5)+1),""))</f>
        <v/>
      </c>
      <c r="ET20" s="1753" t="str" cm="1">
        <f t="array" ref="ET20">IF($CG20="","",IF(INDEX($D$6:$CB$53,MATCH($CG20,$B$6:$B$53,0),COLUMN()-COLUMN($CI$5)+1)&gt;0,INDEX($D$6:$CB$53,MATCH($CG20,$B$6:$B$53,0),COLUMN()-COLUMN($CI$5)+1),""))</f>
        <v/>
      </c>
      <c r="EU20" s="1753" t="str" cm="1">
        <f t="array" ref="EU20">IF($CG20="","",IF(INDEX($D$6:$CB$53,MATCH($CG20,$B$6:$B$53,0),COLUMN()-COLUMN($CI$5)+1)&gt;0,INDEX($D$6:$CB$53,MATCH($CG20,$B$6:$B$53,0),COLUMN()-COLUMN($CI$5)+1),""))</f>
        <v/>
      </c>
      <c r="EV20" s="1753" t="str" cm="1">
        <f t="array" ref="EV20">IF($CG20="","",IF(INDEX($D$6:$CB$53,MATCH($CG20,$B$6:$B$53,0),COLUMN()-COLUMN($CI$5)+1)&gt;0,INDEX($D$6:$CB$53,MATCH($CG20,$B$6:$B$53,0),COLUMN()-COLUMN($CI$5)+1),""))</f>
        <v/>
      </c>
      <c r="EW20" s="1753" t="str" cm="1">
        <f t="array" ref="EW20">IF($CG20="","",IF(INDEX($D$6:$CB$53,MATCH($CG20,$B$6:$B$53,0),COLUMN()-COLUMN($CI$5)+1)&gt;0,INDEX($D$6:$CB$53,MATCH($CG20,$B$6:$B$53,0),COLUMN()-COLUMN($CI$5)+1),""))</f>
        <v/>
      </c>
      <c r="EX20" s="1753" t="str" cm="1">
        <f t="array" ref="EX20">IF($CG20="","",IF(INDEX($D$6:$CB$53,MATCH($CG20,$B$6:$B$53,0),COLUMN()-COLUMN($CI$5)+1)&gt;0,INDEX($D$6:$CB$53,MATCH($CG20,$B$6:$B$53,0),COLUMN()-COLUMN($CI$5)+1),""))</f>
        <v/>
      </c>
      <c r="EY20" s="1753" t="str" cm="1">
        <f t="array" ref="EY20">IF($CG20="","",IF(INDEX($D$6:$CB$53,MATCH($CG20,$B$6:$B$53,0),COLUMN()-COLUMN($CI$5)+1)&gt;0,INDEX($D$6:$CB$53,MATCH($CG20,$B$6:$B$53,0),COLUMN()-COLUMN($CI$5)+1),""))</f>
        <v/>
      </c>
      <c r="EZ20" s="1753" t="str" cm="1">
        <f t="array" ref="EZ20">IF($CG20="","",IF(INDEX($D$6:$CB$53,MATCH($CG20,$B$6:$B$53,0),COLUMN()-COLUMN($CI$5)+1)&gt;0,INDEX($D$6:$CB$53,MATCH($CG20,$B$6:$B$53,0),COLUMN()-COLUMN($CI$5)+1),""))</f>
        <v/>
      </c>
      <c r="FA20" s="1753" t="str" cm="1">
        <f t="array" ref="FA20">IF($CG20="","",IF(INDEX($D$6:$CB$53,MATCH($CG20,$B$6:$B$53,0),COLUMN()-COLUMN($CI$5)+1)&gt;0,INDEX($D$6:$CB$53,MATCH($CG20,$B$6:$B$53,0),COLUMN()-COLUMN($CI$5)+1),""))</f>
        <v/>
      </c>
      <c r="FB20" s="1753" t="str" cm="1">
        <f t="array" ref="FB20">IF($CG20="","",IF(INDEX($D$6:$CB$53,MATCH($CG20,$B$6:$B$53,0),COLUMN()-COLUMN($CI$5)+1)&gt;0,INDEX($D$6:$CB$53,MATCH($CG20,$B$6:$B$53,0),COLUMN()-COLUMN($CI$5)+1),""))</f>
        <v/>
      </c>
      <c r="FC20" s="1753" t="str" cm="1">
        <f t="array" ref="FC20">IF($CG20="","",IF(INDEX($D$6:$CB$53,MATCH($CG20,$B$6:$B$53,0),COLUMN()-COLUMN($CI$5)+1)&gt;0,INDEX($D$6:$CB$53,MATCH($CG20,$B$6:$B$53,0),COLUMN()-COLUMN($CI$5)+1),""))</f>
        <v/>
      </c>
      <c r="FD20" s="1753" t="str" cm="1">
        <f t="array" ref="FD20">IF($CG20="","",IF(INDEX($D$6:$CB$53,MATCH($CG20,$B$6:$B$53,0),COLUMN()-COLUMN($CI$5)+1)&gt;0,INDEX($D$6:$CB$53,MATCH($CG20,$B$6:$B$53,0),COLUMN()-COLUMN($CI$5)+1),""))</f>
        <v/>
      </c>
      <c r="FE20" s="1753" t="str" cm="1">
        <f t="array" ref="FE20">IF($CG20="","",IF(INDEX($D$6:$CB$53,MATCH($CG20,$B$6:$B$53,0),COLUMN()-COLUMN($CI$5)+1)&gt;0,INDEX($D$6:$CB$53,MATCH($CG20,$B$6:$B$53,0),COLUMN()-COLUMN($CI$5)+1),""))</f>
        <v/>
      </c>
      <c r="FF20" s="1753" t="str" cm="1">
        <f t="array" ref="FF20">IF($CG20="","",IF(INDEX($D$6:$CB$53,MATCH($CG20,$B$6:$B$53,0),COLUMN()-COLUMN($CI$5)+1)&gt;0,INDEX($D$6:$CB$53,MATCH($CG20,$B$6:$B$53,0),COLUMN()-COLUMN($CI$5)+1),""))</f>
        <v/>
      </c>
      <c r="FG20" s="1758" t="str" cm="1">
        <f t="array" ref="FG20">IF($CG20="","",IF(INDEX($D$6:$CB$53,MATCH($CG20,$B$6:$B$53,0),COLUMN()-COLUMN($CI$5)+1)&gt;0,INDEX($D$6:$CB$53,MATCH($CG20,$B$6:$B$53,0),COLUMN()-COLUMN($CI$5)+1),""))</f>
        <v/>
      </c>
      <c r="FH20" s="1764" t="str">
        <f t="shared" si="4"/>
        <v/>
      </c>
      <c r="FI20" s="1756" t="str">
        <f t="shared" si="5"/>
        <v/>
      </c>
      <c r="FJ20" s="1767" t="str">
        <f t="shared" si="6"/>
        <v/>
      </c>
      <c r="FK20" s="1760"/>
    </row>
    <row r="21" spans="1:167" ht="15.75" customHeight="1">
      <c r="A21" s="1220"/>
      <c r="B21" s="1278">
        <f>+PP!B39</f>
        <v>16</v>
      </c>
      <c r="C21" s="1279" t="str">
        <f>+PP!C39</f>
        <v>FILETE C/M C/T TRES PIELES 2.0-4.0 kg/pza</v>
      </c>
      <c r="D21" s="1404"/>
      <c r="E21" s="1405"/>
      <c r="F21" s="1405"/>
      <c r="G21" s="1405"/>
      <c r="H21" s="1405"/>
      <c r="I21" s="1405"/>
      <c r="J21" s="1405"/>
      <c r="K21" s="1405"/>
      <c r="L21" s="1405"/>
      <c r="M21" s="1405"/>
      <c r="N21" s="1405"/>
      <c r="O21" s="1405"/>
      <c r="P21" s="1405"/>
      <c r="Q21" s="1405"/>
      <c r="R21" s="1405"/>
      <c r="S21" s="1405"/>
      <c r="T21" s="1405"/>
      <c r="U21" s="1405"/>
      <c r="V21" s="1405"/>
      <c r="W21" s="1405"/>
      <c r="X21" s="1405"/>
      <c r="Y21" s="1405"/>
      <c r="Z21" s="1405"/>
      <c r="AA21" s="1405"/>
      <c r="AB21" s="1405"/>
      <c r="AC21" s="1405"/>
      <c r="AD21" s="1405"/>
      <c r="AE21" s="1405"/>
      <c r="AF21" s="1405"/>
      <c r="AG21" s="1405"/>
      <c r="AH21" s="1406"/>
      <c r="AI21" s="1235"/>
      <c r="AJ21" s="1235"/>
      <c r="AK21" s="1235"/>
      <c r="AL21" s="1235"/>
      <c r="AM21" s="1235"/>
      <c r="AN21" s="1235"/>
      <c r="AO21" s="1235"/>
      <c r="AP21" s="1218"/>
      <c r="AQ21" s="1218"/>
      <c r="AR21" s="1218"/>
      <c r="AS21" s="1218"/>
      <c r="AT21" s="1218"/>
      <c r="AU21" s="1218"/>
      <c r="AV21" s="1218"/>
      <c r="AW21" s="1218"/>
      <c r="AX21" s="1218"/>
      <c r="AY21" s="1218"/>
      <c r="AZ21" s="1218"/>
      <c r="BA21" s="1218"/>
      <c r="BB21" s="1218"/>
      <c r="BC21" s="1218"/>
      <c r="BD21" s="1218"/>
      <c r="BE21" s="1218"/>
      <c r="BF21" s="1218"/>
      <c r="BG21" s="1218"/>
      <c r="BH21" s="1218"/>
      <c r="BI21" s="1218"/>
      <c r="BJ21" s="1218"/>
      <c r="BK21" s="1218"/>
      <c r="BL21" s="1218"/>
      <c r="BM21" s="1218"/>
      <c r="BN21" s="1218"/>
      <c r="BO21" s="1218"/>
      <c r="BP21" s="1218"/>
      <c r="BQ21" s="1218"/>
      <c r="BR21" s="1557"/>
      <c r="BS21" s="1557"/>
      <c r="BT21" s="1557"/>
      <c r="BU21" s="1557"/>
      <c r="BV21" s="1557"/>
      <c r="BW21" s="1557"/>
      <c r="BX21" s="1557"/>
      <c r="BY21" s="1557"/>
      <c r="BZ21" s="1557"/>
      <c r="CA21" s="1557"/>
      <c r="CB21" s="1564"/>
      <c r="CC21" s="1550">
        <f t="shared" si="0"/>
        <v>0</v>
      </c>
      <c r="CD21" s="1236">
        <f t="shared" si="1"/>
        <v>0</v>
      </c>
      <c r="CE21" s="1237">
        <f t="shared" si="2"/>
        <v>0</v>
      </c>
      <c r="CF21" s="1220"/>
      <c r="CG21" s="1751" t="str" cm="1">
        <f t="array" ref="CG21">IFERROR(INDEX($B$6:$B$53,_xlfn.AGGREGATE(15,6,(ROW($B$6:$B$53)-ROW($B$6)+1)/(MMULT(--($D$6:$CB$53&gt;0),TRANSPOSE(COLUMN($D$6:$CB$6)^0))&gt;0),ROWS($CG$6:CG21))),"")</f>
        <v/>
      </c>
      <c r="CH21" s="1752" t="str">
        <f t="shared" si="3"/>
        <v/>
      </c>
      <c r="CI21" s="1753" t="str" cm="1">
        <f t="array" ref="CI21">IF($CG21="","",IF(INDEX($D$6:$CB$53,MATCH($CG21,$B$6:$B$53,0),COLUMN()-COLUMN($CI$5)+1)&gt;0,INDEX($D$6:$CB$53,MATCH($CG21,$B$6:$B$53,0),COLUMN()-COLUMN($CI$5)+1),""))</f>
        <v/>
      </c>
      <c r="CJ21" s="1753" t="str" cm="1">
        <f t="array" ref="CJ21">IF($CG21="","",IF(INDEX($D$6:$CB$53,MATCH($CG21,$B$6:$B$53,0),COLUMN()-COLUMN($CI$5)+1)&gt;0,INDEX($D$6:$CB$53,MATCH($CG21,$B$6:$B$53,0),COLUMN()-COLUMN($CI$5)+1),""))</f>
        <v/>
      </c>
      <c r="CK21" s="1753" t="str" cm="1">
        <f t="array" ref="CK21">IF($CG21="","",IF(INDEX($D$6:$CB$53,MATCH($CG21,$B$6:$B$53,0),COLUMN()-COLUMN($CI$5)+1)&gt;0,INDEX($D$6:$CB$53,MATCH($CG21,$B$6:$B$53,0),COLUMN()-COLUMN($CI$5)+1),""))</f>
        <v/>
      </c>
      <c r="CL21" s="1753" t="str" cm="1">
        <f t="array" ref="CL21">IF($CG21="","",IF(INDEX($D$6:$CB$53,MATCH($CG21,$B$6:$B$53,0),COLUMN()-COLUMN($CI$5)+1)&gt;0,INDEX($D$6:$CB$53,MATCH($CG21,$B$6:$B$53,0),COLUMN()-COLUMN($CI$5)+1),""))</f>
        <v/>
      </c>
      <c r="CM21" s="1753" t="str" cm="1">
        <f t="array" ref="CM21">IF($CG21="","",IF(INDEX($D$6:$CB$53,MATCH($CG21,$B$6:$B$53,0),COLUMN()-COLUMN($CI$5)+1)&gt;0,INDEX($D$6:$CB$53,MATCH($CG21,$B$6:$B$53,0),COLUMN()-COLUMN($CI$5)+1),""))</f>
        <v/>
      </c>
      <c r="CN21" s="1753" t="str" cm="1">
        <f t="array" ref="CN21">IF($CG21="","",IF(INDEX($D$6:$CB$53,MATCH($CG21,$B$6:$B$53,0),COLUMN()-COLUMN($CI$5)+1)&gt;0,INDEX($D$6:$CB$53,MATCH($CG21,$B$6:$B$53,0),COLUMN()-COLUMN($CI$5)+1),""))</f>
        <v/>
      </c>
      <c r="CO21" s="1753" t="str" cm="1">
        <f t="array" ref="CO21">IF($CG21="","",IF(INDEX($D$6:$CB$53,MATCH($CG21,$B$6:$B$53,0),COLUMN()-COLUMN($CI$5)+1)&gt;0,INDEX($D$6:$CB$53,MATCH($CG21,$B$6:$B$53,0),COLUMN()-COLUMN($CI$5)+1),""))</f>
        <v/>
      </c>
      <c r="CP21" s="1753" t="str" cm="1">
        <f t="array" ref="CP21">IF($CG21="","",IF(INDEX($D$6:$CB$53,MATCH($CG21,$B$6:$B$53,0),COLUMN()-COLUMN($CI$5)+1)&gt;0,INDEX($D$6:$CB$53,MATCH($CG21,$B$6:$B$53,0),COLUMN()-COLUMN($CI$5)+1),""))</f>
        <v/>
      </c>
      <c r="CQ21" s="1753" t="str" cm="1">
        <f t="array" ref="CQ21">IF($CG21="","",IF(INDEX($D$6:$CB$53,MATCH($CG21,$B$6:$B$53,0),COLUMN()-COLUMN($CI$5)+1)&gt;0,INDEX($D$6:$CB$53,MATCH($CG21,$B$6:$B$53,0),COLUMN()-COLUMN($CI$5)+1),""))</f>
        <v/>
      </c>
      <c r="CR21" s="1753" t="str" cm="1">
        <f t="array" ref="CR21">IF($CG21="","",IF(INDEX($D$6:$CB$53,MATCH($CG21,$B$6:$B$53,0),COLUMN()-COLUMN($CI$5)+1)&gt;0,INDEX($D$6:$CB$53,MATCH($CG21,$B$6:$B$53,0),COLUMN()-COLUMN($CI$5)+1),""))</f>
        <v/>
      </c>
      <c r="CS21" s="1753" t="str" cm="1">
        <f t="array" ref="CS21">IF($CG21="","",IF(INDEX($D$6:$CB$53,MATCH($CG21,$B$6:$B$53,0),COLUMN()-COLUMN($CI$5)+1)&gt;0,INDEX($D$6:$CB$53,MATCH($CG21,$B$6:$B$53,0),COLUMN()-COLUMN($CI$5)+1),""))</f>
        <v/>
      </c>
      <c r="CT21" s="1753" t="str" cm="1">
        <f t="array" ref="CT21">IF($CG21="","",IF(INDEX($D$6:$CB$53,MATCH($CG21,$B$6:$B$53,0),COLUMN()-COLUMN($CI$5)+1)&gt;0,INDEX($D$6:$CB$53,MATCH($CG21,$B$6:$B$53,0),COLUMN()-COLUMN($CI$5)+1),""))</f>
        <v/>
      </c>
      <c r="CU21" s="1753" t="str" cm="1">
        <f t="array" ref="CU21">IF($CG21="","",IF(INDEX($D$6:$CB$53,MATCH($CG21,$B$6:$B$53,0),COLUMN()-COLUMN($CI$5)+1)&gt;0,INDEX($D$6:$CB$53,MATCH($CG21,$B$6:$B$53,0),COLUMN()-COLUMN($CI$5)+1),""))</f>
        <v/>
      </c>
      <c r="CV21" s="1753" t="str" cm="1">
        <f t="array" ref="CV21">IF($CG21="","",IF(INDEX($D$6:$CB$53,MATCH($CG21,$B$6:$B$53,0),COLUMN()-COLUMN($CI$5)+1)&gt;0,INDEX($D$6:$CB$53,MATCH($CG21,$B$6:$B$53,0),COLUMN()-COLUMN($CI$5)+1),""))</f>
        <v/>
      </c>
      <c r="CW21" s="1753" t="str" cm="1">
        <f t="array" ref="CW21">IF($CG21="","",IF(INDEX($D$6:$CB$53,MATCH($CG21,$B$6:$B$53,0),COLUMN()-COLUMN($CI$5)+1)&gt;0,INDEX($D$6:$CB$53,MATCH($CG21,$B$6:$B$53,0),COLUMN()-COLUMN($CI$5)+1),""))</f>
        <v/>
      </c>
      <c r="CX21" s="1753" t="str" cm="1">
        <f t="array" ref="CX21">IF($CG21="","",IF(INDEX($D$6:$CB$53,MATCH($CG21,$B$6:$B$53,0),COLUMN()-COLUMN($CI$5)+1)&gt;0,INDEX($D$6:$CB$53,MATCH($CG21,$B$6:$B$53,0),COLUMN()-COLUMN($CI$5)+1),""))</f>
        <v/>
      </c>
      <c r="CY21" s="1753" t="str" cm="1">
        <f t="array" ref="CY21">IF($CG21="","",IF(INDEX($D$6:$CB$53,MATCH($CG21,$B$6:$B$53,0),COLUMN()-COLUMN($CI$5)+1)&gt;0,INDEX($D$6:$CB$53,MATCH($CG21,$B$6:$B$53,0),COLUMN()-COLUMN($CI$5)+1),""))</f>
        <v/>
      </c>
      <c r="CZ21" s="1753" t="str" cm="1">
        <f t="array" ref="CZ21">IF($CG21="","",IF(INDEX($D$6:$CB$53,MATCH($CG21,$B$6:$B$53,0),COLUMN()-COLUMN($CI$5)+1)&gt;0,INDEX($D$6:$CB$53,MATCH($CG21,$B$6:$B$53,0),COLUMN()-COLUMN($CI$5)+1),""))</f>
        <v/>
      </c>
      <c r="DA21" s="1753" t="str" cm="1">
        <f t="array" ref="DA21">IF($CG21="","",IF(INDEX($D$6:$CB$53,MATCH($CG21,$B$6:$B$53,0),COLUMN()-COLUMN($CI$5)+1)&gt;0,INDEX($D$6:$CB$53,MATCH($CG21,$B$6:$B$53,0),COLUMN()-COLUMN($CI$5)+1),""))</f>
        <v/>
      </c>
      <c r="DB21" s="1753" t="str" cm="1">
        <f t="array" ref="DB21">IF($CG21="","",IF(INDEX($D$6:$CB$53,MATCH($CG21,$B$6:$B$53,0),COLUMN()-COLUMN($CI$5)+1)&gt;0,INDEX($D$6:$CB$53,MATCH($CG21,$B$6:$B$53,0),COLUMN()-COLUMN($CI$5)+1),""))</f>
        <v/>
      </c>
      <c r="DC21" s="1753" t="str" cm="1">
        <f t="array" ref="DC21">IF($CG21="","",IF(INDEX($D$6:$CB$53,MATCH($CG21,$B$6:$B$53,0),COLUMN()-COLUMN($CI$5)+1)&gt;0,INDEX($D$6:$CB$53,MATCH($CG21,$B$6:$B$53,0),COLUMN()-COLUMN($CI$5)+1),""))</f>
        <v/>
      </c>
      <c r="DD21" s="1753" t="str" cm="1">
        <f t="array" ref="DD21">IF($CG21="","",IF(INDEX($D$6:$CB$53,MATCH($CG21,$B$6:$B$53,0),COLUMN()-COLUMN($CI$5)+1)&gt;0,INDEX($D$6:$CB$53,MATCH($CG21,$B$6:$B$53,0),COLUMN()-COLUMN($CI$5)+1),""))</f>
        <v/>
      </c>
      <c r="DE21" s="1753" t="str" cm="1">
        <f t="array" ref="DE21">IF($CG21="","",IF(INDEX($D$6:$CB$53,MATCH($CG21,$B$6:$B$53,0),COLUMN()-COLUMN($CI$5)+1)&gt;0,INDEX($D$6:$CB$53,MATCH($CG21,$B$6:$B$53,0),COLUMN()-COLUMN($CI$5)+1),""))</f>
        <v/>
      </c>
      <c r="DF21" s="1753" t="str" cm="1">
        <f t="array" ref="DF21">IF($CG21="","",IF(INDEX($D$6:$CB$53,MATCH($CG21,$B$6:$B$53,0),COLUMN()-COLUMN($CI$5)+1)&gt;0,INDEX($D$6:$CB$53,MATCH($CG21,$B$6:$B$53,0),COLUMN()-COLUMN($CI$5)+1),""))</f>
        <v/>
      </c>
      <c r="DG21" s="1753" t="str" cm="1">
        <f t="array" ref="DG21">IF($CG21="","",IF(INDEX($D$6:$CB$53,MATCH($CG21,$B$6:$B$53,0),COLUMN()-COLUMN($CI$5)+1)&gt;0,INDEX($D$6:$CB$53,MATCH($CG21,$B$6:$B$53,0),COLUMN()-COLUMN($CI$5)+1),""))</f>
        <v/>
      </c>
      <c r="DH21" s="1753" t="str" cm="1">
        <f t="array" ref="DH21">IF($CG21="","",IF(INDEX($D$6:$CB$53,MATCH($CG21,$B$6:$B$53,0),COLUMN()-COLUMN($CI$5)+1)&gt;0,INDEX($D$6:$CB$53,MATCH($CG21,$B$6:$B$53,0),COLUMN()-COLUMN($CI$5)+1),""))</f>
        <v/>
      </c>
      <c r="DI21" s="1753" t="str" cm="1">
        <f t="array" ref="DI21">IF($CG21="","",IF(INDEX($D$6:$CB$53,MATCH($CG21,$B$6:$B$53,0),COLUMN()-COLUMN($CI$5)+1)&gt;0,INDEX($D$6:$CB$53,MATCH($CG21,$B$6:$B$53,0),COLUMN()-COLUMN($CI$5)+1),""))</f>
        <v/>
      </c>
      <c r="DJ21" s="1753" t="str" cm="1">
        <f t="array" ref="DJ21">IF($CG21="","",IF(INDEX($D$6:$CB$53,MATCH($CG21,$B$6:$B$53,0),COLUMN()-COLUMN($CI$5)+1)&gt;0,INDEX($D$6:$CB$53,MATCH($CG21,$B$6:$B$53,0),COLUMN()-COLUMN($CI$5)+1),""))</f>
        <v/>
      </c>
      <c r="DK21" s="1753" t="str" cm="1">
        <f t="array" ref="DK21">IF($CG21="","",IF(INDEX($D$6:$CB$53,MATCH($CG21,$B$6:$B$53,0),COLUMN()-COLUMN($CI$5)+1)&gt;0,INDEX($D$6:$CB$53,MATCH($CG21,$B$6:$B$53,0),COLUMN()-COLUMN($CI$5)+1),""))</f>
        <v/>
      </c>
      <c r="DL21" s="1753" t="str" cm="1">
        <f t="array" ref="DL21">IF($CG21="","",IF(INDEX($D$6:$CB$53,MATCH($CG21,$B$6:$B$53,0),COLUMN()-COLUMN($CI$5)+1)&gt;0,INDEX($D$6:$CB$53,MATCH($CG21,$B$6:$B$53,0),COLUMN()-COLUMN($CI$5)+1),""))</f>
        <v/>
      </c>
      <c r="DM21" s="1753" t="str" cm="1">
        <f t="array" ref="DM21">IF($CG21="","",IF(INDEX($D$6:$CB$53,MATCH($CG21,$B$6:$B$53,0),COLUMN()-COLUMN($CI$5)+1)&gt;0,INDEX($D$6:$CB$53,MATCH($CG21,$B$6:$B$53,0),COLUMN()-COLUMN($CI$5)+1),""))</f>
        <v/>
      </c>
      <c r="DN21" s="1753" t="str" cm="1">
        <f t="array" ref="DN21">IF($CG21="","",IF(INDEX($D$6:$CB$53,MATCH($CG21,$B$6:$B$53,0),COLUMN()-COLUMN($CI$5)+1)&gt;0,INDEX($D$6:$CB$53,MATCH($CG21,$B$6:$B$53,0),COLUMN()-COLUMN($CI$5)+1),""))</f>
        <v/>
      </c>
      <c r="DO21" s="1753" t="str" cm="1">
        <f t="array" ref="DO21">IF($CG21="","",IF(INDEX($D$6:$CB$53,MATCH($CG21,$B$6:$B$53,0),COLUMN()-COLUMN($CI$5)+1)&gt;0,INDEX($D$6:$CB$53,MATCH($CG21,$B$6:$B$53,0),COLUMN()-COLUMN($CI$5)+1),""))</f>
        <v/>
      </c>
      <c r="DP21" s="1753" t="str" cm="1">
        <f t="array" ref="DP21">IF($CG21="","",IF(INDEX($D$6:$CB$53,MATCH($CG21,$B$6:$B$53,0),COLUMN()-COLUMN($CI$5)+1)&gt;0,INDEX($D$6:$CB$53,MATCH($CG21,$B$6:$B$53,0),COLUMN()-COLUMN($CI$5)+1),""))</f>
        <v/>
      </c>
      <c r="DQ21" s="1753" t="str" cm="1">
        <f t="array" ref="DQ21">IF($CG21="","",IF(INDEX($D$6:$CB$53,MATCH($CG21,$B$6:$B$53,0),COLUMN()-COLUMN($CI$5)+1)&gt;0,INDEX($D$6:$CB$53,MATCH($CG21,$B$6:$B$53,0),COLUMN()-COLUMN($CI$5)+1),""))</f>
        <v/>
      </c>
      <c r="DR21" s="1753" t="str" cm="1">
        <f t="array" ref="DR21">IF($CG21="","",IF(INDEX($D$6:$CB$53,MATCH($CG21,$B$6:$B$53,0),COLUMN()-COLUMN($CI$5)+1)&gt;0,INDEX($D$6:$CB$53,MATCH($CG21,$B$6:$B$53,0),COLUMN()-COLUMN($CI$5)+1),""))</f>
        <v/>
      </c>
      <c r="DS21" s="1753" t="str" cm="1">
        <f t="array" ref="DS21">IF($CG21="","",IF(INDEX($D$6:$CB$53,MATCH($CG21,$B$6:$B$53,0),COLUMN()-COLUMN($CI$5)+1)&gt;0,INDEX($D$6:$CB$53,MATCH($CG21,$B$6:$B$53,0),COLUMN()-COLUMN($CI$5)+1),""))</f>
        <v/>
      </c>
      <c r="DT21" s="1753" t="str" cm="1">
        <f t="array" ref="DT21">IF($CG21="","",IF(INDEX($D$6:$CB$53,MATCH($CG21,$B$6:$B$53,0),COLUMN()-COLUMN($CI$5)+1)&gt;0,INDEX($D$6:$CB$53,MATCH($CG21,$B$6:$B$53,0),COLUMN()-COLUMN($CI$5)+1),""))</f>
        <v/>
      </c>
      <c r="DU21" s="1753" t="str" cm="1">
        <f t="array" ref="DU21">IF($CG21="","",IF(INDEX($D$6:$CB$53,MATCH($CG21,$B$6:$B$53,0),COLUMN()-COLUMN($CI$5)+1)&gt;0,INDEX($D$6:$CB$53,MATCH($CG21,$B$6:$B$53,0),COLUMN()-COLUMN($CI$5)+1),""))</f>
        <v/>
      </c>
      <c r="DV21" s="1753" t="str" cm="1">
        <f t="array" ref="DV21">IF($CG21="","",IF(INDEX($D$6:$CB$53,MATCH($CG21,$B$6:$B$53,0),COLUMN()-COLUMN($CI$5)+1)&gt;0,INDEX($D$6:$CB$53,MATCH($CG21,$B$6:$B$53,0),COLUMN()-COLUMN($CI$5)+1),""))</f>
        <v/>
      </c>
      <c r="DW21" s="1753" t="str" cm="1">
        <f t="array" ref="DW21">IF($CG21="","",IF(INDEX($D$6:$CB$53,MATCH($CG21,$B$6:$B$53,0),COLUMN()-COLUMN($CI$5)+1)&gt;0,INDEX($D$6:$CB$53,MATCH($CG21,$B$6:$B$53,0),COLUMN()-COLUMN($CI$5)+1),""))</f>
        <v/>
      </c>
      <c r="DX21" s="1753" t="str" cm="1">
        <f t="array" ref="DX21">IF($CG21="","",IF(INDEX($D$6:$CB$53,MATCH($CG21,$B$6:$B$53,0),COLUMN()-COLUMN($CI$5)+1)&gt;0,INDEX($D$6:$CB$53,MATCH($CG21,$B$6:$B$53,0),COLUMN()-COLUMN($CI$5)+1),""))</f>
        <v/>
      </c>
      <c r="DY21" s="1753" t="str" cm="1">
        <f t="array" ref="DY21">IF($CG21="","",IF(INDEX($D$6:$CB$53,MATCH($CG21,$B$6:$B$53,0),COLUMN()-COLUMN($CI$5)+1)&gt;0,INDEX($D$6:$CB$53,MATCH($CG21,$B$6:$B$53,0),COLUMN()-COLUMN($CI$5)+1),""))</f>
        <v/>
      </c>
      <c r="DZ21" s="1753" t="str" cm="1">
        <f t="array" ref="DZ21">IF($CG21="","",IF(INDEX($D$6:$CB$53,MATCH($CG21,$B$6:$B$53,0),COLUMN()-COLUMN($CI$5)+1)&gt;0,INDEX($D$6:$CB$53,MATCH($CG21,$B$6:$B$53,0),COLUMN()-COLUMN($CI$5)+1),""))</f>
        <v/>
      </c>
      <c r="EA21" s="1753" t="str" cm="1">
        <f t="array" ref="EA21">IF($CG21="","",IF(INDEX($D$6:$CB$53,MATCH($CG21,$B$6:$B$53,0),COLUMN()-COLUMN($CI$5)+1)&gt;0,INDEX($D$6:$CB$53,MATCH($CG21,$B$6:$B$53,0),COLUMN()-COLUMN($CI$5)+1),""))</f>
        <v/>
      </c>
      <c r="EB21" s="1753" t="str" cm="1">
        <f t="array" ref="EB21">IF($CG21="","",IF(INDEX($D$6:$CB$53,MATCH($CG21,$B$6:$B$53,0),COLUMN()-COLUMN($CI$5)+1)&gt;0,INDEX($D$6:$CB$53,MATCH($CG21,$B$6:$B$53,0),COLUMN()-COLUMN($CI$5)+1),""))</f>
        <v/>
      </c>
      <c r="EC21" s="1753" t="str" cm="1">
        <f t="array" ref="EC21">IF($CG21="","",IF(INDEX($D$6:$CB$53,MATCH($CG21,$B$6:$B$53,0),COLUMN()-COLUMN($CI$5)+1)&gt;0,INDEX($D$6:$CB$53,MATCH($CG21,$B$6:$B$53,0),COLUMN()-COLUMN($CI$5)+1),""))</f>
        <v/>
      </c>
      <c r="ED21" s="1753" t="str" cm="1">
        <f t="array" ref="ED21">IF($CG21="","",IF(INDEX($D$6:$CB$53,MATCH($CG21,$B$6:$B$53,0),COLUMN()-COLUMN($CI$5)+1)&gt;0,INDEX($D$6:$CB$53,MATCH($CG21,$B$6:$B$53,0),COLUMN()-COLUMN($CI$5)+1),""))</f>
        <v/>
      </c>
      <c r="EE21" s="1753" t="str" cm="1">
        <f t="array" ref="EE21">IF($CG21="","",IF(INDEX($D$6:$CB$53,MATCH($CG21,$B$6:$B$53,0),COLUMN()-COLUMN($CI$5)+1)&gt;0,INDEX($D$6:$CB$53,MATCH($CG21,$B$6:$B$53,0),COLUMN()-COLUMN($CI$5)+1),""))</f>
        <v/>
      </c>
      <c r="EF21" s="1753" t="str" cm="1">
        <f t="array" ref="EF21">IF($CG21="","",IF(INDEX($D$6:$CB$53,MATCH($CG21,$B$6:$B$53,0),COLUMN()-COLUMN($CI$5)+1)&gt;0,INDEX($D$6:$CB$53,MATCH($CG21,$B$6:$B$53,0),COLUMN()-COLUMN($CI$5)+1),""))</f>
        <v/>
      </c>
      <c r="EG21" s="1753" t="str" cm="1">
        <f t="array" ref="EG21">IF($CG21="","",IF(INDEX($D$6:$CB$53,MATCH($CG21,$B$6:$B$53,0),COLUMN()-COLUMN($CI$5)+1)&gt;0,INDEX($D$6:$CB$53,MATCH($CG21,$B$6:$B$53,0),COLUMN()-COLUMN($CI$5)+1),""))</f>
        <v/>
      </c>
      <c r="EH21" s="1753" t="str" cm="1">
        <f t="array" ref="EH21">IF($CG21="","",IF(INDEX($D$6:$CB$53,MATCH($CG21,$B$6:$B$53,0),COLUMN()-COLUMN($CI$5)+1)&gt;0,INDEX($D$6:$CB$53,MATCH($CG21,$B$6:$B$53,0),COLUMN()-COLUMN($CI$5)+1),""))</f>
        <v/>
      </c>
      <c r="EI21" s="1753" t="str" cm="1">
        <f t="array" ref="EI21">IF($CG21="","",IF(INDEX($D$6:$CB$53,MATCH($CG21,$B$6:$B$53,0),COLUMN()-COLUMN($CI$5)+1)&gt;0,INDEX($D$6:$CB$53,MATCH($CG21,$B$6:$B$53,0),COLUMN()-COLUMN($CI$5)+1),""))</f>
        <v/>
      </c>
      <c r="EJ21" s="1753" t="str" cm="1">
        <f t="array" ref="EJ21">IF($CG21="","",IF(INDEX($D$6:$CB$53,MATCH($CG21,$B$6:$B$53,0),COLUMN()-COLUMN($CI$5)+1)&gt;0,INDEX($D$6:$CB$53,MATCH($CG21,$B$6:$B$53,0),COLUMN()-COLUMN($CI$5)+1),""))</f>
        <v/>
      </c>
      <c r="EK21" s="1753" t="str" cm="1">
        <f t="array" ref="EK21">IF($CG21="","",IF(INDEX($D$6:$CB$53,MATCH($CG21,$B$6:$B$53,0),COLUMN()-COLUMN($CI$5)+1)&gt;0,INDEX($D$6:$CB$53,MATCH($CG21,$B$6:$B$53,0),COLUMN()-COLUMN($CI$5)+1),""))</f>
        <v/>
      </c>
      <c r="EL21" s="1753" t="str" cm="1">
        <f t="array" ref="EL21">IF($CG21="","",IF(INDEX($D$6:$CB$53,MATCH($CG21,$B$6:$B$53,0),COLUMN()-COLUMN($CI$5)+1)&gt;0,INDEX($D$6:$CB$53,MATCH($CG21,$B$6:$B$53,0),COLUMN()-COLUMN($CI$5)+1),""))</f>
        <v/>
      </c>
      <c r="EM21" s="1753" t="str" cm="1">
        <f t="array" ref="EM21">IF($CG21="","",IF(INDEX($D$6:$CB$53,MATCH($CG21,$B$6:$B$53,0),COLUMN()-COLUMN($CI$5)+1)&gt;0,INDEX($D$6:$CB$53,MATCH($CG21,$B$6:$B$53,0),COLUMN()-COLUMN($CI$5)+1),""))</f>
        <v/>
      </c>
      <c r="EN21" s="1753" t="str" cm="1">
        <f t="array" ref="EN21">IF($CG21="","",IF(INDEX($D$6:$CB$53,MATCH($CG21,$B$6:$B$53,0),COLUMN()-COLUMN($CI$5)+1)&gt;0,INDEX($D$6:$CB$53,MATCH($CG21,$B$6:$B$53,0),COLUMN()-COLUMN($CI$5)+1),""))</f>
        <v/>
      </c>
      <c r="EO21" s="1753" t="str" cm="1">
        <f t="array" ref="EO21">IF($CG21="","",IF(INDEX($D$6:$CB$53,MATCH($CG21,$B$6:$B$53,0),COLUMN()-COLUMN($CI$5)+1)&gt;0,INDEX($D$6:$CB$53,MATCH($CG21,$B$6:$B$53,0),COLUMN()-COLUMN($CI$5)+1),""))</f>
        <v/>
      </c>
      <c r="EP21" s="1753" t="str" cm="1">
        <f t="array" ref="EP21">IF($CG21="","",IF(INDEX($D$6:$CB$53,MATCH($CG21,$B$6:$B$53,0),COLUMN()-COLUMN($CI$5)+1)&gt;0,INDEX($D$6:$CB$53,MATCH($CG21,$B$6:$B$53,0),COLUMN()-COLUMN($CI$5)+1),""))</f>
        <v/>
      </c>
      <c r="EQ21" s="1753" t="str" cm="1">
        <f t="array" ref="EQ21">IF($CG21="","",IF(INDEX($D$6:$CB$53,MATCH($CG21,$B$6:$B$53,0),COLUMN()-COLUMN($CI$5)+1)&gt;0,INDEX($D$6:$CB$53,MATCH($CG21,$B$6:$B$53,0),COLUMN()-COLUMN($CI$5)+1),""))</f>
        <v/>
      </c>
      <c r="ER21" s="1753" t="str" cm="1">
        <f t="array" ref="ER21">IF($CG21="","",IF(INDEX($D$6:$CB$53,MATCH($CG21,$B$6:$B$53,0),COLUMN()-COLUMN($CI$5)+1)&gt;0,INDEX($D$6:$CB$53,MATCH($CG21,$B$6:$B$53,0),COLUMN()-COLUMN($CI$5)+1),""))</f>
        <v/>
      </c>
      <c r="ES21" s="1753" t="str" cm="1">
        <f t="array" ref="ES21">IF($CG21="","",IF(INDEX($D$6:$CB$53,MATCH($CG21,$B$6:$B$53,0),COLUMN()-COLUMN($CI$5)+1)&gt;0,INDEX($D$6:$CB$53,MATCH($CG21,$B$6:$B$53,0),COLUMN()-COLUMN($CI$5)+1),""))</f>
        <v/>
      </c>
      <c r="ET21" s="1753" t="str" cm="1">
        <f t="array" ref="ET21">IF($CG21="","",IF(INDEX($D$6:$CB$53,MATCH($CG21,$B$6:$B$53,0),COLUMN()-COLUMN($CI$5)+1)&gt;0,INDEX($D$6:$CB$53,MATCH($CG21,$B$6:$B$53,0),COLUMN()-COLUMN($CI$5)+1),""))</f>
        <v/>
      </c>
      <c r="EU21" s="1753" t="str" cm="1">
        <f t="array" ref="EU21">IF($CG21="","",IF(INDEX($D$6:$CB$53,MATCH($CG21,$B$6:$B$53,0),COLUMN()-COLUMN($CI$5)+1)&gt;0,INDEX($D$6:$CB$53,MATCH($CG21,$B$6:$B$53,0),COLUMN()-COLUMN($CI$5)+1),""))</f>
        <v/>
      </c>
      <c r="EV21" s="1753" t="str" cm="1">
        <f t="array" ref="EV21">IF($CG21="","",IF(INDEX($D$6:$CB$53,MATCH($CG21,$B$6:$B$53,0),COLUMN()-COLUMN($CI$5)+1)&gt;0,INDEX($D$6:$CB$53,MATCH($CG21,$B$6:$B$53,0),COLUMN()-COLUMN($CI$5)+1),""))</f>
        <v/>
      </c>
      <c r="EW21" s="1753" t="str" cm="1">
        <f t="array" ref="EW21">IF($CG21="","",IF(INDEX($D$6:$CB$53,MATCH($CG21,$B$6:$B$53,0),COLUMN()-COLUMN($CI$5)+1)&gt;0,INDEX($D$6:$CB$53,MATCH($CG21,$B$6:$B$53,0),COLUMN()-COLUMN($CI$5)+1),""))</f>
        <v/>
      </c>
      <c r="EX21" s="1753" t="str" cm="1">
        <f t="array" ref="EX21">IF($CG21="","",IF(INDEX($D$6:$CB$53,MATCH($CG21,$B$6:$B$53,0),COLUMN()-COLUMN($CI$5)+1)&gt;0,INDEX($D$6:$CB$53,MATCH($CG21,$B$6:$B$53,0),COLUMN()-COLUMN($CI$5)+1),""))</f>
        <v/>
      </c>
      <c r="EY21" s="1753" t="str" cm="1">
        <f t="array" ref="EY21">IF($CG21="","",IF(INDEX($D$6:$CB$53,MATCH($CG21,$B$6:$B$53,0),COLUMN()-COLUMN($CI$5)+1)&gt;0,INDEX($D$6:$CB$53,MATCH($CG21,$B$6:$B$53,0),COLUMN()-COLUMN($CI$5)+1),""))</f>
        <v/>
      </c>
      <c r="EZ21" s="1753" t="str" cm="1">
        <f t="array" ref="EZ21">IF($CG21="","",IF(INDEX($D$6:$CB$53,MATCH($CG21,$B$6:$B$53,0),COLUMN()-COLUMN($CI$5)+1)&gt;0,INDEX($D$6:$CB$53,MATCH($CG21,$B$6:$B$53,0),COLUMN()-COLUMN($CI$5)+1),""))</f>
        <v/>
      </c>
      <c r="FA21" s="1753" t="str" cm="1">
        <f t="array" ref="FA21">IF($CG21="","",IF(INDEX($D$6:$CB$53,MATCH($CG21,$B$6:$B$53,0),COLUMN()-COLUMN($CI$5)+1)&gt;0,INDEX($D$6:$CB$53,MATCH($CG21,$B$6:$B$53,0),COLUMN()-COLUMN($CI$5)+1),""))</f>
        <v/>
      </c>
      <c r="FB21" s="1753" t="str" cm="1">
        <f t="array" ref="FB21">IF($CG21="","",IF(INDEX($D$6:$CB$53,MATCH($CG21,$B$6:$B$53,0),COLUMN()-COLUMN($CI$5)+1)&gt;0,INDEX($D$6:$CB$53,MATCH($CG21,$B$6:$B$53,0),COLUMN()-COLUMN($CI$5)+1),""))</f>
        <v/>
      </c>
      <c r="FC21" s="1753" t="str" cm="1">
        <f t="array" ref="FC21">IF($CG21="","",IF(INDEX($D$6:$CB$53,MATCH($CG21,$B$6:$B$53,0),COLUMN()-COLUMN($CI$5)+1)&gt;0,INDEX($D$6:$CB$53,MATCH($CG21,$B$6:$B$53,0),COLUMN()-COLUMN($CI$5)+1),""))</f>
        <v/>
      </c>
      <c r="FD21" s="1753" t="str" cm="1">
        <f t="array" ref="FD21">IF($CG21="","",IF(INDEX($D$6:$CB$53,MATCH($CG21,$B$6:$B$53,0),COLUMN()-COLUMN($CI$5)+1)&gt;0,INDEX($D$6:$CB$53,MATCH($CG21,$B$6:$B$53,0),COLUMN()-COLUMN($CI$5)+1),""))</f>
        <v/>
      </c>
      <c r="FE21" s="1753" t="str" cm="1">
        <f t="array" ref="FE21">IF($CG21="","",IF(INDEX($D$6:$CB$53,MATCH($CG21,$B$6:$B$53,0),COLUMN()-COLUMN($CI$5)+1)&gt;0,INDEX($D$6:$CB$53,MATCH($CG21,$B$6:$B$53,0),COLUMN()-COLUMN($CI$5)+1),""))</f>
        <v/>
      </c>
      <c r="FF21" s="1753" t="str" cm="1">
        <f t="array" ref="FF21">IF($CG21="","",IF(INDEX($D$6:$CB$53,MATCH($CG21,$B$6:$B$53,0),COLUMN()-COLUMN($CI$5)+1)&gt;0,INDEX($D$6:$CB$53,MATCH($CG21,$B$6:$B$53,0),COLUMN()-COLUMN($CI$5)+1),""))</f>
        <v/>
      </c>
      <c r="FG21" s="1758" t="str" cm="1">
        <f t="array" ref="FG21">IF($CG21="","",IF(INDEX($D$6:$CB$53,MATCH($CG21,$B$6:$B$53,0),COLUMN()-COLUMN($CI$5)+1)&gt;0,INDEX($D$6:$CB$53,MATCH($CG21,$B$6:$B$53,0),COLUMN()-COLUMN($CI$5)+1),""))</f>
        <v/>
      </c>
      <c r="FH21" s="1764" t="str">
        <f t="shared" si="4"/>
        <v/>
      </c>
      <c r="FI21" s="1756" t="str">
        <f t="shared" si="5"/>
        <v/>
      </c>
      <c r="FJ21" s="1767" t="str">
        <f t="shared" si="6"/>
        <v/>
      </c>
      <c r="FK21" s="1760"/>
    </row>
    <row r="22" spans="1:167" ht="15.75" customHeight="1">
      <c r="A22" s="1220"/>
      <c r="B22" s="1278">
        <f>+PP!B40</f>
        <v>17</v>
      </c>
      <c r="C22" s="1279" t="str">
        <f>+PP!C40</f>
        <v>FILETE C/M C/T ENTERO BLANCO 1.0-2.0 kg/pza</v>
      </c>
      <c r="D22" s="1404"/>
      <c r="E22" s="1405"/>
      <c r="F22" s="1405"/>
      <c r="G22" s="1405"/>
      <c r="H22" s="1405"/>
      <c r="I22" s="1405"/>
      <c r="J22" s="1405"/>
      <c r="K22" s="1405"/>
      <c r="L22" s="1405"/>
      <c r="M22" s="1405"/>
      <c r="N22" s="1405"/>
      <c r="O22" s="1405"/>
      <c r="P22" s="1405"/>
      <c r="Q22" s="1405"/>
      <c r="R22" s="1405"/>
      <c r="S22" s="1405"/>
      <c r="T22" s="1405"/>
      <c r="U22" s="1405"/>
      <c r="V22" s="1405"/>
      <c r="W22" s="1405"/>
      <c r="X22" s="1405"/>
      <c r="Y22" s="1405"/>
      <c r="Z22" s="1405"/>
      <c r="AA22" s="1405"/>
      <c r="AB22" s="1405"/>
      <c r="AC22" s="1405"/>
      <c r="AD22" s="1405"/>
      <c r="AE22" s="1405"/>
      <c r="AF22" s="1405"/>
      <c r="AG22" s="1405"/>
      <c r="AH22" s="1406"/>
      <c r="AI22" s="1235"/>
      <c r="AJ22" s="1235"/>
      <c r="AK22" s="1235"/>
      <c r="AL22" s="1235"/>
      <c r="AM22" s="1235"/>
      <c r="AN22" s="1235"/>
      <c r="AO22" s="1235"/>
      <c r="AP22" s="1218"/>
      <c r="AQ22" s="1218"/>
      <c r="AR22" s="1218"/>
      <c r="AS22" s="1218"/>
      <c r="AT22" s="1218"/>
      <c r="AU22" s="1218"/>
      <c r="AV22" s="1218"/>
      <c r="AW22" s="1218"/>
      <c r="AX22" s="1218"/>
      <c r="AY22" s="1218"/>
      <c r="AZ22" s="1218"/>
      <c r="BA22" s="1218"/>
      <c r="BB22" s="1218"/>
      <c r="BC22" s="1218"/>
      <c r="BD22" s="1218"/>
      <c r="BE22" s="1218"/>
      <c r="BF22" s="1218"/>
      <c r="BG22" s="1218"/>
      <c r="BH22" s="1218"/>
      <c r="BI22" s="1218"/>
      <c r="BJ22" s="1218"/>
      <c r="BK22" s="1218"/>
      <c r="BL22" s="1218"/>
      <c r="BM22" s="1218"/>
      <c r="BN22" s="1218"/>
      <c r="BO22" s="1218"/>
      <c r="BP22" s="1218"/>
      <c r="BQ22" s="1218"/>
      <c r="BR22" s="1558"/>
      <c r="BS22" s="1558"/>
      <c r="BT22" s="1558"/>
      <c r="BU22" s="1558"/>
      <c r="BV22" s="1558"/>
      <c r="BW22" s="1558"/>
      <c r="BX22" s="1558"/>
      <c r="BY22" s="1558"/>
      <c r="BZ22" s="1558"/>
      <c r="CA22" s="1558"/>
      <c r="CB22" s="1572"/>
      <c r="CC22" s="1550">
        <f t="shared" si="0"/>
        <v>0</v>
      </c>
      <c r="CD22" s="1236">
        <f t="shared" si="1"/>
        <v>0</v>
      </c>
      <c r="CE22" s="1237">
        <f t="shared" si="2"/>
        <v>0</v>
      </c>
      <c r="CF22" s="1220"/>
      <c r="CG22" s="1751" t="str" cm="1">
        <f t="array" ref="CG22">IFERROR(INDEX($B$6:$B$53,_xlfn.AGGREGATE(15,6,(ROW($B$6:$B$53)-ROW($B$6)+1)/(MMULT(--($D$6:$CB$53&gt;0),TRANSPOSE(COLUMN($D$6:$CB$6)^0))&gt;0),ROWS($CG$6:CG22))),"")</f>
        <v/>
      </c>
      <c r="CH22" s="1752" t="str">
        <f t="shared" si="3"/>
        <v/>
      </c>
      <c r="CI22" s="1753" t="str" cm="1">
        <f t="array" ref="CI22">IF($CG22="","",IF(INDEX($D$6:$CB$53,MATCH($CG22,$B$6:$B$53,0),COLUMN()-COLUMN($CI$5)+1)&gt;0,INDEX($D$6:$CB$53,MATCH($CG22,$B$6:$B$53,0),COLUMN()-COLUMN($CI$5)+1),""))</f>
        <v/>
      </c>
      <c r="CJ22" s="1753" t="str" cm="1">
        <f t="array" ref="CJ22">IF($CG22="","",IF(INDEX($D$6:$CB$53,MATCH($CG22,$B$6:$B$53,0),COLUMN()-COLUMN($CI$5)+1)&gt;0,INDEX($D$6:$CB$53,MATCH($CG22,$B$6:$B$53,0),COLUMN()-COLUMN($CI$5)+1),""))</f>
        <v/>
      </c>
      <c r="CK22" s="1753" t="str" cm="1">
        <f t="array" ref="CK22">IF($CG22="","",IF(INDEX($D$6:$CB$53,MATCH($CG22,$B$6:$B$53,0),COLUMN()-COLUMN($CI$5)+1)&gt;0,INDEX($D$6:$CB$53,MATCH($CG22,$B$6:$B$53,0),COLUMN()-COLUMN($CI$5)+1),""))</f>
        <v/>
      </c>
      <c r="CL22" s="1753" t="str" cm="1">
        <f t="array" ref="CL22">IF($CG22="","",IF(INDEX($D$6:$CB$53,MATCH($CG22,$B$6:$B$53,0),COLUMN()-COLUMN($CI$5)+1)&gt;0,INDEX($D$6:$CB$53,MATCH($CG22,$B$6:$B$53,0),COLUMN()-COLUMN($CI$5)+1),""))</f>
        <v/>
      </c>
      <c r="CM22" s="1753" t="str" cm="1">
        <f t="array" ref="CM22">IF($CG22="","",IF(INDEX($D$6:$CB$53,MATCH($CG22,$B$6:$B$53,0),COLUMN()-COLUMN($CI$5)+1)&gt;0,INDEX($D$6:$CB$53,MATCH($CG22,$B$6:$B$53,0),COLUMN()-COLUMN($CI$5)+1),""))</f>
        <v/>
      </c>
      <c r="CN22" s="1753" t="str" cm="1">
        <f t="array" ref="CN22">IF($CG22="","",IF(INDEX($D$6:$CB$53,MATCH($CG22,$B$6:$B$53,0),COLUMN()-COLUMN($CI$5)+1)&gt;0,INDEX($D$6:$CB$53,MATCH($CG22,$B$6:$B$53,0),COLUMN()-COLUMN($CI$5)+1),""))</f>
        <v/>
      </c>
      <c r="CO22" s="1753" t="str" cm="1">
        <f t="array" ref="CO22">IF($CG22="","",IF(INDEX($D$6:$CB$53,MATCH($CG22,$B$6:$B$53,0),COLUMN()-COLUMN($CI$5)+1)&gt;0,INDEX($D$6:$CB$53,MATCH($CG22,$B$6:$B$53,0),COLUMN()-COLUMN($CI$5)+1),""))</f>
        <v/>
      </c>
      <c r="CP22" s="1753" t="str" cm="1">
        <f t="array" ref="CP22">IF($CG22="","",IF(INDEX($D$6:$CB$53,MATCH($CG22,$B$6:$B$53,0),COLUMN()-COLUMN($CI$5)+1)&gt;0,INDEX($D$6:$CB$53,MATCH($CG22,$B$6:$B$53,0),COLUMN()-COLUMN($CI$5)+1),""))</f>
        <v/>
      </c>
      <c r="CQ22" s="1753" t="str" cm="1">
        <f t="array" ref="CQ22">IF($CG22="","",IF(INDEX($D$6:$CB$53,MATCH($CG22,$B$6:$B$53,0),COLUMN()-COLUMN($CI$5)+1)&gt;0,INDEX($D$6:$CB$53,MATCH($CG22,$B$6:$B$53,0),COLUMN()-COLUMN($CI$5)+1),""))</f>
        <v/>
      </c>
      <c r="CR22" s="1753" t="str" cm="1">
        <f t="array" ref="CR22">IF($CG22="","",IF(INDEX($D$6:$CB$53,MATCH($CG22,$B$6:$B$53,0),COLUMN()-COLUMN($CI$5)+1)&gt;0,INDEX($D$6:$CB$53,MATCH($CG22,$B$6:$B$53,0),COLUMN()-COLUMN($CI$5)+1),""))</f>
        <v/>
      </c>
      <c r="CS22" s="1753" t="str" cm="1">
        <f t="array" ref="CS22">IF($CG22="","",IF(INDEX($D$6:$CB$53,MATCH($CG22,$B$6:$B$53,0),COLUMN()-COLUMN($CI$5)+1)&gt;0,INDEX($D$6:$CB$53,MATCH($CG22,$B$6:$B$53,0),COLUMN()-COLUMN($CI$5)+1),""))</f>
        <v/>
      </c>
      <c r="CT22" s="1753" t="str" cm="1">
        <f t="array" ref="CT22">IF($CG22="","",IF(INDEX($D$6:$CB$53,MATCH($CG22,$B$6:$B$53,0),COLUMN()-COLUMN($CI$5)+1)&gt;0,INDEX($D$6:$CB$53,MATCH($CG22,$B$6:$B$53,0),COLUMN()-COLUMN($CI$5)+1),""))</f>
        <v/>
      </c>
      <c r="CU22" s="1753" t="str" cm="1">
        <f t="array" ref="CU22">IF($CG22="","",IF(INDEX($D$6:$CB$53,MATCH($CG22,$B$6:$B$53,0),COLUMN()-COLUMN($CI$5)+1)&gt;0,INDEX($D$6:$CB$53,MATCH($CG22,$B$6:$B$53,0),COLUMN()-COLUMN($CI$5)+1),""))</f>
        <v/>
      </c>
      <c r="CV22" s="1753" t="str" cm="1">
        <f t="array" ref="CV22">IF($CG22="","",IF(INDEX($D$6:$CB$53,MATCH($CG22,$B$6:$B$53,0),COLUMN()-COLUMN($CI$5)+1)&gt;0,INDEX($D$6:$CB$53,MATCH($CG22,$B$6:$B$53,0),COLUMN()-COLUMN($CI$5)+1),""))</f>
        <v/>
      </c>
      <c r="CW22" s="1753" t="str" cm="1">
        <f t="array" ref="CW22">IF($CG22="","",IF(INDEX($D$6:$CB$53,MATCH($CG22,$B$6:$B$53,0),COLUMN()-COLUMN($CI$5)+1)&gt;0,INDEX($D$6:$CB$53,MATCH($CG22,$B$6:$B$53,0),COLUMN()-COLUMN($CI$5)+1),""))</f>
        <v/>
      </c>
      <c r="CX22" s="1753" t="str" cm="1">
        <f t="array" ref="CX22">IF($CG22="","",IF(INDEX($D$6:$CB$53,MATCH($CG22,$B$6:$B$53,0),COLUMN()-COLUMN($CI$5)+1)&gt;0,INDEX($D$6:$CB$53,MATCH($CG22,$B$6:$B$53,0),COLUMN()-COLUMN($CI$5)+1),""))</f>
        <v/>
      </c>
      <c r="CY22" s="1753" t="str" cm="1">
        <f t="array" ref="CY22">IF($CG22="","",IF(INDEX($D$6:$CB$53,MATCH($CG22,$B$6:$B$53,0),COLUMN()-COLUMN($CI$5)+1)&gt;0,INDEX($D$6:$CB$53,MATCH($CG22,$B$6:$B$53,0),COLUMN()-COLUMN($CI$5)+1),""))</f>
        <v/>
      </c>
      <c r="CZ22" s="1753" t="str" cm="1">
        <f t="array" ref="CZ22">IF($CG22="","",IF(INDEX($D$6:$CB$53,MATCH($CG22,$B$6:$B$53,0),COLUMN()-COLUMN($CI$5)+1)&gt;0,INDEX($D$6:$CB$53,MATCH($CG22,$B$6:$B$53,0),COLUMN()-COLUMN($CI$5)+1),""))</f>
        <v/>
      </c>
      <c r="DA22" s="1753" t="str" cm="1">
        <f t="array" ref="DA22">IF($CG22="","",IF(INDEX($D$6:$CB$53,MATCH($CG22,$B$6:$B$53,0),COLUMN()-COLUMN($CI$5)+1)&gt;0,INDEX($D$6:$CB$53,MATCH($CG22,$B$6:$B$53,0),COLUMN()-COLUMN($CI$5)+1),""))</f>
        <v/>
      </c>
      <c r="DB22" s="1753" t="str" cm="1">
        <f t="array" ref="DB22">IF($CG22="","",IF(INDEX($D$6:$CB$53,MATCH($CG22,$B$6:$B$53,0),COLUMN()-COLUMN($CI$5)+1)&gt;0,INDEX($D$6:$CB$53,MATCH($CG22,$B$6:$B$53,0),COLUMN()-COLUMN($CI$5)+1),""))</f>
        <v/>
      </c>
      <c r="DC22" s="1753" t="str" cm="1">
        <f t="array" ref="DC22">IF($CG22="","",IF(INDEX($D$6:$CB$53,MATCH($CG22,$B$6:$B$53,0),COLUMN()-COLUMN($CI$5)+1)&gt;0,INDEX($D$6:$CB$53,MATCH($CG22,$B$6:$B$53,0),COLUMN()-COLUMN($CI$5)+1),""))</f>
        <v/>
      </c>
      <c r="DD22" s="1753" t="str" cm="1">
        <f t="array" ref="DD22">IF($CG22="","",IF(INDEX($D$6:$CB$53,MATCH($CG22,$B$6:$B$53,0),COLUMN()-COLUMN($CI$5)+1)&gt;0,INDEX($D$6:$CB$53,MATCH($CG22,$B$6:$B$53,0),COLUMN()-COLUMN($CI$5)+1),""))</f>
        <v/>
      </c>
      <c r="DE22" s="1753" t="str" cm="1">
        <f t="array" ref="DE22">IF($CG22="","",IF(INDEX($D$6:$CB$53,MATCH($CG22,$B$6:$B$53,0),COLUMN()-COLUMN($CI$5)+1)&gt;0,INDEX($D$6:$CB$53,MATCH($CG22,$B$6:$B$53,0),COLUMN()-COLUMN($CI$5)+1),""))</f>
        <v/>
      </c>
      <c r="DF22" s="1753" t="str" cm="1">
        <f t="array" ref="DF22">IF($CG22="","",IF(INDEX($D$6:$CB$53,MATCH($CG22,$B$6:$B$53,0),COLUMN()-COLUMN($CI$5)+1)&gt;0,INDEX($D$6:$CB$53,MATCH($CG22,$B$6:$B$53,0),COLUMN()-COLUMN($CI$5)+1),""))</f>
        <v/>
      </c>
      <c r="DG22" s="1753" t="str" cm="1">
        <f t="array" ref="DG22">IF($CG22="","",IF(INDEX($D$6:$CB$53,MATCH($CG22,$B$6:$B$53,0),COLUMN()-COLUMN($CI$5)+1)&gt;0,INDEX($D$6:$CB$53,MATCH($CG22,$B$6:$B$53,0),COLUMN()-COLUMN($CI$5)+1),""))</f>
        <v/>
      </c>
      <c r="DH22" s="1753" t="str" cm="1">
        <f t="array" ref="DH22">IF($CG22="","",IF(INDEX($D$6:$CB$53,MATCH($CG22,$B$6:$B$53,0),COLUMN()-COLUMN($CI$5)+1)&gt;0,INDEX($D$6:$CB$53,MATCH($CG22,$B$6:$B$53,0),COLUMN()-COLUMN($CI$5)+1),""))</f>
        <v/>
      </c>
      <c r="DI22" s="1753" t="str" cm="1">
        <f t="array" ref="DI22">IF($CG22="","",IF(INDEX($D$6:$CB$53,MATCH($CG22,$B$6:$B$53,0),COLUMN()-COLUMN($CI$5)+1)&gt;0,INDEX($D$6:$CB$53,MATCH($CG22,$B$6:$B$53,0),COLUMN()-COLUMN($CI$5)+1),""))</f>
        <v/>
      </c>
      <c r="DJ22" s="1753" t="str" cm="1">
        <f t="array" ref="DJ22">IF($CG22="","",IF(INDEX($D$6:$CB$53,MATCH($CG22,$B$6:$B$53,0),COLUMN()-COLUMN($CI$5)+1)&gt;0,INDEX($D$6:$CB$53,MATCH($CG22,$B$6:$B$53,0),COLUMN()-COLUMN($CI$5)+1),""))</f>
        <v/>
      </c>
      <c r="DK22" s="1753" t="str" cm="1">
        <f t="array" ref="DK22">IF($CG22="","",IF(INDEX($D$6:$CB$53,MATCH($CG22,$B$6:$B$53,0),COLUMN()-COLUMN($CI$5)+1)&gt;0,INDEX($D$6:$CB$53,MATCH($CG22,$B$6:$B$53,0),COLUMN()-COLUMN($CI$5)+1),""))</f>
        <v/>
      </c>
      <c r="DL22" s="1753" t="str" cm="1">
        <f t="array" ref="DL22">IF($CG22="","",IF(INDEX($D$6:$CB$53,MATCH($CG22,$B$6:$B$53,0),COLUMN()-COLUMN($CI$5)+1)&gt;0,INDEX($D$6:$CB$53,MATCH($CG22,$B$6:$B$53,0),COLUMN()-COLUMN($CI$5)+1),""))</f>
        <v/>
      </c>
      <c r="DM22" s="1753" t="str" cm="1">
        <f t="array" ref="DM22">IF($CG22="","",IF(INDEX($D$6:$CB$53,MATCH($CG22,$B$6:$B$53,0),COLUMN()-COLUMN($CI$5)+1)&gt;0,INDEX($D$6:$CB$53,MATCH($CG22,$B$6:$B$53,0),COLUMN()-COLUMN($CI$5)+1),""))</f>
        <v/>
      </c>
      <c r="DN22" s="1753" t="str" cm="1">
        <f t="array" ref="DN22">IF($CG22="","",IF(INDEX($D$6:$CB$53,MATCH($CG22,$B$6:$B$53,0),COLUMN()-COLUMN($CI$5)+1)&gt;0,INDEX($D$6:$CB$53,MATCH($CG22,$B$6:$B$53,0),COLUMN()-COLUMN($CI$5)+1),""))</f>
        <v/>
      </c>
      <c r="DO22" s="1753" t="str" cm="1">
        <f t="array" ref="DO22">IF($CG22="","",IF(INDEX($D$6:$CB$53,MATCH($CG22,$B$6:$B$53,0),COLUMN()-COLUMN($CI$5)+1)&gt;0,INDEX($D$6:$CB$53,MATCH($CG22,$B$6:$B$53,0),COLUMN()-COLUMN($CI$5)+1),""))</f>
        <v/>
      </c>
      <c r="DP22" s="1753" t="str" cm="1">
        <f t="array" ref="DP22">IF($CG22="","",IF(INDEX($D$6:$CB$53,MATCH($CG22,$B$6:$B$53,0),COLUMN()-COLUMN($CI$5)+1)&gt;0,INDEX($D$6:$CB$53,MATCH($CG22,$B$6:$B$53,0),COLUMN()-COLUMN($CI$5)+1),""))</f>
        <v/>
      </c>
      <c r="DQ22" s="1753" t="str" cm="1">
        <f t="array" ref="DQ22">IF($CG22="","",IF(INDEX($D$6:$CB$53,MATCH($CG22,$B$6:$B$53,0),COLUMN()-COLUMN($CI$5)+1)&gt;0,INDEX($D$6:$CB$53,MATCH($CG22,$B$6:$B$53,0),COLUMN()-COLUMN($CI$5)+1),""))</f>
        <v/>
      </c>
      <c r="DR22" s="1753" t="str" cm="1">
        <f t="array" ref="DR22">IF($CG22="","",IF(INDEX($D$6:$CB$53,MATCH($CG22,$B$6:$B$53,0),COLUMN()-COLUMN($CI$5)+1)&gt;0,INDEX($D$6:$CB$53,MATCH($CG22,$B$6:$B$53,0),COLUMN()-COLUMN($CI$5)+1),""))</f>
        <v/>
      </c>
      <c r="DS22" s="1753" t="str" cm="1">
        <f t="array" ref="DS22">IF($CG22="","",IF(INDEX($D$6:$CB$53,MATCH($CG22,$B$6:$B$53,0),COLUMN()-COLUMN($CI$5)+1)&gt;0,INDEX($D$6:$CB$53,MATCH($CG22,$B$6:$B$53,0),COLUMN()-COLUMN($CI$5)+1),""))</f>
        <v/>
      </c>
      <c r="DT22" s="1753" t="str" cm="1">
        <f t="array" ref="DT22">IF($CG22="","",IF(INDEX($D$6:$CB$53,MATCH($CG22,$B$6:$B$53,0),COLUMN()-COLUMN($CI$5)+1)&gt;0,INDEX($D$6:$CB$53,MATCH($CG22,$B$6:$B$53,0),COLUMN()-COLUMN($CI$5)+1),""))</f>
        <v/>
      </c>
      <c r="DU22" s="1753" t="str" cm="1">
        <f t="array" ref="DU22">IF($CG22="","",IF(INDEX($D$6:$CB$53,MATCH($CG22,$B$6:$B$53,0),COLUMN()-COLUMN($CI$5)+1)&gt;0,INDEX($D$6:$CB$53,MATCH($CG22,$B$6:$B$53,0),COLUMN()-COLUMN($CI$5)+1),""))</f>
        <v/>
      </c>
      <c r="DV22" s="1753" t="str" cm="1">
        <f t="array" ref="DV22">IF($CG22="","",IF(INDEX($D$6:$CB$53,MATCH($CG22,$B$6:$B$53,0),COLUMN()-COLUMN($CI$5)+1)&gt;0,INDEX($D$6:$CB$53,MATCH($CG22,$B$6:$B$53,0),COLUMN()-COLUMN($CI$5)+1),""))</f>
        <v/>
      </c>
      <c r="DW22" s="1753" t="str" cm="1">
        <f t="array" ref="DW22">IF($CG22="","",IF(INDEX($D$6:$CB$53,MATCH($CG22,$B$6:$B$53,0),COLUMN()-COLUMN($CI$5)+1)&gt;0,INDEX($D$6:$CB$53,MATCH($CG22,$B$6:$B$53,0),COLUMN()-COLUMN($CI$5)+1),""))</f>
        <v/>
      </c>
      <c r="DX22" s="1753" t="str" cm="1">
        <f t="array" ref="DX22">IF($CG22="","",IF(INDEX($D$6:$CB$53,MATCH($CG22,$B$6:$B$53,0),COLUMN()-COLUMN($CI$5)+1)&gt;0,INDEX($D$6:$CB$53,MATCH($CG22,$B$6:$B$53,0),COLUMN()-COLUMN($CI$5)+1),""))</f>
        <v/>
      </c>
      <c r="DY22" s="1753" t="str" cm="1">
        <f t="array" ref="DY22">IF($CG22="","",IF(INDEX($D$6:$CB$53,MATCH($CG22,$B$6:$B$53,0),COLUMN()-COLUMN($CI$5)+1)&gt;0,INDEX($D$6:$CB$53,MATCH($CG22,$B$6:$B$53,0),COLUMN()-COLUMN($CI$5)+1),""))</f>
        <v/>
      </c>
      <c r="DZ22" s="1753" t="str" cm="1">
        <f t="array" ref="DZ22">IF($CG22="","",IF(INDEX($D$6:$CB$53,MATCH($CG22,$B$6:$B$53,0),COLUMN()-COLUMN($CI$5)+1)&gt;0,INDEX($D$6:$CB$53,MATCH($CG22,$B$6:$B$53,0),COLUMN()-COLUMN($CI$5)+1),""))</f>
        <v/>
      </c>
      <c r="EA22" s="1753" t="str" cm="1">
        <f t="array" ref="EA22">IF($CG22="","",IF(INDEX($D$6:$CB$53,MATCH($CG22,$B$6:$B$53,0),COLUMN()-COLUMN($CI$5)+1)&gt;0,INDEX($D$6:$CB$53,MATCH($CG22,$B$6:$B$53,0),COLUMN()-COLUMN($CI$5)+1),""))</f>
        <v/>
      </c>
      <c r="EB22" s="1753" t="str" cm="1">
        <f t="array" ref="EB22">IF($CG22="","",IF(INDEX($D$6:$CB$53,MATCH($CG22,$B$6:$B$53,0),COLUMN()-COLUMN($CI$5)+1)&gt;0,INDEX($D$6:$CB$53,MATCH($CG22,$B$6:$B$53,0),COLUMN()-COLUMN($CI$5)+1),""))</f>
        <v/>
      </c>
      <c r="EC22" s="1753" t="str" cm="1">
        <f t="array" ref="EC22">IF($CG22="","",IF(INDEX($D$6:$CB$53,MATCH($CG22,$B$6:$B$53,0),COLUMN()-COLUMN($CI$5)+1)&gt;0,INDEX($D$6:$CB$53,MATCH($CG22,$B$6:$B$53,0),COLUMN()-COLUMN($CI$5)+1),""))</f>
        <v/>
      </c>
      <c r="ED22" s="1753" t="str" cm="1">
        <f t="array" ref="ED22">IF($CG22="","",IF(INDEX($D$6:$CB$53,MATCH($CG22,$B$6:$B$53,0),COLUMN()-COLUMN($CI$5)+1)&gt;0,INDEX($D$6:$CB$53,MATCH($CG22,$B$6:$B$53,0),COLUMN()-COLUMN($CI$5)+1),""))</f>
        <v/>
      </c>
      <c r="EE22" s="1753" t="str" cm="1">
        <f t="array" ref="EE22">IF($CG22="","",IF(INDEX($D$6:$CB$53,MATCH($CG22,$B$6:$B$53,0),COLUMN()-COLUMN($CI$5)+1)&gt;0,INDEX($D$6:$CB$53,MATCH($CG22,$B$6:$B$53,0),COLUMN()-COLUMN($CI$5)+1),""))</f>
        <v/>
      </c>
      <c r="EF22" s="1753" t="str" cm="1">
        <f t="array" ref="EF22">IF($CG22="","",IF(INDEX($D$6:$CB$53,MATCH($CG22,$B$6:$B$53,0),COLUMN()-COLUMN($CI$5)+1)&gt;0,INDEX($D$6:$CB$53,MATCH($CG22,$B$6:$B$53,0),COLUMN()-COLUMN($CI$5)+1),""))</f>
        <v/>
      </c>
      <c r="EG22" s="1753" t="str" cm="1">
        <f t="array" ref="EG22">IF($CG22="","",IF(INDEX($D$6:$CB$53,MATCH($CG22,$B$6:$B$53,0),COLUMN()-COLUMN($CI$5)+1)&gt;0,INDEX($D$6:$CB$53,MATCH($CG22,$B$6:$B$53,0),COLUMN()-COLUMN($CI$5)+1),""))</f>
        <v/>
      </c>
      <c r="EH22" s="1753" t="str" cm="1">
        <f t="array" ref="EH22">IF($CG22="","",IF(INDEX($D$6:$CB$53,MATCH($CG22,$B$6:$B$53,0),COLUMN()-COLUMN($CI$5)+1)&gt;0,INDEX($D$6:$CB$53,MATCH($CG22,$B$6:$B$53,0),COLUMN()-COLUMN($CI$5)+1),""))</f>
        <v/>
      </c>
      <c r="EI22" s="1753" t="str" cm="1">
        <f t="array" ref="EI22">IF($CG22="","",IF(INDEX($D$6:$CB$53,MATCH($CG22,$B$6:$B$53,0),COLUMN()-COLUMN($CI$5)+1)&gt;0,INDEX($D$6:$CB$53,MATCH($CG22,$B$6:$B$53,0),COLUMN()-COLUMN($CI$5)+1),""))</f>
        <v/>
      </c>
      <c r="EJ22" s="1753" t="str" cm="1">
        <f t="array" ref="EJ22">IF($CG22="","",IF(INDEX($D$6:$CB$53,MATCH($CG22,$B$6:$B$53,0),COLUMN()-COLUMN($CI$5)+1)&gt;0,INDEX($D$6:$CB$53,MATCH($CG22,$B$6:$B$53,0),COLUMN()-COLUMN($CI$5)+1),""))</f>
        <v/>
      </c>
      <c r="EK22" s="1753" t="str" cm="1">
        <f t="array" ref="EK22">IF($CG22="","",IF(INDEX($D$6:$CB$53,MATCH($CG22,$B$6:$B$53,0),COLUMN()-COLUMN($CI$5)+1)&gt;0,INDEX($D$6:$CB$53,MATCH($CG22,$B$6:$B$53,0),COLUMN()-COLUMN($CI$5)+1),""))</f>
        <v/>
      </c>
      <c r="EL22" s="1753" t="str" cm="1">
        <f t="array" ref="EL22">IF($CG22="","",IF(INDEX($D$6:$CB$53,MATCH($CG22,$B$6:$B$53,0),COLUMN()-COLUMN($CI$5)+1)&gt;0,INDEX($D$6:$CB$53,MATCH($CG22,$B$6:$B$53,0),COLUMN()-COLUMN($CI$5)+1),""))</f>
        <v/>
      </c>
      <c r="EM22" s="1753" t="str" cm="1">
        <f t="array" ref="EM22">IF($CG22="","",IF(INDEX($D$6:$CB$53,MATCH($CG22,$B$6:$B$53,0),COLUMN()-COLUMN($CI$5)+1)&gt;0,INDEX($D$6:$CB$53,MATCH($CG22,$B$6:$B$53,0),COLUMN()-COLUMN($CI$5)+1),""))</f>
        <v/>
      </c>
      <c r="EN22" s="1753" t="str" cm="1">
        <f t="array" ref="EN22">IF($CG22="","",IF(INDEX($D$6:$CB$53,MATCH($CG22,$B$6:$B$53,0),COLUMN()-COLUMN($CI$5)+1)&gt;0,INDEX($D$6:$CB$53,MATCH($CG22,$B$6:$B$53,0),COLUMN()-COLUMN($CI$5)+1),""))</f>
        <v/>
      </c>
      <c r="EO22" s="1753" t="str" cm="1">
        <f t="array" ref="EO22">IF($CG22="","",IF(INDEX($D$6:$CB$53,MATCH($CG22,$B$6:$B$53,0),COLUMN()-COLUMN($CI$5)+1)&gt;0,INDEX($D$6:$CB$53,MATCH($CG22,$B$6:$B$53,0),COLUMN()-COLUMN($CI$5)+1),""))</f>
        <v/>
      </c>
      <c r="EP22" s="1753" t="str" cm="1">
        <f t="array" ref="EP22">IF($CG22="","",IF(INDEX($D$6:$CB$53,MATCH($CG22,$B$6:$B$53,0),COLUMN()-COLUMN($CI$5)+1)&gt;0,INDEX($D$6:$CB$53,MATCH($CG22,$B$6:$B$53,0),COLUMN()-COLUMN($CI$5)+1),""))</f>
        <v/>
      </c>
      <c r="EQ22" s="1753" t="str" cm="1">
        <f t="array" ref="EQ22">IF($CG22="","",IF(INDEX($D$6:$CB$53,MATCH($CG22,$B$6:$B$53,0),COLUMN()-COLUMN($CI$5)+1)&gt;0,INDEX($D$6:$CB$53,MATCH($CG22,$B$6:$B$53,0),COLUMN()-COLUMN($CI$5)+1),""))</f>
        <v/>
      </c>
      <c r="ER22" s="1753" t="str" cm="1">
        <f t="array" ref="ER22">IF($CG22="","",IF(INDEX($D$6:$CB$53,MATCH($CG22,$B$6:$B$53,0),COLUMN()-COLUMN($CI$5)+1)&gt;0,INDEX($D$6:$CB$53,MATCH($CG22,$B$6:$B$53,0),COLUMN()-COLUMN($CI$5)+1),""))</f>
        <v/>
      </c>
      <c r="ES22" s="1753" t="str" cm="1">
        <f t="array" ref="ES22">IF($CG22="","",IF(INDEX($D$6:$CB$53,MATCH($CG22,$B$6:$B$53,0),COLUMN()-COLUMN($CI$5)+1)&gt;0,INDEX($D$6:$CB$53,MATCH($CG22,$B$6:$B$53,0),COLUMN()-COLUMN($CI$5)+1),""))</f>
        <v/>
      </c>
      <c r="ET22" s="1753" t="str" cm="1">
        <f t="array" ref="ET22">IF($CG22="","",IF(INDEX($D$6:$CB$53,MATCH($CG22,$B$6:$B$53,0),COLUMN()-COLUMN($CI$5)+1)&gt;0,INDEX($D$6:$CB$53,MATCH($CG22,$B$6:$B$53,0),COLUMN()-COLUMN($CI$5)+1),""))</f>
        <v/>
      </c>
      <c r="EU22" s="1753" t="str" cm="1">
        <f t="array" ref="EU22">IF($CG22="","",IF(INDEX($D$6:$CB$53,MATCH($CG22,$B$6:$B$53,0),COLUMN()-COLUMN($CI$5)+1)&gt;0,INDEX($D$6:$CB$53,MATCH($CG22,$B$6:$B$53,0),COLUMN()-COLUMN($CI$5)+1),""))</f>
        <v/>
      </c>
      <c r="EV22" s="1753" t="str" cm="1">
        <f t="array" ref="EV22">IF($CG22="","",IF(INDEX($D$6:$CB$53,MATCH($CG22,$B$6:$B$53,0),COLUMN()-COLUMN($CI$5)+1)&gt;0,INDEX($D$6:$CB$53,MATCH($CG22,$B$6:$B$53,0),COLUMN()-COLUMN($CI$5)+1),""))</f>
        <v/>
      </c>
      <c r="EW22" s="1753" t="str" cm="1">
        <f t="array" ref="EW22">IF($CG22="","",IF(INDEX($D$6:$CB$53,MATCH($CG22,$B$6:$B$53,0),COLUMN()-COLUMN($CI$5)+1)&gt;0,INDEX($D$6:$CB$53,MATCH($CG22,$B$6:$B$53,0),COLUMN()-COLUMN($CI$5)+1),""))</f>
        <v/>
      </c>
      <c r="EX22" s="1753" t="str" cm="1">
        <f t="array" ref="EX22">IF($CG22="","",IF(INDEX($D$6:$CB$53,MATCH($CG22,$B$6:$B$53,0),COLUMN()-COLUMN($CI$5)+1)&gt;0,INDEX($D$6:$CB$53,MATCH($CG22,$B$6:$B$53,0),COLUMN()-COLUMN($CI$5)+1),""))</f>
        <v/>
      </c>
      <c r="EY22" s="1753" t="str" cm="1">
        <f t="array" ref="EY22">IF($CG22="","",IF(INDEX($D$6:$CB$53,MATCH($CG22,$B$6:$B$53,0),COLUMN()-COLUMN($CI$5)+1)&gt;0,INDEX($D$6:$CB$53,MATCH($CG22,$B$6:$B$53,0),COLUMN()-COLUMN($CI$5)+1),""))</f>
        <v/>
      </c>
      <c r="EZ22" s="1753" t="str" cm="1">
        <f t="array" ref="EZ22">IF($CG22="","",IF(INDEX($D$6:$CB$53,MATCH($CG22,$B$6:$B$53,0),COLUMN()-COLUMN($CI$5)+1)&gt;0,INDEX($D$6:$CB$53,MATCH($CG22,$B$6:$B$53,0),COLUMN()-COLUMN($CI$5)+1),""))</f>
        <v/>
      </c>
      <c r="FA22" s="1753" t="str" cm="1">
        <f t="array" ref="FA22">IF($CG22="","",IF(INDEX($D$6:$CB$53,MATCH($CG22,$B$6:$B$53,0),COLUMN()-COLUMN($CI$5)+1)&gt;0,INDEX($D$6:$CB$53,MATCH($CG22,$B$6:$B$53,0),COLUMN()-COLUMN($CI$5)+1),""))</f>
        <v/>
      </c>
      <c r="FB22" s="1753" t="str" cm="1">
        <f t="array" ref="FB22">IF($CG22="","",IF(INDEX($D$6:$CB$53,MATCH($CG22,$B$6:$B$53,0),COLUMN()-COLUMN($CI$5)+1)&gt;0,INDEX($D$6:$CB$53,MATCH($CG22,$B$6:$B$53,0),COLUMN()-COLUMN($CI$5)+1),""))</f>
        <v/>
      </c>
      <c r="FC22" s="1753" t="str" cm="1">
        <f t="array" ref="FC22">IF($CG22="","",IF(INDEX($D$6:$CB$53,MATCH($CG22,$B$6:$B$53,0),COLUMN()-COLUMN($CI$5)+1)&gt;0,INDEX($D$6:$CB$53,MATCH($CG22,$B$6:$B$53,0),COLUMN()-COLUMN($CI$5)+1),""))</f>
        <v/>
      </c>
      <c r="FD22" s="1753" t="str" cm="1">
        <f t="array" ref="FD22">IF($CG22="","",IF(INDEX($D$6:$CB$53,MATCH($CG22,$B$6:$B$53,0),COLUMN()-COLUMN($CI$5)+1)&gt;0,INDEX($D$6:$CB$53,MATCH($CG22,$B$6:$B$53,0),COLUMN()-COLUMN($CI$5)+1),""))</f>
        <v/>
      </c>
      <c r="FE22" s="1753" t="str" cm="1">
        <f t="array" ref="FE22">IF($CG22="","",IF(INDEX($D$6:$CB$53,MATCH($CG22,$B$6:$B$53,0),COLUMN()-COLUMN($CI$5)+1)&gt;0,INDEX($D$6:$CB$53,MATCH($CG22,$B$6:$B$53,0),COLUMN()-COLUMN($CI$5)+1),""))</f>
        <v/>
      </c>
      <c r="FF22" s="1753" t="str" cm="1">
        <f t="array" ref="FF22">IF($CG22="","",IF(INDEX($D$6:$CB$53,MATCH($CG22,$B$6:$B$53,0),COLUMN()-COLUMN($CI$5)+1)&gt;0,INDEX($D$6:$CB$53,MATCH($CG22,$B$6:$B$53,0),COLUMN()-COLUMN($CI$5)+1),""))</f>
        <v/>
      </c>
      <c r="FG22" s="1758" t="str" cm="1">
        <f t="array" ref="FG22">IF($CG22="","",IF(INDEX($D$6:$CB$53,MATCH($CG22,$B$6:$B$53,0),COLUMN()-COLUMN($CI$5)+1)&gt;0,INDEX($D$6:$CB$53,MATCH($CG22,$B$6:$B$53,0),COLUMN()-COLUMN($CI$5)+1),""))</f>
        <v/>
      </c>
      <c r="FH22" s="1764" t="str">
        <f t="shared" si="4"/>
        <v/>
      </c>
      <c r="FI22" s="1756" t="str">
        <f t="shared" si="5"/>
        <v/>
      </c>
      <c r="FJ22" s="1767" t="str">
        <f t="shared" si="6"/>
        <v/>
      </c>
      <c r="FK22" s="1760"/>
    </row>
    <row r="23" spans="1:167" ht="15.75" customHeight="1">
      <c r="A23" s="1220"/>
      <c r="B23" s="1278">
        <f>+PP!B41</f>
        <v>18</v>
      </c>
      <c r="C23" s="1279" t="str">
        <f>+PP!C41</f>
        <v>FILETE C/M C/T ENTERO BLANCO 2.0-4.0 kg/pza</v>
      </c>
      <c r="D23" s="1404"/>
      <c r="E23" s="1405"/>
      <c r="F23" s="1405"/>
      <c r="G23" s="1405"/>
      <c r="H23" s="1405"/>
      <c r="I23" s="1405"/>
      <c r="J23" s="1405"/>
      <c r="K23" s="1405"/>
      <c r="L23" s="1405"/>
      <c r="M23" s="1405"/>
      <c r="N23" s="1405"/>
      <c r="O23" s="1405"/>
      <c r="P23" s="1405"/>
      <c r="Q23" s="1405"/>
      <c r="R23" s="1405"/>
      <c r="S23" s="1405"/>
      <c r="T23" s="1405"/>
      <c r="U23" s="1405"/>
      <c r="V23" s="1405"/>
      <c r="W23" s="1405"/>
      <c r="X23" s="1405"/>
      <c r="Y23" s="1405"/>
      <c r="Z23" s="1405"/>
      <c r="AA23" s="1405"/>
      <c r="AB23" s="1405"/>
      <c r="AC23" s="1405"/>
      <c r="AD23" s="1405"/>
      <c r="AE23" s="1405"/>
      <c r="AF23" s="1405"/>
      <c r="AG23" s="1405"/>
      <c r="AH23" s="1406"/>
      <c r="AI23" s="1235"/>
      <c r="AJ23" s="1235"/>
      <c r="AK23" s="1235"/>
      <c r="AL23" s="1235"/>
      <c r="AM23" s="1235"/>
      <c r="AN23" s="1235"/>
      <c r="AO23" s="1235"/>
      <c r="AP23" s="1218"/>
      <c r="AQ23" s="1218"/>
      <c r="AR23" s="1218"/>
      <c r="AS23" s="1218"/>
      <c r="AT23" s="1218"/>
      <c r="AU23" s="1218"/>
      <c r="AV23" s="1218"/>
      <c r="AW23" s="1218"/>
      <c r="AX23" s="1218"/>
      <c r="AY23" s="1218"/>
      <c r="AZ23" s="1218"/>
      <c r="BA23" s="1218"/>
      <c r="BB23" s="1218"/>
      <c r="BC23" s="1218"/>
      <c r="BD23" s="1218"/>
      <c r="BE23" s="1218"/>
      <c r="BF23" s="1218"/>
      <c r="BG23" s="1218"/>
      <c r="BH23" s="1218"/>
      <c r="BI23" s="1218"/>
      <c r="BJ23" s="1218"/>
      <c r="BK23" s="1218"/>
      <c r="BL23" s="1218"/>
      <c r="BM23" s="1218"/>
      <c r="BN23" s="1218"/>
      <c r="BO23" s="1218"/>
      <c r="BP23" s="1218"/>
      <c r="BQ23" s="1218"/>
      <c r="BR23" s="1557"/>
      <c r="BS23" s="1557"/>
      <c r="BT23" s="1557"/>
      <c r="BU23" s="1557"/>
      <c r="BV23" s="1557"/>
      <c r="BW23" s="1557"/>
      <c r="BX23" s="1557"/>
      <c r="BY23" s="1557"/>
      <c r="BZ23" s="1557"/>
      <c r="CA23" s="1557"/>
      <c r="CB23" s="1564"/>
      <c r="CC23" s="1550">
        <f t="shared" si="0"/>
        <v>0</v>
      </c>
      <c r="CD23" s="1236">
        <f t="shared" si="1"/>
        <v>0</v>
      </c>
      <c r="CE23" s="1237">
        <f t="shared" si="2"/>
        <v>0</v>
      </c>
      <c r="CF23" s="1220"/>
      <c r="CG23" s="1751" t="str" cm="1">
        <f t="array" ref="CG23">IFERROR(INDEX($B$6:$B$53,_xlfn.AGGREGATE(15,6,(ROW($B$6:$B$53)-ROW($B$6)+1)/(MMULT(--($D$6:$CB$53&gt;0),TRANSPOSE(COLUMN($D$6:$CB$6)^0))&gt;0),ROWS($CG$6:CG23))),"")</f>
        <v/>
      </c>
      <c r="CH23" s="1752" t="str">
        <f t="shared" si="3"/>
        <v/>
      </c>
      <c r="CI23" s="1753" t="str" cm="1">
        <f t="array" ref="CI23">IF($CG23="","",IF(INDEX($D$6:$CB$53,MATCH($CG23,$B$6:$B$53,0),COLUMN()-COLUMN($CI$5)+1)&gt;0,INDEX($D$6:$CB$53,MATCH($CG23,$B$6:$B$53,0),COLUMN()-COLUMN($CI$5)+1),""))</f>
        <v/>
      </c>
      <c r="CJ23" s="1753" t="str" cm="1">
        <f t="array" ref="CJ23">IF($CG23="","",IF(INDEX($D$6:$CB$53,MATCH($CG23,$B$6:$B$53,0),COLUMN()-COLUMN($CI$5)+1)&gt;0,INDEX($D$6:$CB$53,MATCH($CG23,$B$6:$B$53,0),COLUMN()-COLUMN($CI$5)+1),""))</f>
        <v/>
      </c>
      <c r="CK23" s="1753" t="str" cm="1">
        <f t="array" ref="CK23">IF($CG23="","",IF(INDEX($D$6:$CB$53,MATCH($CG23,$B$6:$B$53,0),COLUMN()-COLUMN($CI$5)+1)&gt;0,INDEX($D$6:$CB$53,MATCH($CG23,$B$6:$B$53,0),COLUMN()-COLUMN($CI$5)+1),""))</f>
        <v/>
      </c>
      <c r="CL23" s="1753" t="str" cm="1">
        <f t="array" ref="CL23">IF($CG23="","",IF(INDEX($D$6:$CB$53,MATCH($CG23,$B$6:$B$53,0),COLUMN()-COLUMN($CI$5)+1)&gt;0,INDEX($D$6:$CB$53,MATCH($CG23,$B$6:$B$53,0),COLUMN()-COLUMN($CI$5)+1),""))</f>
        <v/>
      </c>
      <c r="CM23" s="1753" t="str" cm="1">
        <f t="array" ref="CM23">IF($CG23="","",IF(INDEX($D$6:$CB$53,MATCH($CG23,$B$6:$B$53,0),COLUMN()-COLUMN($CI$5)+1)&gt;0,INDEX($D$6:$CB$53,MATCH($CG23,$B$6:$B$53,0),COLUMN()-COLUMN($CI$5)+1),""))</f>
        <v/>
      </c>
      <c r="CN23" s="1753" t="str" cm="1">
        <f t="array" ref="CN23">IF($CG23="","",IF(INDEX($D$6:$CB$53,MATCH($CG23,$B$6:$B$53,0),COLUMN()-COLUMN($CI$5)+1)&gt;0,INDEX($D$6:$CB$53,MATCH($CG23,$B$6:$B$53,0),COLUMN()-COLUMN($CI$5)+1),""))</f>
        <v/>
      </c>
      <c r="CO23" s="1753" t="str" cm="1">
        <f t="array" ref="CO23">IF($CG23="","",IF(INDEX($D$6:$CB$53,MATCH($CG23,$B$6:$B$53,0),COLUMN()-COLUMN($CI$5)+1)&gt;0,INDEX($D$6:$CB$53,MATCH($CG23,$B$6:$B$53,0),COLUMN()-COLUMN($CI$5)+1),""))</f>
        <v/>
      </c>
      <c r="CP23" s="1753" t="str" cm="1">
        <f t="array" ref="CP23">IF($CG23="","",IF(INDEX($D$6:$CB$53,MATCH($CG23,$B$6:$B$53,0),COLUMN()-COLUMN($CI$5)+1)&gt;0,INDEX($D$6:$CB$53,MATCH($CG23,$B$6:$B$53,0),COLUMN()-COLUMN($CI$5)+1),""))</f>
        <v/>
      </c>
      <c r="CQ23" s="1753" t="str" cm="1">
        <f t="array" ref="CQ23">IF($CG23="","",IF(INDEX($D$6:$CB$53,MATCH($CG23,$B$6:$B$53,0),COLUMN()-COLUMN($CI$5)+1)&gt;0,INDEX($D$6:$CB$53,MATCH($CG23,$B$6:$B$53,0),COLUMN()-COLUMN($CI$5)+1),""))</f>
        <v/>
      </c>
      <c r="CR23" s="1753" t="str" cm="1">
        <f t="array" ref="CR23">IF($CG23="","",IF(INDEX($D$6:$CB$53,MATCH($CG23,$B$6:$B$53,0),COLUMN()-COLUMN($CI$5)+1)&gt;0,INDEX($D$6:$CB$53,MATCH($CG23,$B$6:$B$53,0),COLUMN()-COLUMN($CI$5)+1),""))</f>
        <v/>
      </c>
      <c r="CS23" s="1753" t="str" cm="1">
        <f t="array" ref="CS23">IF($CG23="","",IF(INDEX($D$6:$CB$53,MATCH($CG23,$B$6:$B$53,0),COLUMN()-COLUMN($CI$5)+1)&gt;0,INDEX($D$6:$CB$53,MATCH($CG23,$B$6:$B$53,0),COLUMN()-COLUMN($CI$5)+1),""))</f>
        <v/>
      </c>
      <c r="CT23" s="1753" t="str" cm="1">
        <f t="array" ref="CT23">IF($CG23="","",IF(INDEX($D$6:$CB$53,MATCH($CG23,$B$6:$B$53,0),COLUMN()-COLUMN($CI$5)+1)&gt;0,INDEX($D$6:$CB$53,MATCH($CG23,$B$6:$B$53,0),COLUMN()-COLUMN($CI$5)+1),""))</f>
        <v/>
      </c>
      <c r="CU23" s="1753" t="str" cm="1">
        <f t="array" ref="CU23">IF($CG23="","",IF(INDEX($D$6:$CB$53,MATCH($CG23,$B$6:$B$53,0),COLUMN()-COLUMN($CI$5)+1)&gt;0,INDEX($D$6:$CB$53,MATCH($CG23,$B$6:$B$53,0),COLUMN()-COLUMN($CI$5)+1),""))</f>
        <v/>
      </c>
      <c r="CV23" s="1753" t="str" cm="1">
        <f t="array" ref="CV23">IF($CG23="","",IF(INDEX($D$6:$CB$53,MATCH($CG23,$B$6:$B$53,0),COLUMN()-COLUMN($CI$5)+1)&gt;0,INDEX($D$6:$CB$53,MATCH($CG23,$B$6:$B$53,0),COLUMN()-COLUMN($CI$5)+1),""))</f>
        <v/>
      </c>
      <c r="CW23" s="1753" t="str" cm="1">
        <f t="array" ref="CW23">IF($CG23="","",IF(INDEX($D$6:$CB$53,MATCH($CG23,$B$6:$B$53,0),COLUMN()-COLUMN($CI$5)+1)&gt;0,INDEX($D$6:$CB$53,MATCH($CG23,$B$6:$B$53,0),COLUMN()-COLUMN($CI$5)+1),""))</f>
        <v/>
      </c>
      <c r="CX23" s="1753" t="str" cm="1">
        <f t="array" ref="CX23">IF($CG23="","",IF(INDEX($D$6:$CB$53,MATCH($CG23,$B$6:$B$53,0),COLUMN()-COLUMN($CI$5)+1)&gt;0,INDEX($D$6:$CB$53,MATCH($CG23,$B$6:$B$53,0),COLUMN()-COLUMN($CI$5)+1),""))</f>
        <v/>
      </c>
      <c r="CY23" s="1753" t="str" cm="1">
        <f t="array" ref="CY23">IF($CG23="","",IF(INDEX($D$6:$CB$53,MATCH($CG23,$B$6:$B$53,0),COLUMN()-COLUMN($CI$5)+1)&gt;0,INDEX($D$6:$CB$53,MATCH($CG23,$B$6:$B$53,0),COLUMN()-COLUMN($CI$5)+1),""))</f>
        <v/>
      </c>
      <c r="CZ23" s="1753" t="str" cm="1">
        <f t="array" ref="CZ23">IF($CG23="","",IF(INDEX($D$6:$CB$53,MATCH($CG23,$B$6:$B$53,0),COLUMN()-COLUMN($CI$5)+1)&gt;0,INDEX($D$6:$CB$53,MATCH($CG23,$B$6:$B$53,0),COLUMN()-COLUMN($CI$5)+1),""))</f>
        <v/>
      </c>
      <c r="DA23" s="1753" t="str" cm="1">
        <f t="array" ref="DA23">IF($CG23="","",IF(INDEX($D$6:$CB$53,MATCH($CG23,$B$6:$B$53,0),COLUMN()-COLUMN($CI$5)+1)&gt;0,INDEX($D$6:$CB$53,MATCH($CG23,$B$6:$B$53,0),COLUMN()-COLUMN($CI$5)+1),""))</f>
        <v/>
      </c>
      <c r="DB23" s="1753" t="str" cm="1">
        <f t="array" ref="DB23">IF($CG23="","",IF(INDEX($D$6:$CB$53,MATCH($CG23,$B$6:$B$53,0),COLUMN()-COLUMN($CI$5)+1)&gt;0,INDEX($D$6:$CB$53,MATCH($CG23,$B$6:$B$53,0),COLUMN()-COLUMN($CI$5)+1),""))</f>
        <v/>
      </c>
      <c r="DC23" s="1753" t="str" cm="1">
        <f t="array" ref="DC23">IF($CG23="","",IF(INDEX($D$6:$CB$53,MATCH($CG23,$B$6:$B$53,0),COLUMN()-COLUMN($CI$5)+1)&gt;0,INDEX($D$6:$CB$53,MATCH($CG23,$B$6:$B$53,0),COLUMN()-COLUMN($CI$5)+1),""))</f>
        <v/>
      </c>
      <c r="DD23" s="1753" t="str" cm="1">
        <f t="array" ref="DD23">IF($CG23="","",IF(INDEX($D$6:$CB$53,MATCH($CG23,$B$6:$B$53,0),COLUMN()-COLUMN($CI$5)+1)&gt;0,INDEX($D$6:$CB$53,MATCH($CG23,$B$6:$B$53,0),COLUMN()-COLUMN($CI$5)+1),""))</f>
        <v/>
      </c>
      <c r="DE23" s="1753" t="str" cm="1">
        <f t="array" ref="DE23">IF($CG23="","",IF(INDEX($D$6:$CB$53,MATCH($CG23,$B$6:$B$53,0),COLUMN()-COLUMN($CI$5)+1)&gt;0,INDEX($D$6:$CB$53,MATCH($CG23,$B$6:$B$53,0),COLUMN()-COLUMN($CI$5)+1),""))</f>
        <v/>
      </c>
      <c r="DF23" s="1753" t="str" cm="1">
        <f t="array" ref="DF23">IF($CG23="","",IF(INDEX($D$6:$CB$53,MATCH($CG23,$B$6:$B$53,0),COLUMN()-COLUMN($CI$5)+1)&gt;0,INDEX($D$6:$CB$53,MATCH($CG23,$B$6:$B$53,0),COLUMN()-COLUMN($CI$5)+1),""))</f>
        <v/>
      </c>
      <c r="DG23" s="1753" t="str" cm="1">
        <f t="array" ref="DG23">IF($CG23="","",IF(INDEX($D$6:$CB$53,MATCH($CG23,$B$6:$B$53,0),COLUMN()-COLUMN($CI$5)+1)&gt;0,INDEX($D$6:$CB$53,MATCH($CG23,$B$6:$B$53,0),COLUMN()-COLUMN($CI$5)+1),""))</f>
        <v/>
      </c>
      <c r="DH23" s="1753" t="str" cm="1">
        <f t="array" ref="DH23">IF($CG23="","",IF(INDEX($D$6:$CB$53,MATCH($CG23,$B$6:$B$53,0),COLUMN()-COLUMN($CI$5)+1)&gt;0,INDEX($D$6:$CB$53,MATCH($CG23,$B$6:$B$53,0),COLUMN()-COLUMN($CI$5)+1),""))</f>
        <v/>
      </c>
      <c r="DI23" s="1753" t="str" cm="1">
        <f t="array" ref="DI23">IF($CG23="","",IF(INDEX($D$6:$CB$53,MATCH($CG23,$B$6:$B$53,0),COLUMN()-COLUMN($CI$5)+1)&gt;0,INDEX($D$6:$CB$53,MATCH($CG23,$B$6:$B$53,0),COLUMN()-COLUMN($CI$5)+1),""))</f>
        <v/>
      </c>
      <c r="DJ23" s="1753" t="str" cm="1">
        <f t="array" ref="DJ23">IF($CG23="","",IF(INDEX($D$6:$CB$53,MATCH($CG23,$B$6:$B$53,0),COLUMN()-COLUMN($CI$5)+1)&gt;0,INDEX($D$6:$CB$53,MATCH($CG23,$B$6:$B$53,0),COLUMN()-COLUMN($CI$5)+1),""))</f>
        <v/>
      </c>
      <c r="DK23" s="1753" t="str" cm="1">
        <f t="array" ref="DK23">IF($CG23="","",IF(INDEX($D$6:$CB$53,MATCH($CG23,$B$6:$B$53,0),COLUMN()-COLUMN($CI$5)+1)&gt;0,INDEX($D$6:$CB$53,MATCH($CG23,$B$6:$B$53,0),COLUMN()-COLUMN($CI$5)+1),""))</f>
        <v/>
      </c>
      <c r="DL23" s="1753" t="str" cm="1">
        <f t="array" ref="DL23">IF($CG23="","",IF(INDEX($D$6:$CB$53,MATCH($CG23,$B$6:$B$53,0),COLUMN()-COLUMN($CI$5)+1)&gt;0,INDEX($D$6:$CB$53,MATCH($CG23,$B$6:$B$53,0),COLUMN()-COLUMN($CI$5)+1),""))</f>
        <v/>
      </c>
      <c r="DM23" s="1753" t="str" cm="1">
        <f t="array" ref="DM23">IF($CG23="","",IF(INDEX($D$6:$CB$53,MATCH($CG23,$B$6:$B$53,0),COLUMN()-COLUMN($CI$5)+1)&gt;0,INDEX($D$6:$CB$53,MATCH($CG23,$B$6:$B$53,0),COLUMN()-COLUMN($CI$5)+1),""))</f>
        <v/>
      </c>
      <c r="DN23" s="1753" t="str" cm="1">
        <f t="array" ref="DN23">IF($CG23="","",IF(INDEX($D$6:$CB$53,MATCH($CG23,$B$6:$B$53,0),COLUMN()-COLUMN($CI$5)+1)&gt;0,INDEX($D$6:$CB$53,MATCH($CG23,$B$6:$B$53,0),COLUMN()-COLUMN($CI$5)+1),""))</f>
        <v/>
      </c>
      <c r="DO23" s="1753" t="str" cm="1">
        <f t="array" ref="DO23">IF($CG23="","",IF(INDEX($D$6:$CB$53,MATCH($CG23,$B$6:$B$53,0),COLUMN()-COLUMN($CI$5)+1)&gt;0,INDEX($D$6:$CB$53,MATCH($CG23,$B$6:$B$53,0),COLUMN()-COLUMN($CI$5)+1),""))</f>
        <v/>
      </c>
      <c r="DP23" s="1753" t="str" cm="1">
        <f t="array" ref="DP23">IF($CG23="","",IF(INDEX($D$6:$CB$53,MATCH($CG23,$B$6:$B$53,0),COLUMN()-COLUMN($CI$5)+1)&gt;0,INDEX($D$6:$CB$53,MATCH($CG23,$B$6:$B$53,0),COLUMN()-COLUMN($CI$5)+1),""))</f>
        <v/>
      </c>
      <c r="DQ23" s="1753" t="str" cm="1">
        <f t="array" ref="DQ23">IF($CG23="","",IF(INDEX($D$6:$CB$53,MATCH($CG23,$B$6:$B$53,0),COLUMN()-COLUMN($CI$5)+1)&gt;0,INDEX($D$6:$CB$53,MATCH($CG23,$B$6:$B$53,0),COLUMN()-COLUMN($CI$5)+1),""))</f>
        <v/>
      </c>
      <c r="DR23" s="1753" t="str" cm="1">
        <f t="array" ref="DR23">IF($CG23="","",IF(INDEX($D$6:$CB$53,MATCH($CG23,$B$6:$B$53,0),COLUMN()-COLUMN($CI$5)+1)&gt;0,INDEX($D$6:$CB$53,MATCH($CG23,$B$6:$B$53,0),COLUMN()-COLUMN($CI$5)+1),""))</f>
        <v/>
      </c>
      <c r="DS23" s="1753" t="str" cm="1">
        <f t="array" ref="DS23">IF($CG23="","",IF(INDEX($D$6:$CB$53,MATCH($CG23,$B$6:$B$53,0),COLUMN()-COLUMN($CI$5)+1)&gt;0,INDEX($D$6:$CB$53,MATCH($CG23,$B$6:$B$53,0),COLUMN()-COLUMN($CI$5)+1),""))</f>
        <v/>
      </c>
      <c r="DT23" s="1753" t="str" cm="1">
        <f t="array" ref="DT23">IF($CG23="","",IF(INDEX($D$6:$CB$53,MATCH($CG23,$B$6:$B$53,0),COLUMN()-COLUMN($CI$5)+1)&gt;0,INDEX($D$6:$CB$53,MATCH($CG23,$B$6:$B$53,0),COLUMN()-COLUMN($CI$5)+1),""))</f>
        <v/>
      </c>
      <c r="DU23" s="1753" t="str" cm="1">
        <f t="array" ref="DU23">IF($CG23="","",IF(INDEX($D$6:$CB$53,MATCH($CG23,$B$6:$B$53,0),COLUMN()-COLUMN($CI$5)+1)&gt;0,INDEX($D$6:$CB$53,MATCH($CG23,$B$6:$B$53,0),COLUMN()-COLUMN($CI$5)+1),""))</f>
        <v/>
      </c>
      <c r="DV23" s="1753" t="str" cm="1">
        <f t="array" ref="DV23">IF($CG23="","",IF(INDEX($D$6:$CB$53,MATCH($CG23,$B$6:$B$53,0),COLUMN()-COLUMN($CI$5)+1)&gt;0,INDEX($D$6:$CB$53,MATCH($CG23,$B$6:$B$53,0),COLUMN()-COLUMN($CI$5)+1),""))</f>
        <v/>
      </c>
      <c r="DW23" s="1753" t="str" cm="1">
        <f t="array" ref="DW23">IF($CG23="","",IF(INDEX($D$6:$CB$53,MATCH($CG23,$B$6:$B$53,0),COLUMN()-COLUMN($CI$5)+1)&gt;0,INDEX($D$6:$CB$53,MATCH($CG23,$B$6:$B$53,0),COLUMN()-COLUMN($CI$5)+1),""))</f>
        <v/>
      </c>
      <c r="DX23" s="1753" t="str" cm="1">
        <f t="array" ref="DX23">IF($CG23="","",IF(INDEX($D$6:$CB$53,MATCH($CG23,$B$6:$B$53,0),COLUMN()-COLUMN($CI$5)+1)&gt;0,INDEX($D$6:$CB$53,MATCH($CG23,$B$6:$B$53,0),COLUMN()-COLUMN($CI$5)+1),""))</f>
        <v/>
      </c>
      <c r="DY23" s="1753" t="str" cm="1">
        <f t="array" ref="DY23">IF($CG23="","",IF(INDEX($D$6:$CB$53,MATCH($CG23,$B$6:$B$53,0),COLUMN()-COLUMN($CI$5)+1)&gt;0,INDEX($D$6:$CB$53,MATCH($CG23,$B$6:$B$53,0),COLUMN()-COLUMN($CI$5)+1),""))</f>
        <v/>
      </c>
      <c r="DZ23" s="1753" t="str" cm="1">
        <f t="array" ref="DZ23">IF($CG23="","",IF(INDEX($D$6:$CB$53,MATCH($CG23,$B$6:$B$53,0),COLUMN()-COLUMN($CI$5)+1)&gt;0,INDEX($D$6:$CB$53,MATCH($CG23,$B$6:$B$53,0),COLUMN()-COLUMN($CI$5)+1),""))</f>
        <v/>
      </c>
      <c r="EA23" s="1753" t="str" cm="1">
        <f t="array" ref="EA23">IF($CG23="","",IF(INDEX($D$6:$CB$53,MATCH($CG23,$B$6:$B$53,0),COLUMN()-COLUMN($CI$5)+1)&gt;0,INDEX($D$6:$CB$53,MATCH($CG23,$B$6:$B$53,0),COLUMN()-COLUMN($CI$5)+1),""))</f>
        <v/>
      </c>
      <c r="EB23" s="1753" t="str" cm="1">
        <f t="array" ref="EB23">IF($CG23="","",IF(INDEX($D$6:$CB$53,MATCH($CG23,$B$6:$B$53,0),COLUMN()-COLUMN($CI$5)+1)&gt;0,INDEX($D$6:$CB$53,MATCH($CG23,$B$6:$B$53,0),COLUMN()-COLUMN($CI$5)+1),""))</f>
        <v/>
      </c>
      <c r="EC23" s="1753" t="str" cm="1">
        <f t="array" ref="EC23">IF($CG23="","",IF(INDEX($D$6:$CB$53,MATCH($CG23,$B$6:$B$53,0),COLUMN()-COLUMN($CI$5)+1)&gt;0,INDEX($D$6:$CB$53,MATCH($CG23,$B$6:$B$53,0),COLUMN()-COLUMN($CI$5)+1),""))</f>
        <v/>
      </c>
      <c r="ED23" s="1753" t="str" cm="1">
        <f t="array" ref="ED23">IF($CG23="","",IF(INDEX($D$6:$CB$53,MATCH($CG23,$B$6:$B$53,0),COLUMN()-COLUMN($CI$5)+1)&gt;0,INDEX($D$6:$CB$53,MATCH($CG23,$B$6:$B$53,0),COLUMN()-COLUMN($CI$5)+1),""))</f>
        <v/>
      </c>
      <c r="EE23" s="1753" t="str" cm="1">
        <f t="array" ref="EE23">IF($CG23="","",IF(INDEX($D$6:$CB$53,MATCH($CG23,$B$6:$B$53,0),COLUMN()-COLUMN($CI$5)+1)&gt;0,INDEX($D$6:$CB$53,MATCH($CG23,$B$6:$B$53,0),COLUMN()-COLUMN($CI$5)+1),""))</f>
        <v/>
      </c>
      <c r="EF23" s="1753" t="str" cm="1">
        <f t="array" ref="EF23">IF($CG23="","",IF(INDEX($D$6:$CB$53,MATCH($CG23,$B$6:$B$53,0),COLUMN()-COLUMN($CI$5)+1)&gt;0,INDEX($D$6:$CB$53,MATCH($CG23,$B$6:$B$53,0),COLUMN()-COLUMN($CI$5)+1),""))</f>
        <v/>
      </c>
      <c r="EG23" s="1753" t="str" cm="1">
        <f t="array" ref="EG23">IF($CG23="","",IF(INDEX($D$6:$CB$53,MATCH($CG23,$B$6:$B$53,0),COLUMN()-COLUMN($CI$5)+1)&gt;0,INDEX($D$6:$CB$53,MATCH($CG23,$B$6:$B$53,0),COLUMN()-COLUMN($CI$5)+1),""))</f>
        <v/>
      </c>
      <c r="EH23" s="1753" t="str" cm="1">
        <f t="array" ref="EH23">IF($CG23="","",IF(INDEX($D$6:$CB$53,MATCH($CG23,$B$6:$B$53,0),COLUMN()-COLUMN($CI$5)+1)&gt;0,INDEX($D$6:$CB$53,MATCH($CG23,$B$6:$B$53,0),COLUMN()-COLUMN($CI$5)+1),""))</f>
        <v/>
      </c>
      <c r="EI23" s="1753" t="str" cm="1">
        <f t="array" ref="EI23">IF($CG23="","",IF(INDEX($D$6:$CB$53,MATCH($CG23,$B$6:$B$53,0),COLUMN()-COLUMN($CI$5)+1)&gt;0,INDEX($D$6:$CB$53,MATCH($CG23,$B$6:$B$53,0),COLUMN()-COLUMN($CI$5)+1),""))</f>
        <v/>
      </c>
      <c r="EJ23" s="1753" t="str" cm="1">
        <f t="array" ref="EJ23">IF($CG23="","",IF(INDEX($D$6:$CB$53,MATCH($CG23,$B$6:$B$53,0),COLUMN()-COLUMN($CI$5)+1)&gt;0,INDEX($D$6:$CB$53,MATCH($CG23,$B$6:$B$53,0),COLUMN()-COLUMN($CI$5)+1),""))</f>
        <v/>
      </c>
      <c r="EK23" s="1753" t="str" cm="1">
        <f t="array" ref="EK23">IF($CG23="","",IF(INDEX($D$6:$CB$53,MATCH($CG23,$B$6:$B$53,0),COLUMN()-COLUMN($CI$5)+1)&gt;0,INDEX($D$6:$CB$53,MATCH($CG23,$B$6:$B$53,0),COLUMN()-COLUMN($CI$5)+1),""))</f>
        <v/>
      </c>
      <c r="EL23" s="1753" t="str" cm="1">
        <f t="array" ref="EL23">IF($CG23="","",IF(INDEX($D$6:$CB$53,MATCH($CG23,$B$6:$B$53,0),COLUMN()-COLUMN($CI$5)+1)&gt;0,INDEX($D$6:$CB$53,MATCH($CG23,$B$6:$B$53,0),COLUMN()-COLUMN($CI$5)+1),""))</f>
        <v/>
      </c>
      <c r="EM23" s="1753" t="str" cm="1">
        <f t="array" ref="EM23">IF($CG23="","",IF(INDEX($D$6:$CB$53,MATCH($CG23,$B$6:$B$53,0),COLUMN()-COLUMN($CI$5)+1)&gt;0,INDEX($D$6:$CB$53,MATCH($CG23,$B$6:$B$53,0),COLUMN()-COLUMN($CI$5)+1),""))</f>
        <v/>
      </c>
      <c r="EN23" s="1753" t="str" cm="1">
        <f t="array" ref="EN23">IF($CG23="","",IF(INDEX($D$6:$CB$53,MATCH($CG23,$B$6:$B$53,0),COLUMN()-COLUMN($CI$5)+1)&gt;0,INDEX($D$6:$CB$53,MATCH($CG23,$B$6:$B$53,0),COLUMN()-COLUMN($CI$5)+1),""))</f>
        <v/>
      </c>
      <c r="EO23" s="1753" t="str" cm="1">
        <f t="array" ref="EO23">IF($CG23="","",IF(INDEX($D$6:$CB$53,MATCH($CG23,$B$6:$B$53,0),COLUMN()-COLUMN($CI$5)+1)&gt;0,INDEX($D$6:$CB$53,MATCH($CG23,$B$6:$B$53,0),COLUMN()-COLUMN($CI$5)+1),""))</f>
        <v/>
      </c>
      <c r="EP23" s="1753" t="str" cm="1">
        <f t="array" ref="EP23">IF($CG23="","",IF(INDEX($D$6:$CB$53,MATCH($CG23,$B$6:$B$53,0),COLUMN()-COLUMN($CI$5)+1)&gt;0,INDEX($D$6:$CB$53,MATCH($CG23,$B$6:$B$53,0),COLUMN()-COLUMN($CI$5)+1),""))</f>
        <v/>
      </c>
      <c r="EQ23" s="1753" t="str" cm="1">
        <f t="array" ref="EQ23">IF($CG23="","",IF(INDEX($D$6:$CB$53,MATCH($CG23,$B$6:$B$53,0),COLUMN()-COLUMN($CI$5)+1)&gt;0,INDEX($D$6:$CB$53,MATCH($CG23,$B$6:$B$53,0),COLUMN()-COLUMN($CI$5)+1),""))</f>
        <v/>
      </c>
      <c r="ER23" s="1753" t="str" cm="1">
        <f t="array" ref="ER23">IF($CG23="","",IF(INDEX($D$6:$CB$53,MATCH($CG23,$B$6:$B$53,0),COLUMN()-COLUMN($CI$5)+1)&gt;0,INDEX($D$6:$CB$53,MATCH($CG23,$B$6:$B$53,0),COLUMN()-COLUMN($CI$5)+1),""))</f>
        <v/>
      </c>
      <c r="ES23" s="1753" t="str" cm="1">
        <f t="array" ref="ES23">IF($CG23="","",IF(INDEX($D$6:$CB$53,MATCH($CG23,$B$6:$B$53,0),COLUMN()-COLUMN($CI$5)+1)&gt;0,INDEX($D$6:$CB$53,MATCH($CG23,$B$6:$B$53,0),COLUMN()-COLUMN($CI$5)+1),""))</f>
        <v/>
      </c>
      <c r="ET23" s="1753" t="str" cm="1">
        <f t="array" ref="ET23">IF($CG23="","",IF(INDEX($D$6:$CB$53,MATCH($CG23,$B$6:$B$53,0),COLUMN()-COLUMN($CI$5)+1)&gt;0,INDEX($D$6:$CB$53,MATCH($CG23,$B$6:$B$53,0),COLUMN()-COLUMN($CI$5)+1),""))</f>
        <v/>
      </c>
      <c r="EU23" s="1753" t="str" cm="1">
        <f t="array" ref="EU23">IF($CG23="","",IF(INDEX($D$6:$CB$53,MATCH($CG23,$B$6:$B$53,0),COLUMN()-COLUMN($CI$5)+1)&gt;0,INDEX($D$6:$CB$53,MATCH($CG23,$B$6:$B$53,0),COLUMN()-COLUMN($CI$5)+1),""))</f>
        <v/>
      </c>
      <c r="EV23" s="1753" t="str" cm="1">
        <f t="array" ref="EV23">IF($CG23="","",IF(INDEX($D$6:$CB$53,MATCH($CG23,$B$6:$B$53,0),COLUMN()-COLUMN($CI$5)+1)&gt;0,INDEX($D$6:$CB$53,MATCH($CG23,$B$6:$B$53,0),COLUMN()-COLUMN($CI$5)+1),""))</f>
        <v/>
      </c>
      <c r="EW23" s="1753" t="str" cm="1">
        <f t="array" ref="EW23">IF($CG23="","",IF(INDEX($D$6:$CB$53,MATCH($CG23,$B$6:$B$53,0),COLUMN()-COLUMN($CI$5)+1)&gt;0,INDEX($D$6:$CB$53,MATCH($CG23,$B$6:$B$53,0),COLUMN()-COLUMN($CI$5)+1),""))</f>
        <v/>
      </c>
      <c r="EX23" s="1753" t="str" cm="1">
        <f t="array" ref="EX23">IF($CG23="","",IF(INDEX($D$6:$CB$53,MATCH($CG23,$B$6:$B$53,0),COLUMN()-COLUMN($CI$5)+1)&gt;0,INDEX($D$6:$CB$53,MATCH($CG23,$B$6:$B$53,0),COLUMN()-COLUMN($CI$5)+1),""))</f>
        <v/>
      </c>
      <c r="EY23" s="1753" t="str" cm="1">
        <f t="array" ref="EY23">IF($CG23="","",IF(INDEX($D$6:$CB$53,MATCH($CG23,$B$6:$B$53,0),COLUMN()-COLUMN($CI$5)+1)&gt;0,INDEX($D$6:$CB$53,MATCH($CG23,$B$6:$B$53,0),COLUMN()-COLUMN($CI$5)+1),""))</f>
        <v/>
      </c>
      <c r="EZ23" s="1753" t="str" cm="1">
        <f t="array" ref="EZ23">IF($CG23="","",IF(INDEX($D$6:$CB$53,MATCH($CG23,$B$6:$B$53,0),COLUMN()-COLUMN($CI$5)+1)&gt;0,INDEX($D$6:$CB$53,MATCH($CG23,$B$6:$B$53,0),COLUMN()-COLUMN($CI$5)+1),""))</f>
        <v/>
      </c>
      <c r="FA23" s="1753" t="str" cm="1">
        <f t="array" ref="FA23">IF($CG23="","",IF(INDEX($D$6:$CB$53,MATCH($CG23,$B$6:$B$53,0),COLUMN()-COLUMN($CI$5)+1)&gt;0,INDEX($D$6:$CB$53,MATCH($CG23,$B$6:$B$53,0),COLUMN()-COLUMN($CI$5)+1),""))</f>
        <v/>
      </c>
      <c r="FB23" s="1753" t="str" cm="1">
        <f t="array" ref="FB23">IF($CG23="","",IF(INDEX($D$6:$CB$53,MATCH($CG23,$B$6:$B$53,0),COLUMN()-COLUMN($CI$5)+1)&gt;0,INDEX($D$6:$CB$53,MATCH($CG23,$B$6:$B$53,0),COLUMN()-COLUMN($CI$5)+1),""))</f>
        <v/>
      </c>
      <c r="FC23" s="1753" t="str" cm="1">
        <f t="array" ref="FC23">IF($CG23="","",IF(INDEX($D$6:$CB$53,MATCH($CG23,$B$6:$B$53,0),COLUMN()-COLUMN($CI$5)+1)&gt;0,INDEX($D$6:$CB$53,MATCH($CG23,$B$6:$B$53,0),COLUMN()-COLUMN($CI$5)+1),""))</f>
        <v/>
      </c>
      <c r="FD23" s="1753" t="str" cm="1">
        <f t="array" ref="FD23">IF($CG23="","",IF(INDEX($D$6:$CB$53,MATCH($CG23,$B$6:$B$53,0),COLUMN()-COLUMN($CI$5)+1)&gt;0,INDEX($D$6:$CB$53,MATCH($CG23,$B$6:$B$53,0),COLUMN()-COLUMN($CI$5)+1),""))</f>
        <v/>
      </c>
      <c r="FE23" s="1753" t="str" cm="1">
        <f t="array" ref="FE23">IF($CG23="","",IF(INDEX($D$6:$CB$53,MATCH($CG23,$B$6:$B$53,0),COLUMN()-COLUMN($CI$5)+1)&gt;0,INDEX($D$6:$CB$53,MATCH($CG23,$B$6:$B$53,0),COLUMN()-COLUMN($CI$5)+1),""))</f>
        <v/>
      </c>
      <c r="FF23" s="1753" t="str" cm="1">
        <f t="array" ref="FF23">IF($CG23="","",IF(INDEX($D$6:$CB$53,MATCH($CG23,$B$6:$B$53,0),COLUMN()-COLUMN($CI$5)+1)&gt;0,INDEX($D$6:$CB$53,MATCH($CG23,$B$6:$B$53,0),COLUMN()-COLUMN($CI$5)+1),""))</f>
        <v/>
      </c>
      <c r="FG23" s="1758" t="str" cm="1">
        <f t="array" ref="FG23">IF($CG23="","",IF(INDEX($D$6:$CB$53,MATCH($CG23,$B$6:$B$53,0),COLUMN()-COLUMN($CI$5)+1)&gt;0,INDEX($D$6:$CB$53,MATCH($CG23,$B$6:$B$53,0),COLUMN()-COLUMN($CI$5)+1),""))</f>
        <v/>
      </c>
      <c r="FH23" s="1764" t="str">
        <f t="shared" si="4"/>
        <v/>
      </c>
      <c r="FI23" s="1756" t="str">
        <f t="shared" si="5"/>
        <v/>
      </c>
      <c r="FJ23" s="1767" t="str">
        <f t="shared" si="6"/>
        <v/>
      </c>
      <c r="FK23" s="1760"/>
    </row>
    <row r="24" spans="1:167" ht="15.75" customHeight="1" thickBot="1">
      <c r="A24" s="1220"/>
      <c r="B24" s="1278">
        <f>+PP!B42</f>
        <v>19</v>
      </c>
      <c r="C24" s="1280" t="str">
        <f>+PP!C42</f>
        <v>FILETE LP C/M C/T ENTERO 2.0-4.0 kg/pza</v>
      </c>
      <c r="D24" s="1407"/>
      <c r="E24" s="1408"/>
      <c r="F24" s="1408"/>
      <c r="G24" s="1408"/>
      <c r="H24" s="1408"/>
      <c r="I24" s="1408"/>
      <c r="J24" s="1408"/>
      <c r="K24" s="1408"/>
      <c r="L24" s="1408"/>
      <c r="M24" s="1408"/>
      <c r="N24" s="1408"/>
      <c r="O24" s="1408"/>
      <c r="P24" s="1408"/>
      <c r="Q24" s="1408"/>
      <c r="R24" s="1408"/>
      <c r="S24" s="1408"/>
      <c r="T24" s="1408"/>
      <c r="U24" s="1408"/>
      <c r="V24" s="1408"/>
      <c r="W24" s="1408"/>
      <c r="X24" s="1408"/>
      <c r="Y24" s="1408"/>
      <c r="Z24" s="1408"/>
      <c r="AA24" s="1408"/>
      <c r="AB24" s="1408"/>
      <c r="AC24" s="1408"/>
      <c r="AD24" s="1408"/>
      <c r="AE24" s="1408"/>
      <c r="AF24" s="1408"/>
      <c r="AG24" s="1408"/>
      <c r="AH24" s="1409"/>
      <c r="AI24" s="1238"/>
      <c r="AJ24" s="1238"/>
      <c r="AK24" s="1238"/>
      <c r="AL24" s="1238"/>
      <c r="AM24" s="1238"/>
      <c r="AN24" s="1238"/>
      <c r="AO24" s="1238"/>
      <c r="AP24" s="1219"/>
      <c r="AQ24" s="1219"/>
      <c r="AR24" s="1219"/>
      <c r="AS24" s="1219"/>
      <c r="AT24" s="1219"/>
      <c r="AU24" s="1219"/>
      <c r="AV24" s="1219"/>
      <c r="AW24" s="1219"/>
      <c r="AX24" s="1219"/>
      <c r="AY24" s="1219"/>
      <c r="AZ24" s="1219"/>
      <c r="BA24" s="1219"/>
      <c r="BB24" s="1219"/>
      <c r="BC24" s="1219"/>
      <c r="BD24" s="1219"/>
      <c r="BE24" s="1219"/>
      <c r="BF24" s="1219"/>
      <c r="BG24" s="1219"/>
      <c r="BH24" s="1219"/>
      <c r="BI24" s="1219"/>
      <c r="BJ24" s="1219"/>
      <c r="BK24" s="1219"/>
      <c r="BL24" s="1219"/>
      <c r="BM24" s="1219"/>
      <c r="BN24" s="1219"/>
      <c r="BO24" s="1219"/>
      <c r="BP24" s="1219"/>
      <c r="BQ24" s="1219"/>
      <c r="BR24" s="1565"/>
      <c r="BS24" s="1565"/>
      <c r="BT24" s="1565"/>
      <c r="BU24" s="1565"/>
      <c r="BV24" s="1565"/>
      <c r="BW24" s="1565"/>
      <c r="BX24" s="1565"/>
      <c r="BY24" s="1565"/>
      <c r="BZ24" s="1565"/>
      <c r="CA24" s="1565"/>
      <c r="CB24" s="1566"/>
      <c r="CC24" s="1551">
        <f t="shared" si="0"/>
        <v>0</v>
      </c>
      <c r="CD24" s="1239">
        <f t="shared" si="1"/>
        <v>0</v>
      </c>
      <c r="CE24" s="1240">
        <f t="shared" si="2"/>
        <v>0</v>
      </c>
      <c r="CF24" s="1220"/>
      <c r="CG24" s="1751" t="str" cm="1">
        <f t="array" ref="CG24">IFERROR(INDEX($B$6:$B$53,_xlfn.AGGREGATE(15,6,(ROW($B$6:$B$53)-ROW($B$6)+1)/(MMULT(--($D$6:$CB$53&gt;0),TRANSPOSE(COLUMN($D$6:$CB$6)^0))&gt;0),ROWS($CG$6:CG24))),"")</f>
        <v/>
      </c>
      <c r="CH24" s="1752" t="str">
        <f t="shared" si="3"/>
        <v/>
      </c>
      <c r="CI24" s="1753" t="str" cm="1">
        <f t="array" ref="CI24">IF($CG24="","",IF(INDEX($D$6:$CB$53,MATCH($CG24,$B$6:$B$53,0),COLUMN()-COLUMN($CI$5)+1)&gt;0,INDEX($D$6:$CB$53,MATCH($CG24,$B$6:$B$53,0),COLUMN()-COLUMN($CI$5)+1),""))</f>
        <v/>
      </c>
      <c r="CJ24" s="1753" t="str" cm="1">
        <f t="array" ref="CJ24">IF($CG24="","",IF(INDEX($D$6:$CB$53,MATCH($CG24,$B$6:$B$53,0),COLUMN()-COLUMN($CI$5)+1)&gt;0,INDEX($D$6:$CB$53,MATCH($CG24,$B$6:$B$53,0),COLUMN()-COLUMN($CI$5)+1),""))</f>
        <v/>
      </c>
      <c r="CK24" s="1753" t="str" cm="1">
        <f t="array" ref="CK24">IF($CG24="","",IF(INDEX($D$6:$CB$53,MATCH($CG24,$B$6:$B$53,0),COLUMN()-COLUMN($CI$5)+1)&gt;0,INDEX($D$6:$CB$53,MATCH($CG24,$B$6:$B$53,0),COLUMN()-COLUMN($CI$5)+1),""))</f>
        <v/>
      </c>
      <c r="CL24" s="1753" t="str" cm="1">
        <f t="array" ref="CL24">IF($CG24="","",IF(INDEX($D$6:$CB$53,MATCH($CG24,$B$6:$B$53,0),COLUMN()-COLUMN($CI$5)+1)&gt;0,INDEX($D$6:$CB$53,MATCH($CG24,$B$6:$B$53,0),COLUMN()-COLUMN($CI$5)+1),""))</f>
        <v/>
      </c>
      <c r="CM24" s="1753" t="str" cm="1">
        <f t="array" ref="CM24">IF($CG24="","",IF(INDEX($D$6:$CB$53,MATCH($CG24,$B$6:$B$53,0),COLUMN()-COLUMN($CI$5)+1)&gt;0,INDEX($D$6:$CB$53,MATCH($CG24,$B$6:$B$53,0),COLUMN()-COLUMN($CI$5)+1),""))</f>
        <v/>
      </c>
      <c r="CN24" s="1753" t="str" cm="1">
        <f t="array" ref="CN24">IF($CG24="","",IF(INDEX($D$6:$CB$53,MATCH($CG24,$B$6:$B$53,0),COLUMN()-COLUMN($CI$5)+1)&gt;0,INDEX($D$6:$CB$53,MATCH($CG24,$B$6:$B$53,0),COLUMN()-COLUMN($CI$5)+1),""))</f>
        <v/>
      </c>
      <c r="CO24" s="1753" t="str" cm="1">
        <f t="array" ref="CO24">IF($CG24="","",IF(INDEX($D$6:$CB$53,MATCH($CG24,$B$6:$B$53,0),COLUMN()-COLUMN($CI$5)+1)&gt;0,INDEX($D$6:$CB$53,MATCH($CG24,$B$6:$B$53,0),COLUMN()-COLUMN($CI$5)+1),""))</f>
        <v/>
      </c>
      <c r="CP24" s="1753" t="str" cm="1">
        <f t="array" ref="CP24">IF($CG24="","",IF(INDEX($D$6:$CB$53,MATCH($CG24,$B$6:$B$53,0),COLUMN()-COLUMN($CI$5)+1)&gt;0,INDEX($D$6:$CB$53,MATCH($CG24,$B$6:$B$53,0),COLUMN()-COLUMN($CI$5)+1),""))</f>
        <v/>
      </c>
      <c r="CQ24" s="1753" t="str" cm="1">
        <f t="array" ref="CQ24">IF($CG24="","",IF(INDEX($D$6:$CB$53,MATCH($CG24,$B$6:$B$53,0),COLUMN()-COLUMN($CI$5)+1)&gt;0,INDEX($D$6:$CB$53,MATCH($CG24,$B$6:$B$53,0),COLUMN()-COLUMN($CI$5)+1),""))</f>
        <v/>
      </c>
      <c r="CR24" s="1753" t="str" cm="1">
        <f t="array" ref="CR24">IF($CG24="","",IF(INDEX($D$6:$CB$53,MATCH($CG24,$B$6:$B$53,0),COLUMN()-COLUMN($CI$5)+1)&gt;0,INDEX($D$6:$CB$53,MATCH($CG24,$B$6:$B$53,0),COLUMN()-COLUMN($CI$5)+1),""))</f>
        <v/>
      </c>
      <c r="CS24" s="1753" t="str" cm="1">
        <f t="array" ref="CS24">IF($CG24="","",IF(INDEX($D$6:$CB$53,MATCH($CG24,$B$6:$B$53,0),COLUMN()-COLUMN($CI$5)+1)&gt;0,INDEX($D$6:$CB$53,MATCH($CG24,$B$6:$B$53,0),COLUMN()-COLUMN($CI$5)+1),""))</f>
        <v/>
      </c>
      <c r="CT24" s="1753" t="str" cm="1">
        <f t="array" ref="CT24">IF($CG24="","",IF(INDEX($D$6:$CB$53,MATCH($CG24,$B$6:$B$53,0),COLUMN()-COLUMN($CI$5)+1)&gt;0,INDEX($D$6:$CB$53,MATCH($CG24,$B$6:$B$53,0),COLUMN()-COLUMN($CI$5)+1),""))</f>
        <v/>
      </c>
      <c r="CU24" s="1753" t="str" cm="1">
        <f t="array" ref="CU24">IF($CG24="","",IF(INDEX($D$6:$CB$53,MATCH($CG24,$B$6:$B$53,0),COLUMN()-COLUMN($CI$5)+1)&gt;0,INDEX($D$6:$CB$53,MATCH($CG24,$B$6:$B$53,0),COLUMN()-COLUMN($CI$5)+1),""))</f>
        <v/>
      </c>
      <c r="CV24" s="1753" t="str" cm="1">
        <f t="array" ref="CV24">IF($CG24="","",IF(INDEX($D$6:$CB$53,MATCH($CG24,$B$6:$B$53,0),COLUMN()-COLUMN($CI$5)+1)&gt;0,INDEX($D$6:$CB$53,MATCH($CG24,$B$6:$B$53,0),COLUMN()-COLUMN($CI$5)+1),""))</f>
        <v/>
      </c>
      <c r="CW24" s="1753" t="str" cm="1">
        <f t="array" ref="CW24">IF($CG24="","",IF(INDEX($D$6:$CB$53,MATCH($CG24,$B$6:$B$53,0),COLUMN()-COLUMN($CI$5)+1)&gt;0,INDEX($D$6:$CB$53,MATCH($CG24,$B$6:$B$53,0),COLUMN()-COLUMN($CI$5)+1),""))</f>
        <v/>
      </c>
      <c r="CX24" s="1753" t="str" cm="1">
        <f t="array" ref="CX24">IF($CG24="","",IF(INDEX($D$6:$CB$53,MATCH($CG24,$B$6:$B$53,0),COLUMN()-COLUMN($CI$5)+1)&gt;0,INDEX($D$6:$CB$53,MATCH($CG24,$B$6:$B$53,0),COLUMN()-COLUMN($CI$5)+1),""))</f>
        <v/>
      </c>
      <c r="CY24" s="1753" t="str" cm="1">
        <f t="array" ref="CY24">IF($CG24="","",IF(INDEX($D$6:$CB$53,MATCH($CG24,$B$6:$B$53,0),COLUMN()-COLUMN($CI$5)+1)&gt;0,INDEX($D$6:$CB$53,MATCH($CG24,$B$6:$B$53,0),COLUMN()-COLUMN($CI$5)+1),""))</f>
        <v/>
      </c>
      <c r="CZ24" s="1753" t="str" cm="1">
        <f t="array" ref="CZ24">IF($CG24="","",IF(INDEX($D$6:$CB$53,MATCH($CG24,$B$6:$B$53,0),COLUMN()-COLUMN($CI$5)+1)&gt;0,INDEX($D$6:$CB$53,MATCH($CG24,$B$6:$B$53,0),COLUMN()-COLUMN($CI$5)+1),""))</f>
        <v/>
      </c>
      <c r="DA24" s="1753" t="str" cm="1">
        <f t="array" ref="DA24">IF($CG24="","",IF(INDEX($D$6:$CB$53,MATCH($CG24,$B$6:$B$53,0),COLUMN()-COLUMN($CI$5)+1)&gt;0,INDEX($D$6:$CB$53,MATCH($CG24,$B$6:$B$53,0),COLUMN()-COLUMN($CI$5)+1),""))</f>
        <v/>
      </c>
      <c r="DB24" s="1753" t="str" cm="1">
        <f t="array" ref="DB24">IF($CG24="","",IF(INDEX($D$6:$CB$53,MATCH($CG24,$B$6:$B$53,0),COLUMN()-COLUMN($CI$5)+1)&gt;0,INDEX($D$6:$CB$53,MATCH($CG24,$B$6:$B$53,0),COLUMN()-COLUMN($CI$5)+1),""))</f>
        <v/>
      </c>
      <c r="DC24" s="1753" t="str" cm="1">
        <f t="array" ref="DC24">IF($CG24="","",IF(INDEX($D$6:$CB$53,MATCH($CG24,$B$6:$B$53,0),COLUMN()-COLUMN($CI$5)+1)&gt;0,INDEX($D$6:$CB$53,MATCH($CG24,$B$6:$B$53,0),COLUMN()-COLUMN($CI$5)+1),""))</f>
        <v/>
      </c>
      <c r="DD24" s="1753" t="str" cm="1">
        <f t="array" ref="DD24">IF($CG24="","",IF(INDEX($D$6:$CB$53,MATCH($CG24,$B$6:$B$53,0),COLUMN()-COLUMN($CI$5)+1)&gt;0,INDEX($D$6:$CB$53,MATCH($CG24,$B$6:$B$53,0),COLUMN()-COLUMN($CI$5)+1),""))</f>
        <v/>
      </c>
      <c r="DE24" s="1753" t="str" cm="1">
        <f t="array" ref="DE24">IF($CG24="","",IF(INDEX($D$6:$CB$53,MATCH($CG24,$B$6:$B$53,0),COLUMN()-COLUMN($CI$5)+1)&gt;0,INDEX($D$6:$CB$53,MATCH($CG24,$B$6:$B$53,0),COLUMN()-COLUMN($CI$5)+1),""))</f>
        <v/>
      </c>
      <c r="DF24" s="1753" t="str" cm="1">
        <f t="array" ref="DF24">IF($CG24="","",IF(INDEX($D$6:$CB$53,MATCH($CG24,$B$6:$B$53,0),COLUMN()-COLUMN($CI$5)+1)&gt;0,INDEX($D$6:$CB$53,MATCH($CG24,$B$6:$B$53,0),COLUMN()-COLUMN($CI$5)+1),""))</f>
        <v/>
      </c>
      <c r="DG24" s="1753" t="str" cm="1">
        <f t="array" ref="DG24">IF($CG24="","",IF(INDEX($D$6:$CB$53,MATCH($CG24,$B$6:$B$53,0),COLUMN()-COLUMN($CI$5)+1)&gt;0,INDEX($D$6:$CB$53,MATCH($CG24,$B$6:$B$53,0),COLUMN()-COLUMN($CI$5)+1),""))</f>
        <v/>
      </c>
      <c r="DH24" s="1753" t="str" cm="1">
        <f t="array" ref="DH24">IF($CG24="","",IF(INDEX($D$6:$CB$53,MATCH($CG24,$B$6:$B$53,0),COLUMN()-COLUMN($CI$5)+1)&gt;0,INDEX($D$6:$CB$53,MATCH($CG24,$B$6:$B$53,0),COLUMN()-COLUMN($CI$5)+1),""))</f>
        <v/>
      </c>
      <c r="DI24" s="1753" t="str" cm="1">
        <f t="array" ref="DI24">IF($CG24="","",IF(INDEX($D$6:$CB$53,MATCH($CG24,$B$6:$B$53,0),COLUMN()-COLUMN($CI$5)+1)&gt;0,INDEX($D$6:$CB$53,MATCH($CG24,$B$6:$B$53,0),COLUMN()-COLUMN($CI$5)+1),""))</f>
        <v/>
      </c>
      <c r="DJ24" s="1753" t="str" cm="1">
        <f t="array" ref="DJ24">IF($CG24="","",IF(INDEX($D$6:$CB$53,MATCH($CG24,$B$6:$B$53,0),COLUMN()-COLUMN($CI$5)+1)&gt;0,INDEX($D$6:$CB$53,MATCH($CG24,$B$6:$B$53,0),COLUMN()-COLUMN($CI$5)+1),""))</f>
        <v/>
      </c>
      <c r="DK24" s="1753" t="str" cm="1">
        <f t="array" ref="DK24">IF($CG24="","",IF(INDEX($D$6:$CB$53,MATCH($CG24,$B$6:$B$53,0),COLUMN()-COLUMN($CI$5)+1)&gt;0,INDEX($D$6:$CB$53,MATCH($CG24,$B$6:$B$53,0),COLUMN()-COLUMN($CI$5)+1),""))</f>
        <v/>
      </c>
      <c r="DL24" s="1753" t="str" cm="1">
        <f t="array" ref="DL24">IF($CG24="","",IF(INDEX($D$6:$CB$53,MATCH($CG24,$B$6:$B$53,0),COLUMN()-COLUMN($CI$5)+1)&gt;0,INDEX($D$6:$CB$53,MATCH($CG24,$B$6:$B$53,0),COLUMN()-COLUMN($CI$5)+1),""))</f>
        <v/>
      </c>
      <c r="DM24" s="1753" t="str" cm="1">
        <f t="array" ref="DM24">IF($CG24="","",IF(INDEX($D$6:$CB$53,MATCH($CG24,$B$6:$B$53,0),COLUMN()-COLUMN($CI$5)+1)&gt;0,INDEX($D$6:$CB$53,MATCH($CG24,$B$6:$B$53,0),COLUMN()-COLUMN($CI$5)+1),""))</f>
        <v/>
      </c>
      <c r="DN24" s="1753" t="str" cm="1">
        <f t="array" ref="DN24">IF($CG24="","",IF(INDEX($D$6:$CB$53,MATCH($CG24,$B$6:$B$53,0),COLUMN()-COLUMN($CI$5)+1)&gt;0,INDEX($D$6:$CB$53,MATCH($CG24,$B$6:$B$53,0),COLUMN()-COLUMN($CI$5)+1),""))</f>
        <v/>
      </c>
      <c r="DO24" s="1753" t="str" cm="1">
        <f t="array" ref="DO24">IF($CG24="","",IF(INDEX($D$6:$CB$53,MATCH($CG24,$B$6:$B$53,0),COLUMN()-COLUMN($CI$5)+1)&gt;0,INDEX($D$6:$CB$53,MATCH($CG24,$B$6:$B$53,0),COLUMN()-COLUMN($CI$5)+1),""))</f>
        <v/>
      </c>
      <c r="DP24" s="1753" t="str" cm="1">
        <f t="array" ref="DP24">IF($CG24="","",IF(INDEX($D$6:$CB$53,MATCH($CG24,$B$6:$B$53,0),COLUMN()-COLUMN($CI$5)+1)&gt;0,INDEX($D$6:$CB$53,MATCH($CG24,$B$6:$B$53,0),COLUMN()-COLUMN($CI$5)+1),""))</f>
        <v/>
      </c>
      <c r="DQ24" s="1753" t="str" cm="1">
        <f t="array" ref="DQ24">IF($CG24="","",IF(INDEX($D$6:$CB$53,MATCH($CG24,$B$6:$B$53,0),COLUMN()-COLUMN($CI$5)+1)&gt;0,INDEX($D$6:$CB$53,MATCH($CG24,$B$6:$B$53,0),COLUMN()-COLUMN($CI$5)+1),""))</f>
        <v/>
      </c>
      <c r="DR24" s="1753" t="str" cm="1">
        <f t="array" ref="DR24">IF($CG24="","",IF(INDEX($D$6:$CB$53,MATCH($CG24,$B$6:$B$53,0),COLUMN()-COLUMN($CI$5)+1)&gt;0,INDEX($D$6:$CB$53,MATCH($CG24,$B$6:$B$53,0),COLUMN()-COLUMN($CI$5)+1),""))</f>
        <v/>
      </c>
      <c r="DS24" s="1753" t="str" cm="1">
        <f t="array" ref="DS24">IF($CG24="","",IF(INDEX($D$6:$CB$53,MATCH($CG24,$B$6:$B$53,0),COLUMN()-COLUMN($CI$5)+1)&gt;0,INDEX($D$6:$CB$53,MATCH($CG24,$B$6:$B$53,0),COLUMN()-COLUMN($CI$5)+1),""))</f>
        <v/>
      </c>
      <c r="DT24" s="1753" t="str" cm="1">
        <f t="array" ref="DT24">IF($CG24="","",IF(INDEX($D$6:$CB$53,MATCH($CG24,$B$6:$B$53,0),COLUMN()-COLUMN($CI$5)+1)&gt;0,INDEX($D$6:$CB$53,MATCH($CG24,$B$6:$B$53,0),COLUMN()-COLUMN($CI$5)+1),""))</f>
        <v/>
      </c>
      <c r="DU24" s="1753" t="str" cm="1">
        <f t="array" ref="DU24">IF($CG24="","",IF(INDEX($D$6:$CB$53,MATCH($CG24,$B$6:$B$53,0),COLUMN()-COLUMN($CI$5)+1)&gt;0,INDEX($D$6:$CB$53,MATCH($CG24,$B$6:$B$53,0),COLUMN()-COLUMN($CI$5)+1),""))</f>
        <v/>
      </c>
      <c r="DV24" s="1753" t="str" cm="1">
        <f t="array" ref="DV24">IF($CG24="","",IF(INDEX($D$6:$CB$53,MATCH($CG24,$B$6:$B$53,0),COLUMN()-COLUMN($CI$5)+1)&gt;0,INDEX($D$6:$CB$53,MATCH($CG24,$B$6:$B$53,0),COLUMN()-COLUMN($CI$5)+1),""))</f>
        <v/>
      </c>
      <c r="DW24" s="1753" t="str" cm="1">
        <f t="array" ref="DW24">IF($CG24="","",IF(INDEX($D$6:$CB$53,MATCH($CG24,$B$6:$B$53,0),COLUMN()-COLUMN($CI$5)+1)&gt;0,INDEX($D$6:$CB$53,MATCH($CG24,$B$6:$B$53,0),COLUMN()-COLUMN($CI$5)+1),""))</f>
        <v/>
      </c>
      <c r="DX24" s="1753" t="str" cm="1">
        <f t="array" ref="DX24">IF($CG24="","",IF(INDEX($D$6:$CB$53,MATCH($CG24,$B$6:$B$53,0),COLUMN()-COLUMN($CI$5)+1)&gt;0,INDEX($D$6:$CB$53,MATCH($CG24,$B$6:$B$53,0),COLUMN()-COLUMN($CI$5)+1),""))</f>
        <v/>
      </c>
      <c r="DY24" s="1753" t="str" cm="1">
        <f t="array" ref="DY24">IF($CG24="","",IF(INDEX($D$6:$CB$53,MATCH($CG24,$B$6:$B$53,0),COLUMN()-COLUMN($CI$5)+1)&gt;0,INDEX($D$6:$CB$53,MATCH($CG24,$B$6:$B$53,0),COLUMN()-COLUMN($CI$5)+1),""))</f>
        <v/>
      </c>
      <c r="DZ24" s="1753" t="str" cm="1">
        <f t="array" ref="DZ24">IF($CG24="","",IF(INDEX($D$6:$CB$53,MATCH($CG24,$B$6:$B$53,0),COLUMN()-COLUMN($CI$5)+1)&gt;0,INDEX($D$6:$CB$53,MATCH($CG24,$B$6:$B$53,0),COLUMN()-COLUMN($CI$5)+1),""))</f>
        <v/>
      </c>
      <c r="EA24" s="1753" t="str" cm="1">
        <f t="array" ref="EA24">IF($CG24="","",IF(INDEX($D$6:$CB$53,MATCH($CG24,$B$6:$B$53,0),COLUMN()-COLUMN($CI$5)+1)&gt;0,INDEX($D$6:$CB$53,MATCH($CG24,$B$6:$B$53,0),COLUMN()-COLUMN($CI$5)+1),""))</f>
        <v/>
      </c>
      <c r="EB24" s="1753" t="str" cm="1">
        <f t="array" ref="EB24">IF($CG24="","",IF(INDEX($D$6:$CB$53,MATCH($CG24,$B$6:$B$53,0),COLUMN()-COLUMN($CI$5)+1)&gt;0,INDEX($D$6:$CB$53,MATCH($CG24,$B$6:$B$53,0),COLUMN()-COLUMN($CI$5)+1),""))</f>
        <v/>
      </c>
      <c r="EC24" s="1753" t="str" cm="1">
        <f t="array" ref="EC24">IF($CG24="","",IF(INDEX($D$6:$CB$53,MATCH($CG24,$B$6:$B$53,0),COLUMN()-COLUMN($CI$5)+1)&gt;0,INDEX($D$6:$CB$53,MATCH($CG24,$B$6:$B$53,0),COLUMN()-COLUMN($CI$5)+1),""))</f>
        <v/>
      </c>
      <c r="ED24" s="1753" t="str" cm="1">
        <f t="array" ref="ED24">IF($CG24="","",IF(INDEX($D$6:$CB$53,MATCH($CG24,$B$6:$B$53,0),COLUMN()-COLUMN($CI$5)+1)&gt;0,INDEX($D$6:$CB$53,MATCH($CG24,$B$6:$B$53,0),COLUMN()-COLUMN($CI$5)+1),""))</f>
        <v/>
      </c>
      <c r="EE24" s="1753" t="str" cm="1">
        <f t="array" ref="EE24">IF($CG24="","",IF(INDEX($D$6:$CB$53,MATCH($CG24,$B$6:$B$53,0),COLUMN()-COLUMN($CI$5)+1)&gt;0,INDEX($D$6:$CB$53,MATCH($CG24,$B$6:$B$53,0),COLUMN()-COLUMN($CI$5)+1),""))</f>
        <v/>
      </c>
      <c r="EF24" s="1753" t="str" cm="1">
        <f t="array" ref="EF24">IF($CG24="","",IF(INDEX($D$6:$CB$53,MATCH($CG24,$B$6:$B$53,0),COLUMN()-COLUMN($CI$5)+1)&gt;0,INDEX($D$6:$CB$53,MATCH($CG24,$B$6:$B$53,0),COLUMN()-COLUMN($CI$5)+1),""))</f>
        <v/>
      </c>
      <c r="EG24" s="1753" t="str" cm="1">
        <f t="array" ref="EG24">IF($CG24="","",IF(INDEX($D$6:$CB$53,MATCH($CG24,$B$6:$B$53,0),COLUMN()-COLUMN($CI$5)+1)&gt;0,INDEX($D$6:$CB$53,MATCH($CG24,$B$6:$B$53,0),COLUMN()-COLUMN($CI$5)+1),""))</f>
        <v/>
      </c>
      <c r="EH24" s="1753" t="str" cm="1">
        <f t="array" ref="EH24">IF($CG24="","",IF(INDEX($D$6:$CB$53,MATCH($CG24,$B$6:$B$53,0),COLUMN()-COLUMN($CI$5)+1)&gt;0,INDEX($D$6:$CB$53,MATCH($CG24,$B$6:$B$53,0),COLUMN()-COLUMN($CI$5)+1),""))</f>
        <v/>
      </c>
      <c r="EI24" s="1753" t="str" cm="1">
        <f t="array" ref="EI24">IF($CG24="","",IF(INDEX($D$6:$CB$53,MATCH($CG24,$B$6:$B$53,0),COLUMN()-COLUMN($CI$5)+1)&gt;0,INDEX($D$6:$CB$53,MATCH($CG24,$B$6:$B$53,0),COLUMN()-COLUMN($CI$5)+1),""))</f>
        <v/>
      </c>
      <c r="EJ24" s="1753" t="str" cm="1">
        <f t="array" ref="EJ24">IF($CG24="","",IF(INDEX($D$6:$CB$53,MATCH($CG24,$B$6:$B$53,0),COLUMN()-COLUMN($CI$5)+1)&gt;0,INDEX($D$6:$CB$53,MATCH($CG24,$B$6:$B$53,0),COLUMN()-COLUMN($CI$5)+1),""))</f>
        <v/>
      </c>
      <c r="EK24" s="1753" t="str" cm="1">
        <f t="array" ref="EK24">IF($CG24="","",IF(INDEX($D$6:$CB$53,MATCH($CG24,$B$6:$B$53,0),COLUMN()-COLUMN($CI$5)+1)&gt;0,INDEX($D$6:$CB$53,MATCH($CG24,$B$6:$B$53,0),COLUMN()-COLUMN($CI$5)+1),""))</f>
        <v/>
      </c>
      <c r="EL24" s="1753" t="str" cm="1">
        <f t="array" ref="EL24">IF($CG24="","",IF(INDEX($D$6:$CB$53,MATCH($CG24,$B$6:$B$53,0),COLUMN()-COLUMN($CI$5)+1)&gt;0,INDEX($D$6:$CB$53,MATCH($CG24,$B$6:$B$53,0),COLUMN()-COLUMN($CI$5)+1),""))</f>
        <v/>
      </c>
      <c r="EM24" s="1753" t="str" cm="1">
        <f t="array" ref="EM24">IF($CG24="","",IF(INDEX($D$6:$CB$53,MATCH($CG24,$B$6:$B$53,0),COLUMN()-COLUMN($CI$5)+1)&gt;0,INDEX($D$6:$CB$53,MATCH($CG24,$B$6:$B$53,0),COLUMN()-COLUMN($CI$5)+1),""))</f>
        <v/>
      </c>
      <c r="EN24" s="1753" t="str" cm="1">
        <f t="array" ref="EN24">IF($CG24="","",IF(INDEX($D$6:$CB$53,MATCH($CG24,$B$6:$B$53,0),COLUMN()-COLUMN($CI$5)+1)&gt;0,INDEX($D$6:$CB$53,MATCH($CG24,$B$6:$B$53,0),COLUMN()-COLUMN($CI$5)+1),""))</f>
        <v/>
      </c>
      <c r="EO24" s="1753" t="str" cm="1">
        <f t="array" ref="EO24">IF($CG24="","",IF(INDEX($D$6:$CB$53,MATCH($CG24,$B$6:$B$53,0),COLUMN()-COLUMN($CI$5)+1)&gt;0,INDEX($D$6:$CB$53,MATCH($CG24,$B$6:$B$53,0),COLUMN()-COLUMN($CI$5)+1),""))</f>
        <v/>
      </c>
      <c r="EP24" s="1753" t="str" cm="1">
        <f t="array" ref="EP24">IF($CG24="","",IF(INDEX($D$6:$CB$53,MATCH($CG24,$B$6:$B$53,0),COLUMN()-COLUMN($CI$5)+1)&gt;0,INDEX($D$6:$CB$53,MATCH($CG24,$B$6:$B$53,0),COLUMN()-COLUMN($CI$5)+1),""))</f>
        <v/>
      </c>
      <c r="EQ24" s="1753" t="str" cm="1">
        <f t="array" ref="EQ24">IF($CG24="","",IF(INDEX($D$6:$CB$53,MATCH($CG24,$B$6:$B$53,0),COLUMN()-COLUMN($CI$5)+1)&gt;0,INDEX($D$6:$CB$53,MATCH($CG24,$B$6:$B$53,0),COLUMN()-COLUMN($CI$5)+1),""))</f>
        <v/>
      </c>
      <c r="ER24" s="1753" t="str" cm="1">
        <f t="array" ref="ER24">IF($CG24="","",IF(INDEX($D$6:$CB$53,MATCH($CG24,$B$6:$B$53,0),COLUMN()-COLUMN($CI$5)+1)&gt;0,INDEX($D$6:$CB$53,MATCH($CG24,$B$6:$B$53,0),COLUMN()-COLUMN($CI$5)+1),""))</f>
        <v/>
      </c>
      <c r="ES24" s="1753" t="str" cm="1">
        <f t="array" ref="ES24">IF($CG24="","",IF(INDEX($D$6:$CB$53,MATCH($CG24,$B$6:$B$53,0),COLUMN()-COLUMN($CI$5)+1)&gt;0,INDEX($D$6:$CB$53,MATCH($CG24,$B$6:$B$53,0),COLUMN()-COLUMN($CI$5)+1),""))</f>
        <v/>
      </c>
      <c r="ET24" s="1753" t="str" cm="1">
        <f t="array" ref="ET24">IF($CG24="","",IF(INDEX($D$6:$CB$53,MATCH($CG24,$B$6:$B$53,0),COLUMN()-COLUMN($CI$5)+1)&gt;0,INDEX($D$6:$CB$53,MATCH($CG24,$B$6:$B$53,0),COLUMN()-COLUMN($CI$5)+1),""))</f>
        <v/>
      </c>
      <c r="EU24" s="1753" t="str" cm="1">
        <f t="array" ref="EU24">IF($CG24="","",IF(INDEX($D$6:$CB$53,MATCH($CG24,$B$6:$B$53,0),COLUMN()-COLUMN($CI$5)+1)&gt;0,INDEX($D$6:$CB$53,MATCH($CG24,$B$6:$B$53,0),COLUMN()-COLUMN($CI$5)+1),""))</f>
        <v/>
      </c>
      <c r="EV24" s="1753" t="str" cm="1">
        <f t="array" ref="EV24">IF($CG24="","",IF(INDEX($D$6:$CB$53,MATCH($CG24,$B$6:$B$53,0),COLUMN()-COLUMN($CI$5)+1)&gt;0,INDEX($D$6:$CB$53,MATCH($CG24,$B$6:$B$53,0),COLUMN()-COLUMN($CI$5)+1),""))</f>
        <v/>
      </c>
      <c r="EW24" s="1753" t="str" cm="1">
        <f t="array" ref="EW24">IF($CG24="","",IF(INDEX($D$6:$CB$53,MATCH($CG24,$B$6:$B$53,0),COLUMN()-COLUMN($CI$5)+1)&gt;0,INDEX($D$6:$CB$53,MATCH($CG24,$B$6:$B$53,0),COLUMN()-COLUMN($CI$5)+1),""))</f>
        <v/>
      </c>
      <c r="EX24" s="1753" t="str" cm="1">
        <f t="array" ref="EX24">IF($CG24="","",IF(INDEX($D$6:$CB$53,MATCH($CG24,$B$6:$B$53,0),COLUMN()-COLUMN($CI$5)+1)&gt;0,INDEX($D$6:$CB$53,MATCH($CG24,$B$6:$B$53,0),COLUMN()-COLUMN($CI$5)+1),""))</f>
        <v/>
      </c>
      <c r="EY24" s="1753" t="str" cm="1">
        <f t="array" ref="EY24">IF($CG24="","",IF(INDEX($D$6:$CB$53,MATCH($CG24,$B$6:$B$53,0),COLUMN()-COLUMN($CI$5)+1)&gt;0,INDEX($D$6:$CB$53,MATCH($CG24,$B$6:$B$53,0),COLUMN()-COLUMN($CI$5)+1),""))</f>
        <v/>
      </c>
      <c r="EZ24" s="1753" t="str" cm="1">
        <f t="array" ref="EZ24">IF($CG24="","",IF(INDEX($D$6:$CB$53,MATCH($CG24,$B$6:$B$53,0),COLUMN()-COLUMN($CI$5)+1)&gt;0,INDEX($D$6:$CB$53,MATCH($CG24,$B$6:$B$53,0),COLUMN()-COLUMN($CI$5)+1),""))</f>
        <v/>
      </c>
      <c r="FA24" s="1753" t="str" cm="1">
        <f t="array" ref="FA24">IF($CG24="","",IF(INDEX($D$6:$CB$53,MATCH($CG24,$B$6:$B$53,0),COLUMN()-COLUMN($CI$5)+1)&gt;0,INDEX($D$6:$CB$53,MATCH($CG24,$B$6:$B$53,0),COLUMN()-COLUMN($CI$5)+1),""))</f>
        <v/>
      </c>
      <c r="FB24" s="1753" t="str" cm="1">
        <f t="array" ref="FB24">IF($CG24="","",IF(INDEX($D$6:$CB$53,MATCH($CG24,$B$6:$B$53,0),COLUMN()-COLUMN($CI$5)+1)&gt;0,INDEX($D$6:$CB$53,MATCH($CG24,$B$6:$B$53,0),COLUMN()-COLUMN($CI$5)+1),""))</f>
        <v/>
      </c>
      <c r="FC24" s="1753" t="str" cm="1">
        <f t="array" ref="FC24">IF($CG24="","",IF(INDEX($D$6:$CB$53,MATCH($CG24,$B$6:$B$53,0),COLUMN()-COLUMN($CI$5)+1)&gt;0,INDEX($D$6:$CB$53,MATCH($CG24,$B$6:$B$53,0),COLUMN()-COLUMN($CI$5)+1),""))</f>
        <v/>
      </c>
      <c r="FD24" s="1753" t="str" cm="1">
        <f t="array" ref="FD24">IF($CG24="","",IF(INDEX($D$6:$CB$53,MATCH($CG24,$B$6:$B$53,0),COLUMN()-COLUMN($CI$5)+1)&gt;0,INDEX($D$6:$CB$53,MATCH($CG24,$B$6:$B$53,0),COLUMN()-COLUMN($CI$5)+1),""))</f>
        <v/>
      </c>
      <c r="FE24" s="1753" t="str" cm="1">
        <f t="array" ref="FE24">IF($CG24="","",IF(INDEX($D$6:$CB$53,MATCH($CG24,$B$6:$B$53,0),COLUMN()-COLUMN($CI$5)+1)&gt;0,INDEX($D$6:$CB$53,MATCH($CG24,$B$6:$B$53,0),COLUMN()-COLUMN($CI$5)+1),""))</f>
        <v/>
      </c>
      <c r="FF24" s="1753" t="str" cm="1">
        <f t="array" ref="FF24">IF($CG24="","",IF(INDEX($D$6:$CB$53,MATCH($CG24,$B$6:$B$53,0),COLUMN()-COLUMN($CI$5)+1)&gt;0,INDEX($D$6:$CB$53,MATCH($CG24,$B$6:$B$53,0),COLUMN()-COLUMN($CI$5)+1),""))</f>
        <v/>
      </c>
      <c r="FG24" s="1758" t="str" cm="1">
        <f t="array" ref="FG24">IF($CG24="","",IF(INDEX($D$6:$CB$53,MATCH($CG24,$B$6:$B$53,0),COLUMN()-COLUMN($CI$5)+1)&gt;0,INDEX($D$6:$CB$53,MATCH($CG24,$B$6:$B$53,0),COLUMN()-COLUMN($CI$5)+1),""))</f>
        <v/>
      </c>
      <c r="FH24" s="1764" t="str">
        <f t="shared" si="4"/>
        <v/>
      </c>
      <c r="FI24" s="1756" t="str">
        <f t="shared" si="5"/>
        <v/>
      </c>
      <c r="FJ24" s="1767" t="str">
        <f t="shared" si="6"/>
        <v/>
      </c>
      <c r="FK24" s="1760"/>
    </row>
    <row r="25" spans="1:167" ht="15.75" customHeight="1">
      <c r="A25" s="1220"/>
      <c r="B25" s="1278">
        <f>+PP!B43</f>
        <v>20</v>
      </c>
      <c r="C25" s="1277" t="str">
        <f>+PP!C43</f>
        <v>MANTO BLANCO C/M C/T 500-1000 g/pza</v>
      </c>
      <c r="D25" s="1401"/>
      <c r="E25" s="1402"/>
      <c r="F25" s="1402"/>
      <c r="G25" s="1402"/>
      <c r="H25" s="1402"/>
      <c r="I25" s="1402"/>
      <c r="J25" s="1402"/>
      <c r="K25" s="1402"/>
      <c r="L25" s="1402"/>
      <c r="M25" s="1402"/>
      <c r="N25" s="1402"/>
      <c r="O25" s="1402"/>
      <c r="P25" s="1402"/>
      <c r="Q25" s="1402"/>
      <c r="R25" s="1402"/>
      <c r="S25" s="1402"/>
      <c r="T25" s="1402"/>
      <c r="U25" s="1402"/>
      <c r="V25" s="1402"/>
      <c r="W25" s="1402"/>
      <c r="X25" s="1402"/>
      <c r="Y25" s="1402"/>
      <c r="Z25" s="1402"/>
      <c r="AA25" s="1402"/>
      <c r="AB25" s="1402"/>
      <c r="AC25" s="1402"/>
      <c r="AD25" s="1402"/>
      <c r="AE25" s="1402"/>
      <c r="AF25" s="1402"/>
      <c r="AG25" s="1402"/>
      <c r="AH25" s="1403"/>
      <c r="AI25" s="1232"/>
      <c r="AJ25" s="1232"/>
      <c r="AK25" s="1232"/>
      <c r="AL25" s="1232"/>
      <c r="AM25" s="1232"/>
      <c r="AN25" s="1232"/>
      <c r="AO25" s="1232"/>
      <c r="AP25" s="1217"/>
      <c r="AQ25" s="1217"/>
      <c r="AR25" s="1217"/>
      <c r="AS25" s="1217"/>
      <c r="AT25" s="1217"/>
      <c r="AU25" s="1217"/>
      <c r="AV25" s="1217"/>
      <c r="AW25" s="1217"/>
      <c r="AX25" s="1217"/>
      <c r="AY25" s="1217"/>
      <c r="AZ25" s="1217"/>
      <c r="BA25" s="1217"/>
      <c r="BB25" s="1217"/>
      <c r="BC25" s="1217"/>
      <c r="BD25" s="1217"/>
      <c r="BE25" s="1217"/>
      <c r="BF25" s="1217"/>
      <c r="BG25" s="1217"/>
      <c r="BH25" s="1217"/>
      <c r="BI25" s="1217"/>
      <c r="BJ25" s="1217"/>
      <c r="BK25" s="1217"/>
      <c r="BL25" s="1217"/>
      <c r="BM25" s="1217"/>
      <c r="BN25" s="1217"/>
      <c r="BO25" s="1217"/>
      <c r="BP25" s="1217"/>
      <c r="BQ25" s="1217"/>
      <c r="BR25" s="1562"/>
      <c r="BS25" s="1562"/>
      <c r="BT25" s="1562"/>
      <c r="BU25" s="1562"/>
      <c r="BV25" s="1562"/>
      <c r="BW25" s="1562"/>
      <c r="BX25" s="1562"/>
      <c r="BY25" s="1562"/>
      <c r="BZ25" s="1562"/>
      <c r="CA25" s="1562"/>
      <c r="CB25" s="1563"/>
      <c r="CC25" s="1549">
        <f t="shared" si="0"/>
        <v>0</v>
      </c>
      <c r="CD25" s="1233">
        <f t="shared" si="1"/>
        <v>0</v>
      </c>
      <c r="CE25" s="1234">
        <f t="shared" si="2"/>
        <v>0</v>
      </c>
      <c r="CF25" s="1220"/>
      <c r="CG25" s="1751" t="str" cm="1">
        <f t="array" ref="CG25">IFERROR(INDEX($B$6:$B$53,_xlfn.AGGREGATE(15,6,(ROW($B$6:$B$53)-ROW($B$6)+1)/(MMULT(--($D$6:$CB$53&gt;0),TRANSPOSE(COLUMN($D$6:$CB$6)^0))&gt;0),ROWS($CG$6:CG25))),"")</f>
        <v/>
      </c>
      <c r="CH25" s="1752" t="str">
        <f t="shared" si="3"/>
        <v/>
      </c>
      <c r="CI25" s="1753" t="str" cm="1">
        <f t="array" ref="CI25">IF($CG25="","",IF(INDEX($D$6:$CB$53,MATCH($CG25,$B$6:$B$53,0),COLUMN()-COLUMN($CI$5)+1)&gt;0,INDEX($D$6:$CB$53,MATCH($CG25,$B$6:$B$53,0),COLUMN()-COLUMN($CI$5)+1),""))</f>
        <v/>
      </c>
      <c r="CJ25" s="1753" t="str" cm="1">
        <f t="array" ref="CJ25">IF($CG25="","",IF(INDEX($D$6:$CB$53,MATCH($CG25,$B$6:$B$53,0),COLUMN()-COLUMN($CI$5)+1)&gt;0,INDEX($D$6:$CB$53,MATCH($CG25,$B$6:$B$53,0),COLUMN()-COLUMN($CI$5)+1),""))</f>
        <v/>
      </c>
      <c r="CK25" s="1753" t="str" cm="1">
        <f t="array" ref="CK25">IF($CG25="","",IF(INDEX($D$6:$CB$53,MATCH($CG25,$B$6:$B$53,0),COLUMN()-COLUMN($CI$5)+1)&gt;0,INDEX($D$6:$CB$53,MATCH($CG25,$B$6:$B$53,0),COLUMN()-COLUMN($CI$5)+1),""))</f>
        <v/>
      </c>
      <c r="CL25" s="1753" t="str" cm="1">
        <f t="array" ref="CL25">IF($CG25="","",IF(INDEX($D$6:$CB$53,MATCH($CG25,$B$6:$B$53,0),COLUMN()-COLUMN($CI$5)+1)&gt;0,INDEX($D$6:$CB$53,MATCH($CG25,$B$6:$B$53,0),COLUMN()-COLUMN($CI$5)+1),""))</f>
        <v/>
      </c>
      <c r="CM25" s="1753" t="str" cm="1">
        <f t="array" ref="CM25">IF($CG25="","",IF(INDEX($D$6:$CB$53,MATCH($CG25,$B$6:$B$53,0),COLUMN()-COLUMN($CI$5)+1)&gt;0,INDEX($D$6:$CB$53,MATCH($CG25,$B$6:$B$53,0),COLUMN()-COLUMN($CI$5)+1),""))</f>
        <v/>
      </c>
      <c r="CN25" s="1753" t="str" cm="1">
        <f t="array" ref="CN25">IF($CG25="","",IF(INDEX($D$6:$CB$53,MATCH($CG25,$B$6:$B$53,0),COLUMN()-COLUMN($CI$5)+1)&gt;0,INDEX($D$6:$CB$53,MATCH($CG25,$B$6:$B$53,0),COLUMN()-COLUMN($CI$5)+1),""))</f>
        <v/>
      </c>
      <c r="CO25" s="1753" t="str" cm="1">
        <f t="array" ref="CO25">IF($CG25="","",IF(INDEX($D$6:$CB$53,MATCH($CG25,$B$6:$B$53,0),COLUMN()-COLUMN($CI$5)+1)&gt;0,INDEX($D$6:$CB$53,MATCH($CG25,$B$6:$B$53,0),COLUMN()-COLUMN($CI$5)+1),""))</f>
        <v/>
      </c>
      <c r="CP25" s="1753" t="str" cm="1">
        <f t="array" ref="CP25">IF($CG25="","",IF(INDEX($D$6:$CB$53,MATCH($CG25,$B$6:$B$53,0),COLUMN()-COLUMN($CI$5)+1)&gt;0,INDEX($D$6:$CB$53,MATCH($CG25,$B$6:$B$53,0),COLUMN()-COLUMN($CI$5)+1),""))</f>
        <v/>
      </c>
      <c r="CQ25" s="1753" t="str" cm="1">
        <f t="array" ref="CQ25">IF($CG25="","",IF(INDEX($D$6:$CB$53,MATCH($CG25,$B$6:$B$53,0),COLUMN()-COLUMN($CI$5)+1)&gt;0,INDEX($D$6:$CB$53,MATCH($CG25,$B$6:$B$53,0),COLUMN()-COLUMN($CI$5)+1),""))</f>
        <v/>
      </c>
      <c r="CR25" s="1753" t="str" cm="1">
        <f t="array" ref="CR25">IF($CG25="","",IF(INDEX($D$6:$CB$53,MATCH($CG25,$B$6:$B$53,0),COLUMN()-COLUMN($CI$5)+1)&gt;0,INDEX($D$6:$CB$53,MATCH($CG25,$B$6:$B$53,0),COLUMN()-COLUMN($CI$5)+1),""))</f>
        <v/>
      </c>
      <c r="CS25" s="1753" t="str">
        <f>IF($CG25="","",IF(INDEX($D$6:$CB$53,MATCH($CG25,$B$6:$B$53,0),COLUMN()-COLUMN($CI$5)+1)&gt;0,INDEX($D$6:$CB$53,MATCH($CG25,$B$6:$B$53,0),COLUMN()-COLUMN($CI$5)+1),""))</f>
        <v/>
      </c>
      <c r="CT25" s="1753" t="str" cm="1">
        <f t="array" ref="CT25">IF($CG25="","",IF(INDEX($D$6:$CB$53,MATCH($CG25,$B$6:$B$53,0),COLUMN()-COLUMN($CI$5)+1)&gt;0,INDEX($D$6:$CB$53,MATCH($CG25,$B$6:$B$53,0),COLUMN()-COLUMN($CI$5)+1),""))</f>
        <v/>
      </c>
      <c r="CU25" s="1753" t="str" cm="1">
        <f t="array" ref="CU25">IF($CG25="","",IF(INDEX($D$6:$CB$53,MATCH($CG25,$B$6:$B$53,0),COLUMN()-COLUMN($CI$5)+1)&gt;0,INDEX($D$6:$CB$53,MATCH($CG25,$B$6:$B$53,0),COLUMN()-COLUMN($CI$5)+1),""))</f>
        <v/>
      </c>
      <c r="CV25" s="1753" t="str" cm="1">
        <f t="array" ref="CV25">IF($CG25="","",IF(INDEX($D$6:$CB$53,MATCH($CG25,$B$6:$B$53,0),COLUMN()-COLUMN($CI$5)+1)&gt;0,INDEX($D$6:$CB$53,MATCH($CG25,$B$6:$B$53,0),COLUMN()-COLUMN($CI$5)+1),""))</f>
        <v/>
      </c>
      <c r="CW25" s="1753" t="str" cm="1">
        <f t="array" ref="CW25">IF($CG25="","",IF(INDEX($D$6:$CB$53,MATCH($CG25,$B$6:$B$53,0),COLUMN()-COLUMN($CI$5)+1)&gt;0,INDEX($D$6:$CB$53,MATCH($CG25,$B$6:$B$53,0),COLUMN()-COLUMN($CI$5)+1),""))</f>
        <v/>
      </c>
      <c r="CX25" s="1753" t="str" cm="1">
        <f t="array" ref="CX25">IF($CG25="","",IF(INDEX($D$6:$CB$53,MATCH($CG25,$B$6:$B$53,0),COLUMN()-COLUMN($CI$5)+1)&gt;0,INDEX($D$6:$CB$53,MATCH($CG25,$B$6:$B$53,0),COLUMN()-COLUMN($CI$5)+1),""))</f>
        <v/>
      </c>
      <c r="CY25" s="1753" t="str" cm="1">
        <f t="array" ref="CY25">IF($CG25="","",IF(INDEX($D$6:$CB$53,MATCH($CG25,$B$6:$B$53,0),COLUMN()-COLUMN($CI$5)+1)&gt;0,INDEX($D$6:$CB$53,MATCH($CG25,$B$6:$B$53,0),COLUMN()-COLUMN($CI$5)+1),""))</f>
        <v/>
      </c>
      <c r="CZ25" s="1753" t="str" cm="1">
        <f t="array" ref="CZ25">IF($CG25="","",IF(INDEX($D$6:$CB$53,MATCH($CG25,$B$6:$B$53,0),COLUMN()-COLUMN($CI$5)+1)&gt;0,INDEX($D$6:$CB$53,MATCH($CG25,$B$6:$B$53,0),COLUMN()-COLUMN($CI$5)+1),""))</f>
        <v/>
      </c>
      <c r="DA25" s="1753" t="str" cm="1">
        <f t="array" ref="DA25">IF($CG25="","",IF(INDEX($D$6:$CB$53,MATCH($CG25,$B$6:$B$53,0),COLUMN()-COLUMN($CI$5)+1)&gt;0,INDEX($D$6:$CB$53,MATCH($CG25,$B$6:$B$53,0),COLUMN()-COLUMN($CI$5)+1),""))</f>
        <v/>
      </c>
      <c r="DB25" s="1753" t="str" cm="1">
        <f t="array" ref="DB25">IF($CG25="","",IF(INDEX($D$6:$CB$53,MATCH($CG25,$B$6:$B$53,0),COLUMN()-COLUMN($CI$5)+1)&gt;0,INDEX($D$6:$CB$53,MATCH($CG25,$B$6:$B$53,0),COLUMN()-COLUMN($CI$5)+1),""))</f>
        <v/>
      </c>
      <c r="DC25" s="1753" t="str" cm="1">
        <f t="array" ref="DC25">IF($CG25="","",IF(INDEX($D$6:$CB$53,MATCH($CG25,$B$6:$B$53,0),COLUMN()-COLUMN($CI$5)+1)&gt;0,INDEX($D$6:$CB$53,MATCH($CG25,$B$6:$B$53,0),COLUMN()-COLUMN($CI$5)+1),""))</f>
        <v/>
      </c>
      <c r="DD25" s="1753" t="str" cm="1">
        <f t="array" ref="DD25">IF($CG25="","",IF(INDEX($D$6:$CB$53,MATCH($CG25,$B$6:$B$53,0),COLUMN()-COLUMN($CI$5)+1)&gt;0,INDEX($D$6:$CB$53,MATCH($CG25,$B$6:$B$53,0),COLUMN()-COLUMN($CI$5)+1),""))</f>
        <v/>
      </c>
      <c r="DE25" s="1753" t="str" cm="1">
        <f t="array" ref="DE25">IF($CG25="","",IF(INDEX($D$6:$CB$53,MATCH($CG25,$B$6:$B$53,0),COLUMN()-COLUMN($CI$5)+1)&gt;0,INDEX($D$6:$CB$53,MATCH($CG25,$B$6:$B$53,0),COLUMN()-COLUMN($CI$5)+1),""))</f>
        <v/>
      </c>
      <c r="DF25" s="1753" t="str" cm="1">
        <f t="array" ref="DF25">IF($CG25="","",IF(INDEX($D$6:$CB$53,MATCH($CG25,$B$6:$B$53,0),COLUMN()-COLUMN($CI$5)+1)&gt;0,INDEX($D$6:$CB$53,MATCH($CG25,$B$6:$B$53,0),COLUMN()-COLUMN($CI$5)+1),""))</f>
        <v/>
      </c>
      <c r="DG25" s="1753" t="str" cm="1">
        <f t="array" ref="DG25">IF($CG25="","",IF(INDEX($D$6:$CB$53,MATCH($CG25,$B$6:$B$53,0),COLUMN()-COLUMN($CI$5)+1)&gt;0,INDEX($D$6:$CB$53,MATCH($CG25,$B$6:$B$53,0),COLUMN()-COLUMN($CI$5)+1),""))</f>
        <v/>
      </c>
      <c r="DH25" s="1753" t="str" cm="1">
        <f t="array" ref="DH25">IF($CG25="","",IF(INDEX($D$6:$CB$53,MATCH($CG25,$B$6:$B$53,0),COLUMN()-COLUMN($CI$5)+1)&gt;0,INDEX($D$6:$CB$53,MATCH($CG25,$B$6:$B$53,0),COLUMN()-COLUMN($CI$5)+1),""))</f>
        <v/>
      </c>
      <c r="DI25" s="1753" t="str" cm="1">
        <f t="array" ref="DI25">IF($CG25="","",IF(INDEX($D$6:$CB$53,MATCH($CG25,$B$6:$B$53,0),COLUMN()-COLUMN($CI$5)+1)&gt;0,INDEX($D$6:$CB$53,MATCH($CG25,$B$6:$B$53,0),COLUMN()-COLUMN($CI$5)+1),""))</f>
        <v/>
      </c>
      <c r="DJ25" s="1753" t="str" cm="1">
        <f t="array" ref="DJ25">IF($CG25="","",IF(INDEX($D$6:$CB$53,MATCH($CG25,$B$6:$B$53,0),COLUMN()-COLUMN($CI$5)+1)&gt;0,INDEX($D$6:$CB$53,MATCH($CG25,$B$6:$B$53,0),COLUMN()-COLUMN($CI$5)+1),""))</f>
        <v/>
      </c>
      <c r="DK25" s="1753" t="str" cm="1">
        <f t="array" ref="DK25">IF($CG25="","",IF(INDEX($D$6:$CB$53,MATCH($CG25,$B$6:$B$53,0),COLUMN()-COLUMN($CI$5)+1)&gt;0,INDEX($D$6:$CB$53,MATCH($CG25,$B$6:$B$53,0),COLUMN()-COLUMN($CI$5)+1),""))</f>
        <v/>
      </c>
      <c r="DL25" s="1753" t="str" cm="1">
        <f t="array" ref="DL25">IF($CG25="","",IF(INDEX($D$6:$CB$53,MATCH($CG25,$B$6:$B$53,0),COLUMN()-COLUMN($CI$5)+1)&gt;0,INDEX($D$6:$CB$53,MATCH($CG25,$B$6:$B$53,0),COLUMN()-COLUMN($CI$5)+1),""))</f>
        <v/>
      </c>
      <c r="DM25" s="1753" t="str" cm="1">
        <f t="array" ref="DM25">IF($CG25="","",IF(INDEX($D$6:$CB$53,MATCH($CG25,$B$6:$B$53,0),COLUMN()-COLUMN($CI$5)+1)&gt;0,INDEX($D$6:$CB$53,MATCH($CG25,$B$6:$B$53,0),COLUMN()-COLUMN($CI$5)+1),""))</f>
        <v/>
      </c>
      <c r="DN25" s="1753" t="str" cm="1">
        <f t="array" ref="DN25">IF($CG25="","",IF(INDEX($D$6:$CB$53,MATCH($CG25,$B$6:$B$53,0),COLUMN()-COLUMN($CI$5)+1)&gt;0,INDEX($D$6:$CB$53,MATCH($CG25,$B$6:$B$53,0),COLUMN()-COLUMN($CI$5)+1),""))</f>
        <v/>
      </c>
      <c r="DO25" s="1753" t="str" cm="1">
        <f t="array" ref="DO25">IF($CG25="","",IF(INDEX($D$6:$CB$53,MATCH($CG25,$B$6:$B$53,0),COLUMN()-COLUMN($CI$5)+1)&gt;0,INDEX($D$6:$CB$53,MATCH($CG25,$B$6:$B$53,0),COLUMN()-COLUMN($CI$5)+1),""))</f>
        <v/>
      </c>
      <c r="DP25" s="1753" t="str" cm="1">
        <f t="array" ref="DP25">IF($CG25="","",IF(INDEX($D$6:$CB$53,MATCH($CG25,$B$6:$B$53,0),COLUMN()-COLUMN($CI$5)+1)&gt;0,INDEX($D$6:$CB$53,MATCH($CG25,$B$6:$B$53,0),COLUMN()-COLUMN($CI$5)+1),""))</f>
        <v/>
      </c>
      <c r="DQ25" s="1753" t="str" cm="1">
        <f t="array" ref="DQ25">IF($CG25="","",IF(INDEX($D$6:$CB$53,MATCH($CG25,$B$6:$B$53,0),COLUMN()-COLUMN($CI$5)+1)&gt;0,INDEX($D$6:$CB$53,MATCH($CG25,$B$6:$B$53,0),COLUMN()-COLUMN($CI$5)+1),""))</f>
        <v/>
      </c>
      <c r="DR25" s="1753" t="str" cm="1">
        <f t="array" ref="DR25">IF($CG25="","",IF(INDEX($D$6:$CB$53,MATCH($CG25,$B$6:$B$53,0),COLUMN()-COLUMN($CI$5)+1)&gt;0,INDEX($D$6:$CB$53,MATCH($CG25,$B$6:$B$53,0),COLUMN()-COLUMN($CI$5)+1),""))</f>
        <v/>
      </c>
      <c r="DS25" s="1753" t="str">
        <f>IF($CG25="","",IF(INDEX($D$6:$CB$53,MATCH($CG25,$B$6:$B$53,0),COLUMN()-COLUMN($CI$5)+1)&gt;0,INDEX($D$6:$CB$53,MATCH($CG25,$B$6:$B$53,0),COLUMN()-COLUMN($CI$5)+1),""))</f>
        <v/>
      </c>
      <c r="DT25" s="1753" t="str" cm="1">
        <f t="array" ref="DT25">IF($CG25="","",IF(INDEX($D$6:$CB$53,MATCH($CG25,$B$6:$B$53,0),COLUMN()-COLUMN($CI$5)+1)&gt;0,INDEX($D$6:$CB$53,MATCH($CG25,$B$6:$B$53,0),COLUMN()-COLUMN($CI$5)+1),""))</f>
        <v/>
      </c>
      <c r="DU25" s="1753" t="str" cm="1">
        <f t="array" ref="DU25">IF($CG25="","",IF(INDEX($D$6:$CB$53,MATCH($CG25,$B$6:$B$53,0),COLUMN()-COLUMN($CI$5)+1)&gt;0,INDEX($D$6:$CB$53,MATCH($CG25,$B$6:$B$53,0),COLUMN()-COLUMN($CI$5)+1),""))</f>
        <v/>
      </c>
      <c r="DV25" s="1753" t="str" cm="1">
        <f t="array" ref="DV25">IF($CG25="","",IF(INDEX($D$6:$CB$53,MATCH($CG25,$B$6:$B$53,0),COLUMN()-COLUMN($CI$5)+1)&gt;0,INDEX($D$6:$CB$53,MATCH($CG25,$B$6:$B$53,0),COLUMN()-COLUMN($CI$5)+1),""))</f>
        <v/>
      </c>
      <c r="DW25" s="1753" t="str" cm="1">
        <f t="array" ref="DW25">IF($CG25="","",IF(INDEX($D$6:$CB$53,MATCH($CG25,$B$6:$B$53,0),COLUMN()-COLUMN($CI$5)+1)&gt;0,INDEX($D$6:$CB$53,MATCH($CG25,$B$6:$B$53,0),COLUMN()-COLUMN($CI$5)+1),""))</f>
        <v/>
      </c>
      <c r="DX25" s="1753" t="str" cm="1">
        <f t="array" ref="DX25">IF($CG25="","",IF(INDEX($D$6:$CB$53,MATCH($CG25,$B$6:$B$53,0),COLUMN()-COLUMN($CI$5)+1)&gt;0,INDEX($D$6:$CB$53,MATCH($CG25,$B$6:$B$53,0),COLUMN()-COLUMN($CI$5)+1),""))</f>
        <v/>
      </c>
      <c r="DY25" s="1753" t="str" cm="1">
        <f t="array" ref="DY25">IF($CG25="","",IF(INDEX($D$6:$CB$53,MATCH($CG25,$B$6:$B$53,0),COLUMN()-COLUMN($CI$5)+1)&gt;0,INDEX($D$6:$CB$53,MATCH($CG25,$B$6:$B$53,0),COLUMN()-COLUMN($CI$5)+1),""))</f>
        <v/>
      </c>
      <c r="DZ25" s="1753" t="str" cm="1">
        <f t="array" ref="DZ25">IF($CG25="","",IF(INDEX($D$6:$CB$53,MATCH($CG25,$B$6:$B$53,0),COLUMN()-COLUMN($CI$5)+1)&gt;0,INDEX($D$6:$CB$53,MATCH($CG25,$B$6:$B$53,0),COLUMN()-COLUMN($CI$5)+1),""))</f>
        <v/>
      </c>
      <c r="EA25" s="1753" t="str" cm="1">
        <f t="array" ref="EA25">IF($CG25="","",IF(INDEX($D$6:$CB$53,MATCH($CG25,$B$6:$B$53,0),COLUMN()-COLUMN($CI$5)+1)&gt;0,INDEX($D$6:$CB$53,MATCH($CG25,$B$6:$B$53,0),COLUMN()-COLUMN($CI$5)+1),""))</f>
        <v/>
      </c>
      <c r="EB25" s="1753" t="str" cm="1">
        <f t="array" ref="EB25">IF($CG25="","",IF(INDEX($D$6:$CB$53,MATCH($CG25,$B$6:$B$53,0),COLUMN()-COLUMN($CI$5)+1)&gt;0,INDEX($D$6:$CB$53,MATCH($CG25,$B$6:$B$53,0),COLUMN()-COLUMN($CI$5)+1),""))</f>
        <v/>
      </c>
      <c r="EC25" s="1753" t="str" cm="1">
        <f t="array" ref="EC25">IF($CG25="","",IF(INDEX($D$6:$CB$53,MATCH($CG25,$B$6:$B$53,0),COLUMN()-COLUMN($CI$5)+1)&gt;0,INDEX($D$6:$CB$53,MATCH($CG25,$B$6:$B$53,0),COLUMN()-COLUMN($CI$5)+1),""))</f>
        <v/>
      </c>
      <c r="ED25" s="1753" t="str" cm="1">
        <f t="array" ref="ED25">IF($CG25="","",IF(INDEX($D$6:$CB$53,MATCH($CG25,$B$6:$B$53,0),COLUMN()-COLUMN($CI$5)+1)&gt;0,INDEX($D$6:$CB$53,MATCH($CG25,$B$6:$B$53,0),COLUMN()-COLUMN($CI$5)+1),""))</f>
        <v/>
      </c>
      <c r="EE25" s="1753" t="str" cm="1">
        <f t="array" ref="EE25">IF($CG25="","",IF(INDEX($D$6:$CB$53,MATCH($CG25,$B$6:$B$53,0),COLUMN()-COLUMN($CI$5)+1)&gt;0,INDEX($D$6:$CB$53,MATCH($CG25,$B$6:$B$53,0),COLUMN()-COLUMN($CI$5)+1),""))</f>
        <v/>
      </c>
      <c r="EF25" s="1753" t="str" cm="1">
        <f t="array" ref="EF25">IF($CG25="","",IF(INDEX($D$6:$CB$53,MATCH($CG25,$B$6:$B$53,0),COLUMN()-COLUMN($CI$5)+1)&gt;0,INDEX($D$6:$CB$53,MATCH($CG25,$B$6:$B$53,0),COLUMN()-COLUMN($CI$5)+1),""))</f>
        <v/>
      </c>
      <c r="EG25" s="1753" t="str" cm="1">
        <f t="array" ref="EG25">IF($CG25="","",IF(INDEX($D$6:$CB$53,MATCH($CG25,$B$6:$B$53,0),COLUMN()-COLUMN($CI$5)+1)&gt;0,INDEX($D$6:$CB$53,MATCH($CG25,$B$6:$B$53,0),COLUMN()-COLUMN($CI$5)+1),""))</f>
        <v/>
      </c>
      <c r="EH25" s="1753" t="str" cm="1">
        <f t="array" ref="EH25">IF($CG25="","",IF(INDEX($D$6:$CB$53,MATCH($CG25,$B$6:$B$53,0),COLUMN()-COLUMN($CI$5)+1)&gt;0,INDEX($D$6:$CB$53,MATCH($CG25,$B$6:$B$53,0),COLUMN()-COLUMN($CI$5)+1),""))</f>
        <v/>
      </c>
      <c r="EI25" s="1753" t="str" cm="1">
        <f t="array" ref="EI25">IF($CG25="","",IF(INDEX($D$6:$CB$53,MATCH($CG25,$B$6:$B$53,0),COLUMN()-COLUMN($CI$5)+1)&gt;0,INDEX($D$6:$CB$53,MATCH($CG25,$B$6:$B$53,0),COLUMN()-COLUMN($CI$5)+1),""))</f>
        <v/>
      </c>
      <c r="EJ25" s="1753" t="str" cm="1">
        <f t="array" ref="EJ25">IF($CG25="","",IF(INDEX($D$6:$CB$53,MATCH($CG25,$B$6:$B$53,0),COLUMN()-COLUMN($CI$5)+1)&gt;0,INDEX($D$6:$CB$53,MATCH($CG25,$B$6:$B$53,0),COLUMN()-COLUMN($CI$5)+1),""))</f>
        <v/>
      </c>
      <c r="EK25" s="1753" t="str" cm="1">
        <f t="array" ref="EK25">IF($CG25="","",IF(INDEX($D$6:$CB$53,MATCH($CG25,$B$6:$B$53,0),COLUMN()-COLUMN($CI$5)+1)&gt;0,INDEX($D$6:$CB$53,MATCH($CG25,$B$6:$B$53,0),COLUMN()-COLUMN($CI$5)+1),""))</f>
        <v/>
      </c>
      <c r="EL25" s="1753" t="str" cm="1">
        <f t="array" ref="EL25">IF($CG25="","",IF(INDEX($D$6:$CB$53,MATCH($CG25,$B$6:$B$53,0),COLUMN()-COLUMN($CI$5)+1)&gt;0,INDEX($D$6:$CB$53,MATCH($CG25,$B$6:$B$53,0),COLUMN()-COLUMN($CI$5)+1),""))</f>
        <v/>
      </c>
      <c r="EM25" s="1753" t="str" cm="1">
        <f t="array" ref="EM25">IF($CG25="","",IF(INDEX($D$6:$CB$53,MATCH($CG25,$B$6:$B$53,0),COLUMN()-COLUMN($CI$5)+1)&gt;0,INDEX($D$6:$CB$53,MATCH($CG25,$B$6:$B$53,0),COLUMN()-COLUMN($CI$5)+1),""))</f>
        <v/>
      </c>
      <c r="EN25" s="1753" t="str" cm="1">
        <f t="array" ref="EN25">IF($CG25="","",IF(INDEX($D$6:$CB$53,MATCH($CG25,$B$6:$B$53,0),COLUMN()-COLUMN($CI$5)+1)&gt;0,INDEX($D$6:$CB$53,MATCH($CG25,$B$6:$B$53,0),COLUMN()-COLUMN($CI$5)+1),""))</f>
        <v/>
      </c>
      <c r="EO25" s="1753" t="str" cm="1">
        <f t="array" ref="EO25">IF($CG25="","",IF(INDEX($D$6:$CB$53,MATCH($CG25,$B$6:$B$53,0),COLUMN()-COLUMN($CI$5)+1)&gt;0,INDEX($D$6:$CB$53,MATCH($CG25,$B$6:$B$53,0),COLUMN()-COLUMN($CI$5)+1),""))</f>
        <v/>
      </c>
      <c r="EP25" s="1753" t="str" cm="1">
        <f t="array" ref="EP25">IF($CG25="","",IF(INDEX($D$6:$CB$53,MATCH($CG25,$B$6:$B$53,0),COLUMN()-COLUMN($CI$5)+1)&gt;0,INDEX($D$6:$CB$53,MATCH($CG25,$B$6:$B$53,0),COLUMN()-COLUMN($CI$5)+1),""))</f>
        <v/>
      </c>
      <c r="EQ25" s="1753" t="str" cm="1">
        <f t="array" ref="EQ25">IF($CG25="","",IF(INDEX($D$6:$CB$53,MATCH($CG25,$B$6:$B$53,0),COLUMN()-COLUMN($CI$5)+1)&gt;0,INDEX($D$6:$CB$53,MATCH($CG25,$B$6:$B$53,0),COLUMN()-COLUMN($CI$5)+1),""))</f>
        <v/>
      </c>
      <c r="ER25" s="1753" t="str" cm="1">
        <f t="array" ref="ER25">IF($CG25="","",IF(INDEX($D$6:$CB$53,MATCH($CG25,$B$6:$B$53,0),COLUMN()-COLUMN($CI$5)+1)&gt;0,INDEX($D$6:$CB$53,MATCH($CG25,$B$6:$B$53,0),COLUMN()-COLUMN($CI$5)+1),""))</f>
        <v/>
      </c>
      <c r="ES25" s="1753" t="str" cm="1">
        <f t="array" ref="ES25">IF($CG25="","",IF(INDEX($D$6:$CB$53,MATCH($CG25,$B$6:$B$53,0),COLUMN()-COLUMN($CI$5)+1)&gt;0,INDEX($D$6:$CB$53,MATCH($CG25,$B$6:$B$53,0),COLUMN()-COLUMN($CI$5)+1),""))</f>
        <v/>
      </c>
      <c r="ET25" s="1753" t="str" cm="1">
        <f t="array" ref="ET25">IF($CG25="","",IF(INDEX($D$6:$CB$53,MATCH($CG25,$B$6:$B$53,0),COLUMN()-COLUMN($CI$5)+1)&gt;0,INDEX($D$6:$CB$53,MATCH($CG25,$B$6:$B$53,0),COLUMN()-COLUMN($CI$5)+1),""))</f>
        <v/>
      </c>
      <c r="EU25" s="1753" t="str" cm="1">
        <f t="array" ref="EU25">IF($CG25="","",IF(INDEX($D$6:$CB$53,MATCH($CG25,$B$6:$B$53,0),COLUMN()-COLUMN($CI$5)+1)&gt;0,INDEX($D$6:$CB$53,MATCH($CG25,$B$6:$B$53,0),COLUMN()-COLUMN($CI$5)+1),""))</f>
        <v/>
      </c>
      <c r="EV25" s="1753" t="str" cm="1">
        <f t="array" ref="EV25">IF($CG25="","",IF(INDEX($D$6:$CB$53,MATCH($CG25,$B$6:$B$53,0),COLUMN()-COLUMN($CI$5)+1)&gt;0,INDEX($D$6:$CB$53,MATCH($CG25,$B$6:$B$53,0),COLUMN()-COLUMN($CI$5)+1),""))</f>
        <v/>
      </c>
      <c r="EW25" s="1753" t="str" cm="1">
        <f t="array" ref="EW25">IF($CG25="","",IF(INDEX($D$6:$CB$53,MATCH($CG25,$B$6:$B$53,0),COLUMN()-COLUMN($CI$5)+1)&gt;0,INDEX($D$6:$CB$53,MATCH($CG25,$B$6:$B$53,0),COLUMN()-COLUMN($CI$5)+1),""))</f>
        <v/>
      </c>
      <c r="EX25" s="1753" t="str" cm="1">
        <f t="array" ref="EX25">IF($CG25="","",IF(INDEX($D$6:$CB$53,MATCH($CG25,$B$6:$B$53,0),COLUMN()-COLUMN($CI$5)+1)&gt;0,INDEX($D$6:$CB$53,MATCH($CG25,$B$6:$B$53,0),COLUMN()-COLUMN($CI$5)+1),""))</f>
        <v/>
      </c>
      <c r="EY25" s="1753" t="str" cm="1">
        <f t="array" ref="EY25">IF($CG25="","",IF(INDEX($D$6:$CB$53,MATCH($CG25,$B$6:$B$53,0),COLUMN()-COLUMN($CI$5)+1)&gt;0,INDEX($D$6:$CB$53,MATCH($CG25,$B$6:$B$53,0),COLUMN()-COLUMN($CI$5)+1),""))</f>
        <v/>
      </c>
      <c r="EZ25" s="1753" t="str" cm="1">
        <f t="array" ref="EZ25">IF($CG25="","",IF(INDEX($D$6:$CB$53,MATCH($CG25,$B$6:$B$53,0),COLUMN()-COLUMN($CI$5)+1)&gt;0,INDEX($D$6:$CB$53,MATCH($CG25,$B$6:$B$53,0),COLUMN()-COLUMN($CI$5)+1),""))</f>
        <v/>
      </c>
      <c r="FA25" s="1753" t="str" cm="1">
        <f t="array" ref="FA25">IF($CG25="","",IF(INDEX($D$6:$CB$53,MATCH($CG25,$B$6:$B$53,0),COLUMN()-COLUMN($CI$5)+1)&gt;0,INDEX($D$6:$CB$53,MATCH($CG25,$B$6:$B$53,0),COLUMN()-COLUMN($CI$5)+1),""))</f>
        <v/>
      </c>
      <c r="FB25" s="1753" t="str" cm="1">
        <f t="array" ref="FB25">IF($CG25="","",IF(INDEX($D$6:$CB$53,MATCH($CG25,$B$6:$B$53,0),COLUMN()-COLUMN($CI$5)+1)&gt;0,INDEX($D$6:$CB$53,MATCH($CG25,$B$6:$B$53,0),COLUMN()-COLUMN($CI$5)+1),""))</f>
        <v/>
      </c>
      <c r="FC25" s="1753" t="str" cm="1">
        <f t="array" ref="FC25">IF($CG25="","",IF(INDEX($D$6:$CB$53,MATCH($CG25,$B$6:$B$53,0),COLUMN()-COLUMN($CI$5)+1)&gt;0,INDEX($D$6:$CB$53,MATCH($CG25,$B$6:$B$53,0),COLUMN()-COLUMN($CI$5)+1),""))</f>
        <v/>
      </c>
      <c r="FD25" s="1753" t="str" cm="1">
        <f t="array" ref="FD25">IF($CG25="","",IF(INDEX($D$6:$CB$53,MATCH($CG25,$B$6:$B$53,0),COLUMN()-COLUMN($CI$5)+1)&gt;0,INDEX($D$6:$CB$53,MATCH($CG25,$B$6:$B$53,0),COLUMN()-COLUMN($CI$5)+1),""))</f>
        <v/>
      </c>
      <c r="FE25" s="1753" t="str" cm="1">
        <f t="array" ref="FE25">IF($CG25="","",IF(INDEX($D$6:$CB$53,MATCH($CG25,$B$6:$B$53,0),COLUMN()-COLUMN($CI$5)+1)&gt;0,INDEX($D$6:$CB$53,MATCH($CG25,$B$6:$B$53,0),COLUMN()-COLUMN($CI$5)+1),""))</f>
        <v/>
      </c>
      <c r="FF25" s="1753" t="str" cm="1">
        <f t="array" ref="FF25">IF($CG25="","",IF(INDEX($D$6:$CB$53,MATCH($CG25,$B$6:$B$53,0),COLUMN()-COLUMN($CI$5)+1)&gt;0,INDEX($D$6:$CB$53,MATCH($CG25,$B$6:$B$53,0),COLUMN()-COLUMN($CI$5)+1),""))</f>
        <v/>
      </c>
      <c r="FG25" s="1758" t="str" cm="1">
        <f t="array" ref="FG25">IF($CG25="","",IF(INDEX($D$6:$CB$53,MATCH($CG25,$B$6:$B$53,0),COLUMN()-COLUMN($CI$5)+1)&gt;0,INDEX($D$6:$CB$53,MATCH($CG25,$B$6:$B$53,0),COLUMN()-COLUMN($CI$5)+1),""))</f>
        <v/>
      </c>
      <c r="FH25" s="1764" t="str">
        <f t="shared" si="4"/>
        <v/>
      </c>
      <c r="FI25" s="1756" t="str">
        <f t="shared" si="5"/>
        <v/>
      </c>
      <c r="FJ25" s="1767" t="str">
        <f t="shared" si="6"/>
        <v/>
      </c>
      <c r="FK25" s="1760"/>
    </row>
    <row r="26" spans="1:167" ht="15.75" customHeight="1">
      <c r="A26" s="1220"/>
      <c r="B26" s="1278">
        <f>+PP!B44</f>
        <v>21</v>
      </c>
      <c r="C26" s="1279" t="str">
        <f>+PP!C44</f>
        <v>MANTO BLANCO C/M C/T 1.0-2.0 kg/pza</v>
      </c>
      <c r="D26" s="1404"/>
      <c r="E26" s="1405"/>
      <c r="F26" s="1405"/>
      <c r="G26" s="1405"/>
      <c r="H26" s="1405"/>
      <c r="I26" s="1405"/>
      <c r="J26" s="1405"/>
      <c r="K26" s="1405"/>
      <c r="L26" s="1405"/>
      <c r="M26" s="1405"/>
      <c r="N26" s="1405"/>
      <c r="O26" s="1405"/>
      <c r="P26" s="1405"/>
      <c r="Q26" s="1405"/>
      <c r="R26" s="1405"/>
      <c r="S26" s="1405"/>
      <c r="T26" s="1405"/>
      <c r="U26" s="1405"/>
      <c r="V26" s="1405"/>
      <c r="W26" s="1405"/>
      <c r="X26" s="1405"/>
      <c r="Y26" s="1405"/>
      <c r="Z26" s="1405"/>
      <c r="AA26" s="1405"/>
      <c r="AB26" s="1405"/>
      <c r="AC26" s="1405"/>
      <c r="AD26" s="1405"/>
      <c r="AE26" s="1405"/>
      <c r="AF26" s="1405"/>
      <c r="AG26" s="1405"/>
      <c r="AH26" s="1406"/>
      <c r="AI26" s="1235"/>
      <c r="AJ26" s="1235"/>
      <c r="AK26" s="1235"/>
      <c r="AL26" s="1235"/>
      <c r="AM26" s="1235"/>
      <c r="AN26" s="1235"/>
      <c r="AO26" s="1235"/>
      <c r="AP26" s="1218"/>
      <c r="AQ26" s="1218"/>
      <c r="AR26" s="1218"/>
      <c r="AS26" s="1218"/>
      <c r="AT26" s="1218"/>
      <c r="AU26" s="1218"/>
      <c r="AV26" s="1218"/>
      <c r="AW26" s="1218"/>
      <c r="AX26" s="1218"/>
      <c r="AY26" s="1218"/>
      <c r="AZ26" s="1218"/>
      <c r="BA26" s="1218"/>
      <c r="BB26" s="1218"/>
      <c r="BC26" s="1218"/>
      <c r="BD26" s="1218"/>
      <c r="BE26" s="1218"/>
      <c r="BF26" s="1218"/>
      <c r="BG26" s="1218"/>
      <c r="BH26" s="1218"/>
      <c r="BI26" s="1218"/>
      <c r="BJ26" s="1218"/>
      <c r="BK26" s="1218"/>
      <c r="BL26" s="1218"/>
      <c r="BM26" s="1218"/>
      <c r="BN26" s="1218"/>
      <c r="BO26" s="1218"/>
      <c r="BP26" s="1218"/>
      <c r="BQ26" s="1218"/>
      <c r="BR26" s="1557"/>
      <c r="BS26" s="1557"/>
      <c r="BT26" s="1557"/>
      <c r="BU26" s="1557"/>
      <c r="BV26" s="1557"/>
      <c r="BW26" s="1557"/>
      <c r="BX26" s="1557"/>
      <c r="BY26" s="1557"/>
      <c r="BZ26" s="1557"/>
      <c r="CA26" s="1557"/>
      <c r="CB26" s="1564"/>
      <c r="CC26" s="1550">
        <f t="shared" si="0"/>
        <v>0</v>
      </c>
      <c r="CD26" s="1236">
        <f t="shared" si="1"/>
        <v>0</v>
      </c>
      <c r="CE26" s="1237">
        <f t="shared" si="2"/>
        <v>0</v>
      </c>
      <c r="CF26" s="1220"/>
      <c r="CG26" s="1751" t="str" cm="1">
        <f t="array" ref="CG26">IFERROR(INDEX($B$6:$B$53,_xlfn.AGGREGATE(15,6,(ROW($B$6:$B$53)-ROW($B$6)+1)/(MMULT(--($D$6:$CB$53&gt;0),TRANSPOSE(COLUMN($D$6:$CB$6)^0))&gt;0),ROWS($CG$6:CG26))),"")</f>
        <v/>
      </c>
      <c r="CH26" s="1752" t="str">
        <f t="shared" si="3"/>
        <v/>
      </c>
      <c r="CI26" s="1753" t="str" cm="1">
        <f t="array" ref="CI26">IF($CG26="","",IF(INDEX($D$6:$CB$53,MATCH($CG26,$B$6:$B$53,0),COLUMN()-COLUMN($CI$5)+1)&gt;0,INDEX($D$6:$CB$53,MATCH($CG26,$B$6:$B$53,0),COLUMN()-COLUMN($CI$5)+1),""))</f>
        <v/>
      </c>
      <c r="CJ26" s="1753" t="str" cm="1">
        <f t="array" ref="CJ26">IF($CG26="","",IF(INDEX($D$6:$CB$53,MATCH($CG26,$B$6:$B$53,0),COLUMN()-COLUMN($CI$5)+1)&gt;0,INDEX($D$6:$CB$53,MATCH($CG26,$B$6:$B$53,0),COLUMN()-COLUMN($CI$5)+1),""))</f>
        <v/>
      </c>
      <c r="CK26" s="1753" t="str" cm="1">
        <f t="array" ref="CK26">IF($CG26="","",IF(INDEX($D$6:$CB$53,MATCH($CG26,$B$6:$B$53,0),COLUMN()-COLUMN($CI$5)+1)&gt;0,INDEX($D$6:$CB$53,MATCH($CG26,$B$6:$B$53,0),COLUMN()-COLUMN($CI$5)+1),""))</f>
        <v/>
      </c>
      <c r="CL26" s="1753" t="str" cm="1">
        <f t="array" ref="CL26">IF($CG26="","",IF(INDEX($D$6:$CB$53,MATCH($CG26,$B$6:$B$53,0),COLUMN()-COLUMN($CI$5)+1)&gt;0,INDEX($D$6:$CB$53,MATCH($CG26,$B$6:$B$53,0),COLUMN()-COLUMN($CI$5)+1),""))</f>
        <v/>
      </c>
      <c r="CM26" s="1753" t="str" cm="1">
        <f t="array" ref="CM26">IF($CG26="","",IF(INDEX($D$6:$CB$53,MATCH($CG26,$B$6:$B$53,0),COLUMN()-COLUMN($CI$5)+1)&gt;0,INDEX($D$6:$CB$53,MATCH($CG26,$B$6:$B$53,0),COLUMN()-COLUMN($CI$5)+1),""))</f>
        <v/>
      </c>
      <c r="CN26" s="1753" t="str" cm="1">
        <f t="array" ref="CN26">IF($CG26="","",IF(INDEX($D$6:$CB$53,MATCH($CG26,$B$6:$B$53,0),COLUMN()-COLUMN($CI$5)+1)&gt;0,INDEX($D$6:$CB$53,MATCH($CG26,$B$6:$B$53,0),COLUMN()-COLUMN($CI$5)+1),""))</f>
        <v/>
      </c>
      <c r="CO26" s="1753" t="str" cm="1">
        <f t="array" ref="CO26">IF($CG26="","",IF(INDEX($D$6:$CB$53,MATCH($CG26,$B$6:$B$53,0),COLUMN()-COLUMN($CI$5)+1)&gt;0,INDEX($D$6:$CB$53,MATCH($CG26,$B$6:$B$53,0),COLUMN()-COLUMN($CI$5)+1),""))</f>
        <v/>
      </c>
      <c r="CP26" s="1753" t="str" cm="1">
        <f t="array" ref="CP26">IF($CG26="","",IF(INDEX($D$6:$CB$53,MATCH($CG26,$B$6:$B$53,0),COLUMN()-COLUMN($CI$5)+1)&gt;0,INDEX($D$6:$CB$53,MATCH($CG26,$B$6:$B$53,0),COLUMN()-COLUMN($CI$5)+1),""))</f>
        <v/>
      </c>
      <c r="CQ26" s="1753" t="str" cm="1">
        <f t="array" ref="CQ26">IF($CG26="","",IF(INDEX($D$6:$CB$53,MATCH($CG26,$B$6:$B$53,0),COLUMN()-COLUMN($CI$5)+1)&gt;0,INDEX($D$6:$CB$53,MATCH($CG26,$B$6:$B$53,0),COLUMN()-COLUMN($CI$5)+1),""))</f>
        <v/>
      </c>
      <c r="CR26" s="1753" t="str">
        <f>IF($CG26="","",IF(INDEX($D$6:$CB$53,MATCH($CG26,$B$6:$B$53,0),COLUMN()-COLUMN($CI$5)+1)&gt;0,INDEX($D$6:$CB$53,MATCH($CG26,$B$6:$B$53,0),COLUMN()-COLUMN($CI$5)+1),""))</f>
        <v/>
      </c>
      <c r="CS26" s="1753" t="str" cm="1">
        <f t="array" ref="CS26">IF($CG26="","",IF(INDEX($D$6:$CB$53,MATCH($CG26,$B$6:$B$53,0),COLUMN()-COLUMN($CI$5)+1)&gt;0,INDEX($D$6:$CB$53,MATCH($CG26,$B$6:$B$53,0),COLUMN()-COLUMN($CI$5)+1),""))</f>
        <v/>
      </c>
      <c r="CT26" s="1753" t="str" cm="1">
        <f t="array" ref="CT26">IF($CG26="","",IF(INDEX($D$6:$CB$53,MATCH($CG26,$B$6:$B$53,0),COLUMN()-COLUMN($CI$5)+1)&gt;0,INDEX($D$6:$CB$53,MATCH($CG26,$B$6:$B$53,0),COLUMN()-COLUMN($CI$5)+1),""))</f>
        <v/>
      </c>
      <c r="CU26" s="1753" t="str" cm="1">
        <f t="array" ref="CU26">IF($CG26="","",IF(INDEX($D$6:$CB$53,MATCH($CG26,$B$6:$B$53,0),COLUMN()-COLUMN($CI$5)+1)&gt;0,INDEX($D$6:$CB$53,MATCH($CG26,$B$6:$B$53,0),COLUMN()-COLUMN($CI$5)+1),""))</f>
        <v/>
      </c>
      <c r="CV26" s="1753" t="str" cm="1">
        <f t="array" ref="CV26">IF($CG26="","",IF(INDEX($D$6:$CB$53,MATCH($CG26,$B$6:$B$53,0),COLUMN()-COLUMN($CI$5)+1)&gt;0,INDEX($D$6:$CB$53,MATCH($CG26,$B$6:$B$53,0),COLUMN()-COLUMN($CI$5)+1),""))</f>
        <v/>
      </c>
      <c r="CW26" s="1753" t="str" cm="1">
        <f t="array" ref="CW26">IF($CG26="","",IF(INDEX($D$6:$CB$53,MATCH($CG26,$B$6:$B$53,0),COLUMN()-COLUMN($CI$5)+1)&gt;0,INDEX($D$6:$CB$53,MATCH($CG26,$B$6:$B$53,0),COLUMN()-COLUMN($CI$5)+1),""))</f>
        <v/>
      </c>
      <c r="CX26" s="1753" t="str" cm="1">
        <f t="array" ref="CX26">IF($CG26="","",IF(INDEX($D$6:$CB$53,MATCH($CG26,$B$6:$B$53,0),COLUMN()-COLUMN($CI$5)+1)&gt;0,INDEX($D$6:$CB$53,MATCH($CG26,$B$6:$B$53,0),COLUMN()-COLUMN($CI$5)+1),""))</f>
        <v/>
      </c>
      <c r="CY26" s="1753" t="str" cm="1">
        <f t="array" ref="CY26">IF($CG26="","",IF(INDEX($D$6:$CB$53,MATCH($CG26,$B$6:$B$53,0),COLUMN()-COLUMN($CI$5)+1)&gt;0,INDEX($D$6:$CB$53,MATCH($CG26,$B$6:$B$53,0),COLUMN()-COLUMN($CI$5)+1),""))</f>
        <v/>
      </c>
      <c r="CZ26" s="1753" t="str" cm="1">
        <f t="array" ref="CZ26">IF($CG26="","",IF(INDEX($D$6:$CB$53,MATCH($CG26,$B$6:$B$53,0),COLUMN()-COLUMN($CI$5)+1)&gt;0,INDEX($D$6:$CB$53,MATCH($CG26,$B$6:$B$53,0),COLUMN()-COLUMN($CI$5)+1),""))</f>
        <v/>
      </c>
      <c r="DA26" s="1753" t="str" cm="1">
        <f t="array" ref="DA26">IF($CG26="","",IF(INDEX($D$6:$CB$53,MATCH($CG26,$B$6:$B$53,0),COLUMN()-COLUMN($CI$5)+1)&gt;0,INDEX($D$6:$CB$53,MATCH($CG26,$B$6:$B$53,0),COLUMN()-COLUMN($CI$5)+1),""))</f>
        <v/>
      </c>
      <c r="DB26" s="1753" t="str" cm="1">
        <f t="array" ref="DB26">IF($CG26="","",IF(INDEX($D$6:$CB$53,MATCH($CG26,$B$6:$B$53,0),COLUMN()-COLUMN($CI$5)+1)&gt;0,INDEX($D$6:$CB$53,MATCH($CG26,$B$6:$B$53,0),COLUMN()-COLUMN($CI$5)+1),""))</f>
        <v/>
      </c>
      <c r="DC26" s="1753" t="str" cm="1">
        <f t="array" ref="DC26">IF($CG26="","",IF(INDEX($D$6:$CB$53,MATCH($CG26,$B$6:$B$53,0),COLUMN()-COLUMN($CI$5)+1)&gt;0,INDEX($D$6:$CB$53,MATCH($CG26,$B$6:$B$53,0),COLUMN()-COLUMN($CI$5)+1),""))</f>
        <v/>
      </c>
      <c r="DD26" s="1753" t="str" cm="1">
        <f t="array" ref="DD26">IF($CG26="","",IF(INDEX($D$6:$CB$53,MATCH($CG26,$B$6:$B$53,0),COLUMN()-COLUMN($CI$5)+1)&gt;0,INDEX($D$6:$CB$53,MATCH($CG26,$B$6:$B$53,0),COLUMN()-COLUMN($CI$5)+1),""))</f>
        <v/>
      </c>
      <c r="DE26" s="1753" t="str" cm="1">
        <f t="array" ref="DE26">IF($CG26="","",IF(INDEX($D$6:$CB$53,MATCH($CG26,$B$6:$B$53,0),COLUMN()-COLUMN($CI$5)+1)&gt;0,INDEX($D$6:$CB$53,MATCH($CG26,$B$6:$B$53,0),COLUMN()-COLUMN($CI$5)+1),""))</f>
        <v/>
      </c>
      <c r="DF26" s="1753" t="str">
        <f>IF($CG26="","",IF(INDEX($D$6:$CB$53,MATCH($CG26,$B$6:$B$53,0),COLUMN()-COLUMN($CI$5)+1)&gt;0,INDEX($D$6:$CB$53,MATCH($CG26,$B$6:$B$53,0),COLUMN()-COLUMN($CI$5)+1),""))</f>
        <v/>
      </c>
      <c r="DG26" s="1753" t="str" cm="1">
        <f t="array" ref="DG26">IF($CG26="","",IF(INDEX($D$6:$CB$53,MATCH($CG26,$B$6:$B$53,0),COLUMN()-COLUMN($CI$5)+1)&gt;0,INDEX($D$6:$CB$53,MATCH($CG26,$B$6:$B$53,0),COLUMN()-COLUMN($CI$5)+1),""))</f>
        <v/>
      </c>
      <c r="DH26" s="1753" t="str" cm="1">
        <f t="array" ref="DH26">IF($CG26="","",IF(INDEX($D$6:$CB$53,MATCH($CG26,$B$6:$B$53,0),COLUMN()-COLUMN($CI$5)+1)&gt;0,INDEX($D$6:$CB$53,MATCH($CG26,$B$6:$B$53,0),COLUMN()-COLUMN($CI$5)+1),""))</f>
        <v/>
      </c>
      <c r="DI26" s="1753" t="str" cm="1">
        <f t="array" ref="DI26">IF($CG26="","",IF(INDEX($D$6:$CB$53,MATCH($CG26,$B$6:$B$53,0),COLUMN()-COLUMN($CI$5)+1)&gt;0,INDEX($D$6:$CB$53,MATCH($CG26,$B$6:$B$53,0),COLUMN()-COLUMN($CI$5)+1),""))</f>
        <v/>
      </c>
      <c r="DJ26" s="1753" t="str" cm="1">
        <f t="array" ref="DJ26">IF($CG26="","",IF(INDEX($D$6:$CB$53,MATCH($CG26,$B$6:$B$53,0),COLUMN()-COLUMN($CI$5)+1)&gt;0,INDEX($D$6:$CB$53,MATCH($CG26,$B$6:$B$53,0),COLUMN()-COLUMN($CI$5)+1),""))</f>
        <v/>
      </c>
      <c r="DK26" s="1753" t="str" cm="1">
        <f t="array" ref="DK26">IF($CG26="","",IF(INDEX($D$6:$CB$53,MATCH($CG26,$B$6:$B$53,0),COLUMN()-COLUMN($CI$5)+1)&gt;0,INDEX($D$6:$CB$53,MATCH($CG26,$B$6:$B$53,0),COLUMN()-COLUMN($CI$5)+1),""))</f>
        <v/>
      </c>
      <c r="DL26" s="1753" t="str">
        <f>IF($CG26="","",IF(INDEX($D$6:$CB$53,MATCH($CG26,$B$6:$B$53,0),COLUMN()-COLUMN($CI$5)+1)&gt;0,INDEX($D$6:$CB$53,MATCH($CG26,$B$6:$B$53,0),COLUMN()-COLUMN($CI$5)+1),""))</f>
        <v/>
      </c>
      <c r="DM26" s="1753" t="str" cm="1">
        <f t="array" ref="DM26">IF($CG26="","",IF(INDEX($D$6:$CB$53,MATCH($CG26,$B$6:$B$53,0),COLUMN()-COLUMN($CI$5)+1)&gt;0,INDEX($D$6:$CB$53,MATCH($CG26,$B$6:$B$53,0),COLUMN()-COLUMN($CI$5)+1),""))</f>
        <v/>
      </c>
      <c r="DN26" s="1753" t="str" cm="1">
        <f t="array" ref="DN26">IF($CG26="","",IF(INDEX($D$6:$CB$53,MATCH($CG26,$B$6:$B$53,0),COLUMN()-COLUMN($CI$5)+1)&gt;0,INDEX($D$6:$CB$53,MATCH($CG26,$B$6:$B$53,0),COLUMN()-COLUMN($CI$5)+1),""))</f>
        <v/>
      </c>
      <c r="DO26" s="1753" t="str" cm="1">
        <f t="array" ref="DO26">IF($CG26="","",IF(INDEX($D$6:$CB$53,MATCH($CG26,$B$6:$B$53,0),COLUMN()-COLUMN($CI$5)+1)&gt;0,INDEX($D$6:$CB$53,MATCH($CG26,$B$6:$B$53,0),COLUMN()-COLUMN($CI$5)+1),""))</f>
        <v/>
      </c>
      <c r="DP26" s="1753" t="str" cm="1">
        <f t="array" ref="DP26">IF($CG26="","",IF(INDEX($D$6:$CB$53,MATCH($CG26,$B$6:$B$53,0),COLUMN()-COLUMN($CI$5)+1)&gt;0,INDEX($D$6:$CB$53,MATCH($CG26,$B$6:$B$53,0),COLUMN()-COLUMN($CI$5)+1),""))</f>
        <v/>
      </c>
      <c r="DQ26" s="1753" t="str" cm="1">
        <f t="array" ref="DQ26">IF($CG26="","",IF(INDEX($D$6:$CB$53,MATCH($CG26,$B$6:$B$53,0),COLUMN()-COLUMN($CI$5)+1)&gt;0,INDEX($D$6:$CB$53,MATCH($CG26,$B$6:$B$53,0),COLUMN()-COLUMN($CI$5)+1),""))</f>
        <v/>
      </c>
      <c r="DR26" s="1753" t="str">
        <f>IF($CG26="","",IF(INDEX($D$6:$CB$53,MATCH($CG26,$B$6:$B$53,0),COLUMN()-COLUMN($CI$5)+1)&gt;0,INDEX($D$6:$CB$53,MATCH($CG26,$B$6:$B$53,0),COLUMN()-COLUMN($CI$5)+1),""))</f>
        <v/>
      </c>
      <c r="DS26" s="1753" t="str" cm="1">
        <f t="array" ref="DS26">IF($CG26="","",IF(INDEX($D$6:$CB$53,MATCH($CG26,$B$6:$B$53,0),COLUMN()-COLUMN($CI$5)+1)&gt;0,INDEX($D$6:$CB$53,MATCH($CG26,$B$6:$B$53,0),COLUMN()-COLUMN($CI$5)+1),""))</f>
        <v/>
      </c>
      <c r="DT26" s="1753" t="str" cm="1">
        <f t="array" ref="DT26">IF($CG26="","",IF(INDEX($D$6:$CB$53,MATCH($CG26,$B$6:$B$53,0),COLUMN()-COLUMN($CI$5)+1)&gt;0,INDEX($D$6:$CB$53,MATCH($CG26,$B$6:$B$53,0),COLUMN()-COLUMN($CI$5)+1),""))</f>
        <v/>
      </c>
      <c r="DU26" s="1753" t="str" cm="1">
        <f t="array" ref="DU26">IF($CG26="","",IF(INDEX($D$6:$CB$53,MATCH($CG26,$B$6:$B$53,0),COLUMN()-COLUMN($CI$5)+1)&gt;0,INDEX($D$6:$CB$53,MATCH($CG26,$B$6:$B$53,0),COLUMN()-COLUMN($CI$5)+1),""))</f>
        <v/>
      </c>
      <c r="DV26" s="1753" t="str" cm="1">
        <f t="array" ref="DV26">IF($CG26="","",IF(INDEX($D$6:$CB$53,MATCH($CG26,$B$6:$B$53,0),COLUMN()-COLUMN($CI$5)+1)&gt;0,INDEX($D$6:$CB$53,MATCH($CG26,$B$6:$B$53,0),COLUMN()-COLUMN($CI$5)+1),""))</f>
        <v/>
      </c>
      <c r="DW26" s="1753" t="str" cm="1">
        <f t="array" ref="DW26">IF($CG26="","",IF(INDEX($D$6:$CB$53,MATCH($CG26,$B$6:$B$53,0),COLUMN()-COLUMN($CI$5)+1)&gt;0,INDEX($D$6:$CB$53,MATCH($CG26,$B$6:$B$53,0),COLUMN()-COLUMN($CI$5)+1),""))</f>
        <v/>
      </c>
      <c r="DX26" s="1753" t="str" cm="1">
        <f t="array" ref="DX26">IF($CG26="","",IF(INDEX($D$6:$CB$53,MATCH($CG26,$B$6:$B$53,0),COLUMN()-COLUMN($CI$5)+1)&gt;0,INDEX($D$6:$CB$53,MATCH($CG26,$B$6:$B$53,0),COLUMN()-COLUMN($CI$5)+1),""))</f>
        <v/>
      </c>
      <c r="DY26" s="1753" t="str" cm="1">
        <f t="array" ref="DY26">IF($CG26="","",IF(INDEX($D$6:$CB$53,MATCH($CG26,$B$6:$B$53,0),COLUMN()-COLUMN($CI$5)+1)&gt;0,INDEX($D$6:$CB$53,MATCH($CG26,$B$6:$B$53,0),COLUMN()-COLUMN($CI$5)+1),""))</f>
        <v/>
      </c>
      <c r="DZ26" s="1753" t="str" cm="1">
        <f t="array" ref="DZ26">IF($CG26="","",IF(INDEX($D$6:$CB$53,MATCH($CG26,$B$6:$B$53,0),COLUMN()-COLUMN($CI$5)+1)&gt;0,INDEX($D$6:$CB$53,MATCH($CG26,$B$6:$B$53,0),COLUMN()-COLUMN($CI$5)+1),""))</f>
        <v/>
      </c>
      <c r="EA26" s="1753" t="str" cm="1">
        <f t="array" ref="EA26">IF($CG26="","",IF(INDEX($D$6:$CB$53,MATCH($CG26,$B$6:$B$53,0),COLUMN()-COLUMN($CI$5)+1)&gt;0,INDEX($D$6:$CB$53,MATCH($CG26,$B$6:$B$53,0),COLUMN()-COLUMN($CI$5)+1),""))</f>
        <v/>
      </c>
      <c r="EB26" s="1753" t="str" cm="1">
        <f t="array" ref="EB26">IF($CG26="","",IF(INDEX($D$6:$CB$53,MATCH($CG26,$B$6:$B$53,0),COLUMN()-COLUMN($CI$5)+1)&gt;0,INDEX($D$6:$CB$53,MATCH($CG26,$B$6:$B$53,0),COLUMN()-COLUMN($CI$5)+1),""))</f>
        <v/>
      </c>
      <c r="EC26" s="1753" t="str" cm="1">
        <f t="array" ref="EC26">IF($CG26="","",IF(INDEX($D$6:$CB$53,MATCH($CG26,$B$6:$B$53,0),COLUMN()-COLUMN($CI$5)+1)&gt;0,INDEX($D$6:$CB$53,MATCH($CG26,$B$6:$B$53,0),COLUMN()-COLUMN($CI$5)+1),""))</f>
        <v/>
      </c>
      <c r="ED26" s="1753" t="str" cm="1">
        <f t="array" ref="ED26">IF($CG26="","",IF(INDEX($D$6:$CB$53,MATCH($CG26,$B$6:$B$53,0),COLUMN()-COLUMN($CI$5)+1)&gt;0,INDEX($D$6:$CB$53,MATCH($CG26,$B$6:$B$53,0),COLUMN()-COLUMN($CI$5)+1),""))</f>
        <v/>
      </c>
      <c r="EE26" s="1753" t="str" cm="1">
        <f t="array" ref="EE26">IF($CG26="","",IF(INDEX($D$6:$CB$53,MATCH($CG26,$B$6:$B$53,0),COLUMN()-COLUMN($CI$5)+1)&gt;0,INDEX($D$6:$CB$53,MATCH($CG26,$B$6:$B$53,0),COLUMN()-COLUMN($CI$5)+1),""))</f>
        <v/>
      </c>
      <c r="EF26" s="1753" t="str" cm="1">
        <f t="array" ref="EF26">IF($CG26="","",IF(INDEX($D$6:$CB$53,MATCH($CG26,$B$6:$B$53,0),COLUMN()-COLUMN($CI$5)+1)&gt;0,INDEX($D$6:$CB$53,MATCH($CG26,$B$6:$B$53,0),COLUMN()-COLUMN($CI$5)+1),""))</f>
        <v/>
      </c>
      <c r="EG26" s="1753" t="str" cm="1">
        <f t="array" ref="EG26">IF($CG26="","",IF(INDEX($D$6:$CB$53,MATCH($CG26,$B$6:$B$53,0),COLUMN()-COLUMN($CI$5)+1)&gt;0,INDEX($D$6:$CB$53,MATCH($CG26,$B$6:$B$53,0),COLUMN()-COLUMN($CI$5)+1),""))</f>
        <v/>
      </c>
      <c r="EH26" s="1753" t="str" cm="1">
        <f t="array" ref="EH26">IF($CG26="","",IF(INDEX($D$6:$CB$53,MATCH($CG26,$B$6:$B$53,0),COLUMN()-COLUMN($CI$5)+1)&gt;0,INDEX($D$6:$CB$53,MATCH($CG26,$B$6:$B$53,0),COLUMN()-COLUMN($CI$5)+1),""))</f>
        <v/>
      </c>
      <c r="EI26" s="1753" t="str" cm="1">
        <f t="array" ref="EI26">IF($CG26="","",IF(INDEX($D$6:$CB$53,MATCH($CG26,$B$6:$B$53,0),COLUMN()-COLUMN($CI$5)+1)&gt;0,INDEX($D$6:$CB$53,MATCH($CG26,$B$6:$B$53,0),COLUMN()-COLUMN($CI$5)+1),""))</f>
        <v/>
      </c>
      <c r="EJ26" s="1753" t="str" cm="1">
        <f t="array" ref="EJ26">IF($CG26="","",IF(INDEX($D$6:$CB$53,MATCH($CG26,$B$6:$B$53,0),COLUMN()-COLUMN($CI$5)+1)&gt;0,INDEX($D$6:$CB$53,MATCH($CG26,$B$6:$B$53,0),COLUMN()-COLUMN($CI$5)+1),""))</f>
        <v/>
      </c>
      <c r="EK26" s="1753" t="str" cm="1">
        <f t="array" ref="EK26">IF($CG26="","",IF(INDEX($D$6:$CB$53,MATCH($CG26,$B$6:$B$53,0),COLUMN()-COLUMN($CI$5)+1)&gt;0,INDEX($D$6:$CB$53,MATCH($CG26,$B$6:$B$53,0),COLUMN()-COLUMN($CI$5)+1),""))</f>
        <v/>
      </c>
      <c r="EL26" s="1753" t="str" cm="1">
        <f t="array" ref="EL26">IF($CG26="","",IF(INDEX($D$6:$CB$53,MATCH($CG26,$B$6:$B$53,0),COLUMN()-COLUMN($CI$5)+1)&gt;0,INDEX($D$6:$CB$53,MATCH($CG26,$B$6:$B$53,0),COLUMN()-COLUMN($CI$5)+1),""))</f>
        <v/>
      </c>
      <c r="EM26" s="1753" t="str" cm="1">
        <f t="array" ref="EM26">IF($CG26="","",IF(INDEX($D$6:$CB$53,MATCH($CG26,$B$6:$B$53,0),COLUMN()-COLUMN($CI$5)+1)&gt;0,INDEX($D$6:$CB$53,MATCH($CG26,$B$6:$B$53,0),COLUMN()-COLUMN($CI$5)+1),""))</f>
        <v/>
      </c>
      <c r="EN26" s="1753" t="str" cm="1">
        <f t="array" ref="EN26">IF($CG26="","",IF(INDEX($D$6:$CB$53,MATCH($CG26,$B$6:$B$53,0),COLUMN()-COLUMN($CI$5)+1)&gt;0,INDEX($D$6:$CB$53,MATCH($CG26,$B$6:$B$53,0),COLUMN()-COLUMN($CI$5)+1),""))</f>
        <v/>
      </c>
      <c r="EO26" s="1753" t="str" cm="1">
        <f t="array" ref="EO26">IF($CG26="","",IF(INDEX($D$6:$CB$53,MATCH($CG26,$B$6:$B$53,0),COLUMN()-COLUMN($CI$5)+1)&gt;0,INDEX($D$6:$CB$53,MATCH($CG26,$B$6:$B$53,0),COLUMN()-COLUMN($CI$5)+1),""))</f>
        <v/>
      </c>
      <c r="EP26" s="1753" t="str" cm="1">
        <f t="array" ref="EP26">IF($CG26="","",IF(INDEX($D$6:$CB$53,MATCH($CG26,$B$6:$B$53,0),COLUMN()-COLUMN($CI$5)+1)&gt;0,INDEX($D$6:$CB$53,MATCH($CG26,$B$6:$B$53,0),COLUMN()-COLUMN($CI$5)+1),""))</f>
        <v/>
      </c>
      <c r="EQ26" s="1753" t="str" cm="1">
        <f t="array" ref="EQ26">IF($CG26="","",IF(INDEX($D$6:$CB$53,MATCH($CG26,$B$6:$B$53,0),COLUMN()-COLUMN($CI$5)+1)&gt;0,INDEX($D$6:$CB$53,MATCH($CG26,$B$6:$B$53,0),COLUMN()-COLUMN($CI$5)+1),""))</f>
        <v/>
      </c>
      <c r="ER26" s="1753" t="str" cm="1">
        <f t="array" ref="ER26">IF($CG26="","",IF(INDEX($D$6:$CB$53,MATCH($CG26,$B$6:$B$53,0),COLUMN()-COLUMN($CI$5)+1)&gt;0,INDEX($D$6:$CB$53,MATCH($CG26,$B$6:$B$53,0),COLUMN()-COLUMN($CI$5)+1),""))</f>
        <v/>
      </c>
      <c r="ES26" s="1753" t="str" cm="1">
        <f t="array" ref="ES26">IF($CG26="","",IF(INDEX($D$6:$CB$53,MATCH($CG26,$B$6:$B$53,0),COLUMN()-COLUMN($CI$5)+1)&gt;0,INDEX($D$6:$CB$53,MATCH($CG26,$B$6:$B$53,0),COLUMN()-COLUMN($CI$5)+1),""))</f>
        <v/>
      </c>
      <c r="ET26" s="1753" t="str" cm="1">
        <f t="array" ref="ET26">IF($CG26="","",IF(INDEX($D$6:$CB$53,MATCH($CG26,$B$6:$B$53,0),COLUMN()-COLUMN($CI$5)+1)&gt;0,INDEX($D$6:$CB$53,MATCH($CG26,$B$6:$B$53,0),COLUMN()-COLUMN($CI$5)+1),""))</f>
        <v/>
      </c>
      <c r="EU26" s="1753" t="str" cm="1">
        <f t="array" ref="EU26">IF($CG26="","",IF(INDEX($D$6:$CB$53,MATCH($CG26,$B$6:$B$53,0),COLUMN()-COLUMN($CI$5)+1)&gt;0,INDEX($D$6:$CB$53,MATCH($CG26,$B$6:$B$53,0),COLUMN()-COLUMN($CI$5)+1),""))</f>
        <v/>
      </c>
      <c r="EV26" s="1753" t="str" cm="1">
        <f t="array" ref="EV26">IF($CG26="","",IF(INDEX($D$6:$CB$53,MATCH($CG26,$B$6:$B$53,0),COLUMN()-COLUMN($CI$5)+1)&gt;0,INDEX($D$6:$CB$53,MATCH($CG26,$B$6:$B$53,0),COLUMN()-COLUMN($CI$5)+1),""))</f>
        <v/>
      </c>
      <c r="EW26" s="1753" t="str" cm="1">
        <f t="array" ref="EW26">IF($CG26="","",IF(INDEX($D$6:$CB$53,MATCH($CG26,$B$6:$B$53,0),COLUMN()-COLUMN($CI$5)+1)&gt;0,INDEX($D$6:$CB$53,MATCH($CG26,$B$6:$B$53,0),COLUMN()-COLUMN($CI$5)+1),""))</f>
        <v/>
      </c>
      <c r="EX26" s="1753" t="str" cm="1">
        <f t="array" ref="EX26">IF($CG26="","",IF(INDEX($D$6:$CB$53,MATCH($CG26,$B$6:$B$53,0),COLUMN()-COLUMN($CI$5)+1)&gt;0,INDEX($D$6:$CB$53,MATCH($CG26,$B$6:$B$53,0),COLUMN()-COLUMN($CI$5)+1),""))</f>
        <v/>
      </c>
      <c r="EY26" s="1753" t="str" cm="1">
        <f t="array" ref="EY26">IF($CG26="","",IF(INDEX($D$6:$CB$53,MATCH($CG26,$B$6:$B$53,0),COLUMN()-COLUMN($CI$5)+1)&gt;0,INDEX($D$6:$CB$53,MATCH($CG26,$B$6:$B$53,0),COLUMN()-COLUMN($CI$5)+1),""))</f>
        <v/>
      </c>
      <c r="EZ26" s="1753" t="str" cm="1">
        <f t="array" ref="EZ26">IF($CG26="","",IF(INDEX($D$6:$CB$53,MATCH($CG26,$B$6:$B$53,0),COLUMN()-COLUMN($CI$5)+1)&gt;0,INDEX($D$6:$CB$53,MATCH($CG26,$B$6:$B$53,0),COLUMN()-COLUMN($CI$5)+1),""))</f>
        <v/>
      </c>
      <c r="FA26" s="1753" t="str" cm="1">
        <f t="array" ref="FA26">IF($CG26="","",IF(INDEX($D$6:$CB$53,MATCH($CG26,$B$6:$B$53,0),COLUMN()-COLUMN($CI$5)+1)&gt;0,INDEX($D$6:$CB$53,MATCH($CG26,$B$6:$B$53,0),COLUMN()-COLUMN($CI$5)+1),""))</f>
        <v/>
      </c>
      <c r="FB26" s="1753" t="str" cm="1">
        <f t="array" ref="FB26">IF($CG26="","",IF(INDEX($D$6:$CB$53,MATCH($CG26,$B$6:$B$53,0),COLUMN()-COLUMN($CI$5)+1)&gt;0,INDEX($D$6:$CB$53,MATCH($CG26,$B$6:$B$53,0),COLUMN()-COLUMN($CI$5)+1),""))</f>
        <v/>
      </c>
      <c r="FC26" s="1753" t="str" cm="1">
        <f t="array" ref="FC26">IF($CG26="","",IF(INDEX($D$6:$CB$53,MATCH($CG26,$B$6:$B$53,0),COLUMN()-COLUMN($CI$5)+1)&gt;0,INDEX($D$6:$CB$53,MATCH($CG26,$B$6:$B$53,0),COLUMN()-COLUMN($CI$5)+1),""))</f>
        <v/>
      </c>
      <c r="FD26" s="1753" t="str" cm="1">
        <f t="array" ref="FD26">IF($CG26="","",IF(INDEX($D$6:$CB$53,MATCH($CG26,$B$6:$B$53,0),COLUMN()-COLUMN($CI$5)+1)&gt;0,INDEX($D$6:$CB$53,MATCH($CG26,$B$6:$B$53,0),COLUMN()-COLUMN($CI$5)+1),""))</f>
        <v/>
      </c>
      <c r="FE26" s="1753" t="str" cm="1">
        <f t="array" ref="FE26">IF($CG26="","",IF(INDEX($D$6:$CB$53,MATCH($CG26,$B$6:$B$53,0),COLUMN()-COLUMN($CI$5)+1)&gt;0,INDEX($D$6:$CB$53,MATCH($CG26,$B$6:$B$53,0),COLUMN()-COLUMN($CI$5)+1),""))</f>
        <v/>
      </c>
      <c r="FF26" s="1753" t="str" cm="1">
        <f t="array" ref="FF26">IF($CG26="","",IF(INDEX($D$6:$CB$53,MATCH($CG26,$B$6:$B$53,0),COLUMN()-COLUMN($CI$5)+1)&gt;0,INDEX($D$6:$CB$53,MATCH($CG26,$B$6:$B$53,0),COLUMN()-COLUMN($CI$5)+1),""))</f>
        <v/>
      </c>
      <c r="FG26" s="1758" t="str" cm="1">
        <f t="array" ref="FG26">IF($CG26="","",IF(INDEX($D$6:$CB$53,MATCH($CG26,$B$6:$B$53,0),COLUMN()-COLUMN($CI$5)+1)&gt;0,INDEX($D$6:$CB$53,MATCH($CG26,$B$6:$B$53,0),COLUMN()-COLUMN($CI$5)+1),""))</f>
        <v/>
      </c>
      <c r="FH26" s="1765" t="str">
        <f t="shared" si="4"/>
        <v/>
      </c>
      <c r="FI26" s="1762" t="str">
        <f t="shared" si="5"/>
        <v/>
      </c>
      <c r="FJ26" s="1768" t="str">
        <f t="shared" si="6"/>
        <v/>
      </c>
      <c r="FK26" s="1760"/>
    </row>
    <row r="27" spans="1:167" ht="15.75" customHeight="1">
      <c r="A27" s="1220"/>
      <c r="B27" s="1278">
        <f>+PP!B45</f>
        <v>22</v>
      </c>
      <c r="C27" s="1279" t="str">
        <f>+PP!C45</f>
        <v>MANTO BLANCO C/M C/T 2.0-4.0 kg/pza</v>
      </c>
      <c r="D27" s="1404"/>
      <c r="E27" s="1405"/>
      <c r="F27" s="1405"/>
      <c r="G27" s="1405"/>
      <c r="H27" s="1405"/>
      <c r="I27" s="1405"/>
      <c r="J27" s="1405"/>
      <c r="K27" s="1405"/>
      <c r="L27" s="1405"/>
      <c r="M27" s="1405"/>
      <c r="N27" s="1405"/>
      <c r="O27" s="1405"/>
      <c r="P27" s="1405"/>
      <c r="Q27" s="1405"/>
      <c r="R27" s="1405"/>
      <c r="S27" s="1405"/>
      <c r="T27" s="1405"/>
      <c r="U27" s="1405"/>
      <c r="V27" s="1405"/>
      <c r="W27" s="1405"/>
      <c r="X27" s="1405"/>
      <c r="Y27" s="1405"/>
      <c r="Z27" s="1405"/>
      <c r="AA27" s="1405"/>
      <c r="AB27" s="1405"/>
      <c r="AC27" s="1405"/>
      <c r="AD27" s="1405"/>
      <c r="AE27" s="1405"/>
      <c r="AF27" s="1405"/>
      <c r="AG27" s="1405"/>
      <c r="AH27" s="1406"/>
      <c r="AI27" s="1235"/>
      <c r="AJ27" s="1235"/>
      <c r="AK27" s="1235"/>
      <c r="AL27" s="1235"/>
      <c r="AM27" s="1235"/>
      <c r="AN27" s="1235"/>
      <c r="AO27" s="1235"/>
      <c r="AP27" s="1218"/>
      <c r="AQ27" s="1218"/>
      <c r="AR27" s="1218"/>
      <c r="AS27" s="1218"/>
      <c r="AT27" s="1218"/>
      <c r="AU27" s="1218"/>
      <c r="AV27" s="1218"/>
      <c r="AW27" s="1218"/>
      <c r="AX27" s="1218"/>
      <c r="AY27" s="1218"/>
      <c r="AZ27" s="1218"/>
      <c r="BA27" s="1218"/>
      <c r="BB27" s="1218"/>
      <c r="BC27" s="1218"/>
      <c r="BD27" s="1218"/>
      <c r="BE27" s="1218"/>
      <c r="BF27" s="1218"/>
      <c r="BG27" s="1218"/>
      <c r="BH27" s="1218"/>
      <c r="BI27" s="1218"/>
      <c r="BJ27" s="1218"/>
      <c r="BK27" s="1218"/>
      <c r="BL27" s="1218"/>
      <c r="BM27" s="1218"/>
      <c r="BN27" s="1218"/>
      <c r="BO27" s="1218"/>
      <c r="BP27" s="1218"/>
      <c r="BQ27" s="1218"/>
      <c r="BR27" s="1557"/>
      <c r="BS27" s="1557"/>
      <c r="BT27" s="1557"/>
      <c r="BU27" s="1557"/>
      <c r="BV27" s="1557"/>
      <c r="BW27" s="1557"/>
      <c r="BX27" s="1557"/>
      <c r="BY27" s="1557"/>
      <c r="BZ27" s="1557"/>
      <c r="CA27" s="1557"/>
      <c r="CB27" s="1564"/>
      <c r="CC27" s="1550">
        <f t="shared" si="0"/>
        <v>0</v>
      </c>
      <c r="CD27" s="1236">
        <f t="shared" si="1"/>
        <v>0</v>
      </c>
      <c r="CE27" s="1237">
        <f t="shared" si="2"/>
        <v>0</v>
      </c>
      <c r="CF27" s="1220"/>
      <c r="CG27" s="1751" t="str" cm="1">
        <f t="array" ref="CG27">IFERROR(INDEX($B$6:$B$53,_xlfn.AGGREGATE(15,6,(ROW($B$6:$B$53)-ROW($B$6)+1)/(MMULT(--($D$6:$CB$53&gt;0),TRANSPOSE(COLUMN($D$6:$CB$6)^0))&gt;0),ROWS($CG$6:CG27))),"")</f>
        <v/>
      </c>
      <c r="CH27" s="1752" t="str">
        <f t="shared" si="3"/>
        <v/>
      </c>
      <c r="CI27" s="1753" t="str" cm="1">
        <f t="array" ref="CI27">IF($CG27="","",IF(INDEX($D$6:$CB$53,MATCH($CG27,$B$6:$B$53,0),COLUMN()-COLUMN($CI$5)+1)&gt;0,INDEX($D$6:$CB$53,MATCH($CG27,$B$6:$B$53,0),COLUMN()-COLUMN($CI$5)+1),""))</f>
        <v/>
      </c>
      <c r="CJ27" s="1753" t="str" cm="1">
        <f t="array" ref="CJ27">IF($CG27="","",IF(INDEX($D$6:$CB$53,MATCH($CG27,$B$6:$B$53,0),COLUMN()-COLUMN($CI$5)+1)&gt;0,INDEX($D$6:$CB$53,MATCH($CG27,$B$6:$B$53,0),COLUMN()-COLUMN($CI$5)+1),""))</f>
        <v/>
      </c>
      <c r="CK27" s="1753" t="str" cm="1">
        <f t="array" ref="CK27">IF($CG27="","",IF(INDEX($D$6:$CB$53,MATCH($CG27,$B$6:$B$53,0),COLUMN()-COLUMN($CI$5)+1)&gt;0,INDEX($D$6:$CB$53,MATCH($CG27,$B$6:$B$53,0),COLUMN()-COLUMN($CI$5)+1),""))</f>
        <v/>
      </c>
      <c r="CL27" s="1753" t="str" cm="1">
        <f t="array" ref="CL27">IF($CG27="","",IF(INDEX($D$6:$CB$53,MATCH($CG27,$B$6:$B$53,0),COLUMN()-COLUMN($CI$5)+1)&gt;0,INDEX($D$6:$CB$53,MATCH($CG27,$B$6:$B$53,0),COLUMN()-COLUMN($CI$5)+1),""))</f>
        <v/>
      </c>
      <c r="CM27" s="1753" t="str" cm="1">
        <f t="array" ref="CM27">IF($CG27="","",IF(INDEX($D$6:$CB$53,MATCH($CG27,$B$6:$B$53,0),COLUMN()-COLUMN($CI$5)+1)&gt;0,INDEX($D$6:$CB$53,MATCH($CG27,$B$6:$B$53,0),COLUMN()-COLUMN($CI$5)+1),""))</f>
        <v/>
      </c>
      <c r="CN27" s="1753" t="str" cm="1">
        <f t="array" ref="CN27">IF($CG27="","",IF(INDEX($D$6:$CB$53,MATCH($CG27,$B$6:$B$53,0),COLUMN()-COLUMN($CI$5)+1)&gt;0,INDEX($D$6:$CB$53,MATCH($CG27,$B$6:$B$53,0),COLUMN()-COLUMN($CI$5)+1),""))</f>
        <v/>
      </c>
      <c r="CO27" s="1753" t="str" cm="1">
        <f t="array" ref="CO27">IF($CG27="","",IF(INDEX($D$6:$CB$53,MATCH($CG27,$B$6:$B$53,0),COLUMN()-COLUMN($CI$5)+1)&gt;0,INDEX($D$6:$CB$53,MATCH($CG27,$B$6:$B$53,0),COLUMN()-COLUMN($CI$5)+1),""))</f>
        <v/>
      </c>
      <c r="CP27" s="1753" t="str" cm="1">
        <f t="array" ref="CP27">IF($CG27="","",IF(INDEX($D$6:$CB$53,MATCH($CG27,$B$6:$B$53,0),COLUMN()-COLUMN($CI$5)+1)&gt;0,INDEX($D$6:$CB$53,MATCH($CG27,$B$6:$B$53,0),COLUMN()-COLUMN($CI$5)+1),""))</f>
        <v/>
      </c>
      <c r="CQ27" s="1753" t="str" cm="1">
        <f t="array" ref="CQ27">IF($CG27="","",IF(INDEX($D$6:$CB$53,MATCH($CG27,$B$6:$B$53,0),COLUMN()-COLUMN($CI$5)+1)&gt;0,INDEX($D$6:$CB$53,MATCH($CG27,$B$6:$B$53,0),COLUMN()-COLUMN($CI$5)+1),""))</f>
        <v/>
      </c>
      <c r="CR27" s="1753" t="str" cm="1">
        <f t="array" ref="CR27">IF($CG27="","",IF(INDEX($D$6:$CB$53,MATCH($CG27,$B$6:$B$53,0),COLUMN()-COLUMN($CI$5)+1)&gt;0,INDEX($D$6:$CB$53,MATCH($CG27,$B$6:$B$53,0),COLUMN()-COLUMN($CI$5)+1),""))</f>
        <v/>
      </c>
      <c r="CS27" s="1753" t="str" cm="1">
        <f t="array" ref="CS27">IF($CG27="","",IF(INDEX($D$6:$CB$53,MATCH($CG27,$B$6:$B$53,0),COLUMN()-COLUMN($CI$5)+1)&gt;0,INDEX($D$6:$CB$53,MATCH($CG27,$B$6:$B$53,0),COLUMN()-COLUMN($CI$5)+1),""))</f>
        <v/>
      </c>
      <c r="CT27" s="1753" t="str" cm="1">
        <f t="array" ref="CT27">IF($CG27="","",IF(INDEX($D$6:$CB$53,MATCH($CG27,$B$6:$B$53,0),COLUMN()-COLUMN($CI$5)+1)&gt;0,INDEX($D$6:$CB$53,MATCH($CG27,$B$6:$B$53,0),COLUMN()-COLUMN($CI$5)+1),""))</f>
        <v/>
      </c>
      <c r="CU27" s="1753" t="str" cm="1">
        <f t="array" ref="CU27">IF($CG27="","",IF(INDEX($D$6:$CB$53,MATCH($CG27,$B$6:$B$53,0),COLUMN()-COLUMN($CI$5)+1)&gt;0,INDEX($D$6:$CB$53,MATCH($CG27,$B$6:$B$53,0),COLUMN()-COLUMN($CI$5)+1),""))</f>
        <v/>
      </c>
      <c r="CV27" s="1753" t="str" cm="1">
        <f t="array" ref="CV27">IF($CG27="","",IF(INDEX($D$6:$CB$53,MATCH($CG27,$B$6:$B$53,0),COLUMN()-COLUMN($CI$5)+1)&gt;0,INDEX($D$6:$CB$53,MATCH($CG27,$B$6:$B$53,0),COLUMN()-COLUMN($CI$5)+1),""))</f>
        <v/>
      </c>
      <c r="CW27" s="1753" t="str" cm="1">
        <f t="array" ref="CW27">IF($CG27="","",IF(INDEX($D$6:$CB$53,MATCH($CG27,$B$6:$B$53,0),COLUMN()-COLUMN($CI$5)+1)&gt;0,INDEX($D$6:$CB$53,MATCH($CG27,$B$6:$B$53,0),COLUMN()-COLUMN($CI$5)+1),""))</f>
        <v/>
      </c>
      <c r="CX27" s="1753" t="str" cm="1">
        <f t="array" ref="CX27">IF($CG27="","",IF(INDEX($D$6:$CB$53,MATCH($CG27,$B$6:$B$53,0),COLUMN()-COLUMN($CI$5)+1)&gt;0,INDEX($D$6:$CB$53,MATCH($CG27,$B$6:$B$53,0),COLUMN()-COLUMN($CI$5)+1),""))</f>
        <v/>
      </c>
      <c r="CY27" s="1753" t="str" cm="1">
        <f t="array" ref="CY27">IF($CG27="","",IF(INDEX($D$6:$CB$53,MATCH($CG27,$B$6:$B$53,0),COLUMN()-COLUMN($CI$5)+1)&gt;0,INDEX($D$6:$CB$53,MATCH($CG27,$B$6:$B$53,0),COLUMN()-COLUMN($CI$5)+1),""))</f>
        <v/>
      </c>
      <c r="CZ27" s="1753" t="str" cm="1">
        <f t="array" ref="CZ27">IF($CG27="","",IF(INDEX($D$6:$CB$53,MATCH($CG27,$B$6:$B$53,0),COLUMN()-COLUMN($CI$5)+1)&gt;0,INDEX($D$6:$CB$53,MATCH($CG27,$B$6:$B$53,0),COLUMN()-COLUMN($CI$5)+1),""))</f>
        <v/>
      </c>
      <c r="DA27" s="1753" t="str" cm="1">
        <f t="array" ref="DA27">IF($CG27="","",IF(INDEX($D$6:$CB$53,MATCH($CG27,$B$6:$B$53,0),COLUMN()-COLUMN($CI$5)+1)&gt;0,INDEX($D$6:$CB$53,MATCH($CG27,$B$6:$B$53,0),COLUMN()-COLUMN($CI$5)+1),""))</f>
        <v/>
      </c>
      <c r="DB27" s="1753" t="str" cm="1">
        <f t="array" ref="DB27">IF($CG27="","",IF(INDEX($D$6:$CB$53,MATCH($CG27,$B$6:$B$53,0),COLUMN()-COLUMN($CI$5)+1)&gt;0,INDEX($D$6:$CB$53,MATCH($CG27,$B$6:$B$53,0),COLUMN()-COLUMN($CI$5)+1),""))</f>
        <v/>
      </c>
      <c r="DC27" s="1753" t="str" cm="1">
        <f t="array" ref="DC27">IF($CG27="","",IF(INDEX($D$6:$CB$53,MATCH($CG27,$B$6:$B$53,0),COLUMN()-COLUMN($CI$5)+1)&gt;0,INDEX($D$6:$CB$53,MATCH($CG27,$B$6:$B$53,0),COLUMN()-COLUMN($CI$5)+1),""))</f>
        <v/>
      </c>
      <c r="DD27" s="1753" t="str" cm="1">
        <f t="array" ref="DD27">IF($CG27="","",IF(INDEX($D$6:$CB$53,MATCH($CG27,$B$6:$B$53,0),COLUMN()-COLUMN($CI$5)+1)&gt;0,INDEX($D$6:$CB$53,MATCH($CG27,$B$6:$B$53,0),COLUMN()-COLUMN($CI$5)+1),""))</f>
        <v/>
      </c>
      <c r="DE27" s="1753" t="str" cm="1">
        <f t="array" ref="DE27">IF($CG27="","",IF(INDEX($D$6:$CB$53,MATCH($CG27,$B$6:$B$53,0),COLUMN()-COLUMN($CI$5)+1)&gt;0,INDEX($D$6:$CB$53,MATCH($CG27,$B$6:$B$53,0),COLUMN()-COLUMN($CI$5)+1),""))</f>
        <v/>
      </c>
      <c r="DF27" s="1753" t="str" cm="1">
        <f t="array" ref="DF27">IF($CG27="","",IF(INDEX($D$6:$CB$53,MATCH($CG27,$B$6:$B$53,0),COLUMN()-COLUMN($CI$5)+1)&gt;0,INDEX($D$6:$CB$53,MATCH($CG27,$B$6:$B$53,0),COLUMN()-COLUMN($CI$5)+1),""))</f>
        <v/>
      </c>
      <c r="DG27" s="1753" t="str" cm="1">
        <f t="array" ref="DG27">IF($CG27="","",IF(INDEX($D$6:$CB$53,MATCH($CG27,$B$6:$B$53,0),COLUMN()-COLUMN($CI$5)+1)&gt;0,INDEX($D$6:$CB$53,MATCH($CG27,$B$6:$B$53,0),COLUMN()-COLUMN($CI$5)+1),""))</f>
        <v/>
      </c>
      <c r="DH27" s="1753" t="str" cm="1">
        <f t="array" ref="DH27">IF($CG27="","",IF(INDEX($D$6:$CB$53,MATCH($CG27,$B$6:$B$53,0),COLUMN()-COLUMN($CI$5)+1)&gt;0,INDEX($D$6:$CB$53,MATCH($CG27,$B$6:$B$53,0),COLUMN()-COLUMN($CI$5)+1),""))</f>
        <v/>
      </c>
      <c r="DI27" s="1753" t="str" cm="1">
        <f t="array" ref="DI27">IF($CG27="","",IF(INDEX($D$6:$CB$53,MATCH($CG27,$B$6:$B$53,0),COLUMN()-COLUMN($CI$5)+1)&gt;0,INDEX($D$6:$CB$53,MATCH($CG27,$B$6:$B$53,0),COLUMN()-COLUMN($CI$5)+1),""))</f>
        <v/>
      </c>
      <c r="DJ27" s="1753" t="str" cm="1">
        <f t="array" ref="DJ27">IF($CG27="","",IF(INDEX($D$6:$CB$53,MATCH($CG27,$B$6:$B$53,0),COLUMN()-COLUMN($CI$5)+1)&gt;0,INDEX($D$6:$CB$53,MATCH($CG27,$B$6:$B$53,0),COLUMN()-COLUMN($CI$5)+1),""))</f>
        <v/>
      </c>
      <c r="DK27" s="1753" t="str" cm="1">
        <f t="array" ref="DK27">IF($CG27="","",IF(INDEX($D$6:$CB$53,MATCH($CG27,$B$6:$B$53,0),COLUMN()-COLUMN($CI$5)+1)&gt;0,INDEX($D$6:$CB$53,MATCH($CG27,$B$6:$B$53,0),COLUMN()-COLUMN($CI$5)+1),""))</f>
        <v/>
      </c>
      <c r="DL27" s="1753" t="str" cm="1">
        <f t="array" ref="DL27">IF($CG27="","",IF(INDEX($D$6:$CB$53,MATCH($CG27,$B$6:$B$53,0),COLUMN()-COLUMN($CI$5)+1)&gt;0,INDEX($D$6:$CB$53,MATCH($CG27,$B$6:$B$53,0),COLUMN()-COLUMN($CI$5)+1),""))</f>
        <v/>
      </c>
      <c r="DM27" s="1753" t="str" cm="1">
        <f t="array" ref="DM27">IF($CG27="","",IF(INDEX($D$6:$CB$53,MATCH($CG27,$B$6:$B$53,0),COLUMN()-COLUMN($CI$5)+1)&gt;0,INDEX($D$6:$CB$53,MATCH($CG27,$B$6:$B$53,0),COLUMN()-COLUMN($CI$5)+1),""))</f>
        <v/>
      </c>
      <c r="DN27" s="1753" t="str" cm="1">
        <f t="array" ref="DN27">IF($CG27="","",IF(INDEX($D$6:$CB$53,MATCH($CG27,$B$6:$B$53,0),COLUMN()-COLUMN($CI$5)+1)&gt;0,INDEX($D$6:$CB$53,MATCH($CG27,$B$6:$B$53,0),COLUMN()-COLUMN($CI$5)+1),""))</f>
        <v/>
      </c>
      <c r="DO27" s="1753" t="str" cm="1">
        <f t="array" ref="DO27">IF($CG27="","",IF(INDEX($D$6:$CB$53,MATCH($CG27,$B$6:$B$53,0),COLUMN()-COLUMN($CI$5)+1)&gt;0,INDEX($D$6:$CB$53,MATCH($CG27,$B$6:$B$53,0),COLUMN()-COLUMN($CI$5)+1),""))</f>
        <v/>
      </c>
      <c r="DP27" s="1753" t="str" cm="1">
        <f t="array" ref="DP27">IF($CG27="","",IF(INDEX($D$6:$CB$53,MATCH($CG27,$B$6:$B$53,0),COLUMN()-COLUMN($CI$5)+1)&gt;0,INDEX($D$6:$CB$53,MATCH($CG27,$B$6:$B$53,0),COLUMN()-COLUMN($CI$5)+1),""))</f>
        <v/>
      </c>
      <c r="DQ27" s="1753" t="str" cm="1">
        <f t="array" ref="DQ27">IF($CG27="","",IF(INDEX($D$6:$CB$53,MATCH($CG27,$B$6:$B$53,0),COLUMN()-COLUMN($CI$5)+1)&gt;0,INDEX($D$6:$CB$53,MATCH($CG27,$B$6:$B$53,0),COLUMN()-COLUMN($CI$5)+1),""))</f>
        <v/>
      </c>
      <c r="DR27" s="1753" t="str" cm="1">
        <f t="array" ref="DR27">IF($CG27="","",IF(INDEX($D$6:$CB$53,MATCH($CG27,$B$6:$B$53,0),COLUMN()-COLUMN($CI$5)+1)&gt;0,INDEX($D$6:$CB$53,MATCH($CG27,$B$6:$B$53,0),COLUMN()-COLUMN($CI$5)+1),""))</f>
        <v/>
      </c>
      <c r="DS27" s="1753" t="str" cm="1">
        <f t="array" ref="DS27">IF($CG27="","",IF(INDEX($D$6:$CB$53,MATCH($CG27,$B$6:$B$53,0),COLUMN()-COLUMN($CI$5)+1)&gt;0,INDEX($D$6:$CB$53,MATCH($CG27,$B$6:$B$53,0),COLUMN()-COLUMN($CI$5)+1),""))</f>
        <v/>
      </c>
      <c r="DT27" s="1753" t="str" cm="1">
        <f t="array" ref="DT27">IF($CG27="","",IF(INDEX($D$6:$CB$53,MATCH($CG27,$B$6:$B$53,0),COLUMN()-COLUMN($CI$5)+1)&gt;0,INDEX($D$6:$CB$53,MATCH($CG27,$B$6:$B$53,0),COLUMN()-COLUMN($CI$5)+1),""))</f>
        <v/>
      </c>
      <c r="DU27" s="1753" t="str" cm="1">
        <f t="array" ref="DU27">IF($CG27="","",IF(INDEX($D$6:$CB$53,MATCH($CG27,$B$6:$B$53,0),COLUMN()-COLUMN($CI$5)+1)&gt;0,INDEX($D$6:$CB$53,MATCH($CG27,$B$6:$B$53,0),COLUMN()-COLUMN($CI$5)+1),""))</f>
        <v/>
      </c>
      <c r="DV27" s="1753" t="str" cm="1">
        <f t="array" ref="DV27">IF($CG27="","",IF(INDEX($D$6:$CB$53,MATCH($CG27,$B$6:$B$53,0),COLUMN()-COLUMN($CI$5)+1)&gt;0,INDEX($D$6:$CB$53,MATCH($CG27,$B$6:$B$53,0),COLUMN()-COLUMN($CI$5)+1),""))</f>
        <v/>
      </c>
      <c r="DW27" s="1753" t="str" cm="1">
        <f t="array" ref="DW27">IF($CG27="","",IF(INDEX($D$6:$CB$53,MATCH($CG27,$B$6:$B$53,0),COLUMN()-COLUMN($CI$5)+1)&gt;0,INDEX($D$6:$CB$53,MATCH($CG27,$B$6:$B$53,0),COLUMN()-COLUMN($CI$5)+1),""))</f>
        <v/>
      </c>
      <c r="DX27" s="1753" t="str" cm="1">
        <f t="array" ref="DX27">IF($CG27="","",IF(INDEX($D$6:$CB$53,MATCH($CG27,$B$6:$B$53,0),COLUMN()-COLUMN($CI$5)+1)&gt;0,INDEX($D$6:$CB$53,MATCH($CG27,$B$6:$B$53,0),COLUMN()-COLUMN($CI$5)+1),""))</f>
        <v/>
      </c>
      <c r="DY27" s="1753" t="str" cm="1">
        <f t="array" ref="DY27">IF($CG27="","",IF(INDEX($D$6:$CB$53,MATCH($CG27,$B$6:$B$53,0),COLUMN()-COLUMN($CI$5)+1)&gt;0,INDEX($D$6:$CB$53,MATCH($CG27,$B$6:$B$53,0),COLUMN()-COLUMN($CI$5)+1),""))</f>
        <v/>
      </c>
      <c r="DZ27" s="1753" t="str" cm="1">
        <f t="array" ref="DZ27">IF($CG27="","",IF(INDEX($D$6:$CB$53,MATCH($CG27,$B$6:$B$53,0),COLUMN()-COLUMN($CI$5)+1)&gt;0,INDEX($D$6:$CB$53,MATCH($CG27,$B$6:$B$53,0),COLUMN()-COLUMN($CI$5)+1),""))</f>
        <v/>
      </c>
      <c r="EA27" s="1753" t="str" cm="1">
        <f t="array" ref="EA27">IF($CG27="","",IF(INDEX($D$6:$CB$53,MATCH($CG27,$B$6:$B$53,0),COLUMN()-COLUMN($CI$5)+1)&gt;0,INDEX($D$6:$CB$53,MATCH($CG27,$B$6:$B$53,0),COLUMN()-COLUMN($CI$5)+1),""))</f>
        <v/>
      </c>
      <c r="EB27" s="1753" t="str" cm="1">
        <f t="array" ref="EB27">IF($CG27="","",IF(INDEX($D$6:$CB$53,MATCH($CG27,$B$6:$B$53,0),COLUMN()-COLUMN($CI$5)+1)&gt;0,INDEX($D$6:$CB$53,MATCH($CG27,$B$6:$B$53,0),COLUMN()-COLUMN($CI$5)+1),""))</f>
        <v/>
      </c>
      <c r="EC27" s="1753" t="str" cm="1">
        <f t="array" ref="EC27">IF($CG27="","",IF(INDEX($D$6:$CB$53,MATCH($CG27,$B$6:$B$53,0),COLUMN()-COLUMN($CI$5)+1)&gt;0,INDEX($D$6:$CB$53,MATCH($CG27,$B$6:$B$53,0),COLUMN()-COLUMN($CI$5)+1),""))</f>
        <v/>
      </c>
      <c r="ED27" s="1753" t="str" cm="1">
        <f t="array" ref="ED27">IF($CG27="","",IF(INDEX($D$6:$CB$53,MATCH($CG27,$B$6:$B$53,0),COLUMN()-COLUMN($CI$5)+1)&gt;0,INDEX($D$6:$CB$53,MATCH($CG27,$B$6:$B$53,0),COLUMN()-COLUMN($CI$5)+1),""))</f>
        <v/>
      </c>
      <c r="EE27" s="1753" t="str" cm="1">
        <f t="array" ref="EE27">IF($CG27="","",IF(INDEX($D$6:$CB$53,MATCH($CG27,$B$6:$B$53,0),COLUMN()-COLUMN($CI$5)+1)&gt;0,INDEX($D$6:$CB$53,MATCH($CG27,$B$6:$B$53,0),COLUMN()-COLUMN($CI$5)+1),""))</f>
        <v/>
      </c>
      <c r="EF27" s="1753" t="str" cm="1">
        <f t="array" ref="EF27">IF($CG27="","",IF(INDEX($D$6:$CB$53,MATCH($CG27,$B$6:$B$53,0),COLUMN()-COLUMN($CI$5)+1)&gt;0,INDEX($D$6:$CB$53,MATCH($CG27,$B$6:$B$53,0),COLUMN()-COLUMN($CI$5)+1),""))</f>
        <v/>
      </c>
      <c r="EG27" s="1753" t="str">
        <f>IF($CG27="","",IF(INDEX($D$6:$CB$53,MATCH($CG27,$B$6:$B$53,0),COLUMN()-COLUMN($CI$5)+1)&gt;0,INDEX($D$6:$CB$53,MATCH($CG27,$B$6:$B$53,0),COLUMN()-COLUMN($CI$5)+1),""))</f>
        <v/>
      </c>
      <c r="EH27" s="1753" t="str" cm="1">
        <f t="array" ref="EH27">IF($CG27="","",IF(INDEX($D$6:$CB$53,MATCH($CG27,$B$6:$B$53,0),COLUMN()-COLUMN($CI$5)+1)&gt;0,INDEX($D$6:$CB$53,MATCH($CG27,$B$6:$B$53,0),COLUMN()-COLUMN($CI$5)+1),""))</f>
        <v/>
      </c>
      <c r="EI27" s="1753" t="str" cm="1">
        <f t="array" ref="EI27">IF($CG27="","",IF(INDEX($D$6:$CB$53,MATCH($CG27,$B$6:$B$53,0),COLUMN()-COLUMN($CI$5)+1)&gt;0,INDEX($D$6:$CB$53,MATCH($CG27,$B$6:$B$53,0),COLUMN()-COLUMN($CI$5)+1),""))</f>
        <v/>
      </c>
      <c r="EJ27" s="1753" t="str" cm="1">
        <f t="array" ref="EJ27">IF($CG27="","",IF(INDEX($D$6:$CB$53,MATCH($CG27,$B$6:$B$53,0),COLUMN()-COLUMN($CI$5)+1)&gt;0,INDEX($D$6:$CB$53,MATCH($CG27,$B$6:$B$53,0),COLUMN()-COLUMN($CI$5)+1),""))</f>
        <v/>
      </c>
      <c r="EK27" s="1753" t="str" cm="1">
        <f t="array" ref="EK27">IF($CG27="","",IF(INDEX($D$6:$CB$53,MATCH($CG27,$B$6:$B$53,0),COLUMN()-COLUMN($CI$5)+1)&gt;0,INDEX($D$6:$CB$53,MATCH($CG27,$B$6:$B$53,0),COLUMN()-COLUMN($CI$5)+1),""))</f>
        <v/>
      </c>
      <c r="EL27" s="1753" t="str" cm="1">
        <f t="array" ref="EL27">IF($CG27="","",IF(INDEX($D$6:$CB$53,MATCH($CG27,$B$6:$B$53,0),COLUMN()-COLUMN($CI$5)+1)&gt;0,INDEX($D$6:$CB$53,MATCH($CG27,$B$6:$B$53,0),COLUMN()-COLUMN($CI$5)+1),""))</f>
        <v/>
      </c>
      <c r="EM27" s="1753" t="str" cm="1">
        <f t="array" ref="EM27">IF($CG27="","",IF(INDEX($D$6:$CB$53,MATCH($CG27,$B$6:$B$53,0),COLUMN()-COLUMN($CI$5)+1)&gt;0,INDEX($D$6:$CB$53,MATCH($CG27,$B$6:$B$53,0),COLUMN()-COLUMN($CI$5)+1),""))</f>
        <v/>
      </c>
      <c r="EN27" s="1753" t="str" cm="1">
        <f t="array" ref="EN27">IF($CG27="","",IF(INDEX($D$6:$CB$53,MATCH($CG27,$B$6:$B$53,0),COLUMN()-COLUMN($CI$5)+1)&gt;0,INDEX($D$6:$CB$53,MATCH($CG27,$B$6:$B$53,0),COLUMN()-COLUMN($CI$5)+1),""))</f>
        <v/>
      </c>
      <c r="EO27" s="1753" t="str" cm="1">
        <f t="array" ref="EO27">IF($CG27="","",IF(INDEX($D$6:$CB$53,MATCH($CG27,$B$6:$B$53,0),COLUMN()-COLUMN($CI$5)+1)&gt;0,INDEX($D$6:$CB$53,MATCH($CG27,$B$6:$B$53,0),COLUMN()-COLUMN($CI$5)+1),""))</f>
        <v/>
      </c>
      <c r="EP27" s="1753" t="str" cm="1">
        <f t="array" ref="EP27">IF($CG27="","",IF(INDEX($D$6:$CB$53,MATCH($CG27,$B$6:$B$53,0),COLUMN()-COLUMN($CI$5)+1)&gt;0,INDEX($D$6:$CB$53,MATCH($CG27,$B$6:$B$53,0),COLUMN()-COLUMN($CI$5)+1),""))</f>
        <v/>
      </c>
      <c r="EQ27" s="1753" t="str" cm="1">
        <f t="array" ref="EQ27">IF($CG27="","",IF(INDEX($D$6:$CB$53,MATCH($CG27,$B$6:$B$53,0),COLUMN()-COLUMN($CI$5)+1)&gt;0,INDEX($D$6:$CB$53,MATCH($CG27,$B$6:$B$53,0),COLUMN()-COLUMN($CI$5)+1),""))</f>
        <v/>
      </c>
      <c r="ER27" s="1753" t="str" cm="1">
        <f t="array" ref="ER27">IF($CG27="","",IF(INDEX($D$6:$CB$53,MATCH($CG27,$B$6:$B$53,0),COLUMN()-COLUMN($CI$5)+1)&gt;0,INDEX($D$6:$CB$53,MATCH($CG27,$B$6:$B$53,0),COLUMN()-COLUMN($CI$5)+1),""))</f>
        <v/>
      </c>
      <c r="ES27" s="1753" t="str" cm="1">
        <f t="array" ref="ES27">IF($CG27="","",IF(INDEX($D$6:$CB$53,MATCH($CG27,$B$6:$B$53,0),COLUMN()-COLUMN($CI$5)+1)&gt;0,INDEX($D$6:$CB$53,MATCH($CG27,$B$6:$B$53,0),COLUMN()-COLUMN($CI$5)+1),""))</f>
        <v/>
      </c>
      <c r="ET27" s="1753" t="str" cm="1">
        <f t="array" ref="ET27">IF($CG27="","",IF(INDEX($D$6:$CB$53,MATCH($CG27,$B$6:$B$53,0),COLUMN()-COLUMN($CI$5)+1)&gt;0,INDEX($D$6:$CB$53,MATCH($CG27,$B$6:$B$53,0),COLUMN()-COLUMN($CI$5)+1),""))</f>
        <v/>
      </c>
      <c r="EU27" s="1753" t="str" cm="1">
        <f t="array" ref="EU27">IF($CG27="","",IF(INDEX($D$6:$CB$53,MATCH($CG27,$B$6:$B$53,0),COLUMN()-COLUMN($CI$5)+1)&gt;0,INDEX($D$6:$CB$53,MATCH($CG27,$B$6:$B$53,0),COLUMN()-COLUMN($CI$5)+1),""))</f>
        <v/>
      </c>
      <c r="EV27" s="1753" t="str" cm="1">
        <f t="array" ref="EV27">IF($CG27="","",IF(INDEX($D$6:$CB$53,MATCH($CG27,$B$6:$B$53,0),COLUMN()-COLUMN($CI$5)+1)&gt;0,INDEX($D$6:$CB$53,MATCH($CG27,$B$6:$B$53,0),COLUMN()-COLUMN($CI$5)+1),""))</f>
        <v/>
      </c>
      <c r="EW27" s="1753" t="str" cm="1">
        <f t="array" ref="EW27">IF($CG27="","",IF(INDEX($D$6:$CB$53,MATCH($CG27,$B$6:$B$53,0),COLUMN()-COLUMN($CI$5)+1)&gt;0,INDEX($D$6:$CB$53,MATCH($CG27,$B$6:$B$53,0),COLUMN()-COLUMN($CI$5)+1),""))</f>
        <v/>
      </c>
      <c r="EX27" s="1753" t="str" cm="1">
        <f t="array" ref="EX27">IF($CG27="","",IF(INDEX($D$6:$CB$53,MATCH($CG27,$B$6:$B$53,0),COLUMN()-COLUMN($CI$5)+1)&gt;0,INDEX($D$6:$CB$53,MATCH($CG27,$B$6:$B$53,0),COLUMN()-COLUMN($CI$5)+1),""))</f>
        <v/>
      </c>
      <c r="EY27" s="1753" t="str" cm="1">
        <f t="array" ref="EY27">IF($CG27="","",IF(INDEX($D$6:$CB$53,MATCH($CG27,$B$6:$B$53,0),COLUMN()-COLUMN($CI$5)+1)&gt;0,INDEX($D$6:$CB$53,MATCH($CG27,$B$6:$B$53,0),COLUMN()-COLUMN($CI$5)+1),""))</f>
        <v/>
      </c>
      <c r="EZ27" s="1753" t="str" cm="1">
        <f t="array" ref="EZ27">IF($CG27="","",IF(INDEX($D$6:$CB$53,MATCH($CG27,$B$6:$B$53,0),COLUMN()-COLUMN($CI$5)+1)&gt;0,INDEX($D$6:$CB$53,MATCH($CG27,$B$6:$B$53,0),COLUMN()-COLUMN($CI$5)+1),""))</f>
        <v/>
      </c>
      <c r="FA27" s="1753" t="str" cm="1">
        <f t="array" ref="FA27">IF($CG27="","",IF(INDEX($D$6:$CB$53,MATCH($CG27,$B$6:$B$53,0),COLUMN()-COLUMN($CI$5)+1)&gt;0,INDEX($D$6:$CB$53,MATCH($CG27,$B$6:$B$53,0),COLUMN()-COLUMN($CI$5)+1),""))</f>
        <v/>
      </c>
      <c r="FB27" s="1753" t="str" cm="1">
        <f t="array" ref="FB27">IF($CG27="","",IF(INDEX($D$6:$CB$53,MATCH($CG27,$B$6:$B$53,0),COLUMN()-COLUMN($CI$5)+1)&gt;0,INDEX($D$6:$CB$53,MATCH($CG27,$B$6:$B$53,0),COLUMN()-COLUMN($CI$5)+1),""))</f>
        <v/>
      </c>
      <c r="FC27" s="1753" t="str" cm="1">
        <f t="array" ref="FC27">IF($CG27="","",IF(INDEX($D$6:$CB$53,MATCH($CG27,$B$6:$B$53,0),COLUMN()-COLUMN($CI$5)+1)&gt;0,INDEX($D$6:$CB$53,MATCH($CG27,$B$6:$B$53,0),COLUMN()-COLUMN($CI$5)+1),""))</f>
        <v/>
      </c>
      <c r="FD27" s="1753" t="str" cm="1">
        <f t="array" ref="FD27">IF($CG27="","",IF(INDEX($D$6:$CB$53,MATCH($CG27,$B$6:$B$53,0),COLUMN()-COLUMN($CI$5)+1)&gt;0,INDEX($D$6:$CB$53,MATCH($CG27,$B$6:$B$53,0),COLUMN()-COLUMN($CI$5)+1),""))</f>
        <v/>
      </c>
      <c r="FE27" s="1753" t="str" cm="1">
        <f t="array" ref="FE27">IF($CG27="","",IF(INDEX($D$6:$CB$53,MATCH($CG27,$B$6:$B$53,0),COLUMN()-COLUMN($CI$5)+1)&gt;0,INDEX($D$6:$CB$53,MATCH($CG27,$B$6:$B$53,0),COLUMN()-COLUMN($CI$5)+1),""))</f>
        <v/>
      </c>
      <c r="FF27" s="1753" t="str" cm="1">
        <f t="array" ref="FF27">IF($CG27="","",IF(INDEX($D$6:$CB$53,MATCH($CG27,$B$6:$B$53,0),COLUMN()-COLUMN($CI$5)+1)&gt;0,INDEX($D$6:$CB$53,MATCH($CG27,$B$6:$B$53,0),COLUMN()-COLUMN($CI$5)+1),""))</f>
        <v/>
      </c>
      <c r="FG27" s="1753" t="str" cm="1">
        <f t="array" ref="FG27">IF($CG27="","",IF(INDEX($D$6:$CB$53,MATCH($CG27,$B$6:$B$53,0),COLUMN()-COLUMN($CI$5)+1)&gt;0,INDEX($D$6:$CB$53,MATCH($CG27,$B$6:$B$53,0),COLUMN()-COLUMN($CI$5)+1),""))</f>
        <v/>
      </c>
      <c r="FH27" s="1761" t="str">
        <f t="shared" si="4"/>
        <v/>
      </c>
      <c r="FI27" s="1761" t="str">
        <f t="shared" si="5"/>
        <v/>
      </c>
      <c r="FJ27" s="1761" t="str">
        <f t="shared" si="6"/>
        <v/>
      </c>
      <c r="FK27" s="1754"/>
    </row>
    <row r="28" spans="1:167" ht="15.75" customHeight="1">
      <c r="A28" s="1220"/>
      <c r="B28" s="1278">
        <f>+PP!B46</f>
        <v>23</v>
      </c>
      <c r="C28" s="1279" t="str">
        <f>+PP!C46</f>
        <v>MANTO LP C/M C/T 500-1000 g/pza</v>
      </c>
      <c r="D28" s="1414"/>
      <c r="E28" s="1405"/>
      <c r="F28" s="1415"/>
      <c r="G28" s="1405"/>
      <c r="H28" s="1405"/>
      <c r="I28" s="1405"/>
      <c r="J28" s="1405"/>
      <c r="K28" s="1405"/>
      <c r="L28" s="1405"/>
      <c r="M28" s="1405"/>
      <c r="N28" s="1405"/>
      <c r="O28" s="1405"/>
      <c r="P28" s="1405"/>
      <c r="Q28" s="1405"/>
      <c r="R28" s="1405"/>
      <c r="S28" s="1405"/>
      <c r="T28" s="1405"/>
      <c r="U28" s="1405"/>
      <c r="V28" s="1405"/>
      <c r="W28" s="1405"/>
      <c r="X28" s="1405"/>
      <c r="Y28" s="1405"/>
      <c r="Z28" s="1405"/>
      <c r="AA28" s="1405"/>
      <c r="AB28" s="1405"/>
      <c r="AC28" s="1405"/>
      <c r="AD28" s="1405"/>
      <c r="AE28" s="1405"/>
      <c r="AF28" s="1405"/>
      <c r="AG28" s="1405"/>
      <c r="AH28" s="1406"/>
      <c r="AI28" s="1235"/>
      <c r="AJ28" s="1235"/>
      <c r="AK28" s="1235"/>
      <c r="AL28" s="1235"/>
      <c r="AM28" s="1235"/>
      <c r="AN28" s="1235"/>
      <c r="AO28" s="1235"/>
      <c r="AP28" s="1218"/>
      <c r="AQ28" s="1218"/>
      <c r="AR28" s="1218"/>
      <c r="AS28" s="1218"/>
      <c r="AT28" s="1218"/>
      <c r="AU28" s="1218"/>
      <c r="AV28" s="1218"/>
      <c r="AW28" s="1218"/>
      <c r="AX28" s="1218"/>
      <c r="AY28" s="1218"/>
      <c r="AZ28" s="1218"/>
      <c r="BA28" s="1218"/>
      <c r="BB28" s="1218"/>
      <c r="BC28" s="1218"/>
      <c r="BD28" s="1218"/>
      <c r="BE28" s="1218"/>
      <c r="BF28" s="1218"/>
      <c r="BG28" s="1218"/>
      <c r="BH28" s="1218"/>
      <c r="BI28" s="1218"/>
      <c r="BJ28" s="1218"/>
      <c r="BK28" s="1218"/>
      <c r="BL28" s="1218"/>
      <c r="BM28" s="1218"/>
      <c r="BN28" s="1218"/>
      <c r="BO28" s="1218"/>
      <c r="BP28" s="1218"/>
      <c r="BQ28" s="1218"/>
      <c r="BR28" s="1557"/>
      <c r="BS28" s="1557"/>
      <c r="BT28" s="1557"/>
      <c r="BU28" s="1557"/>
      <c r="BV28" s="1557"/>
      <c r="BW28" s="1557"/>
      <c r="BX28" s="1557"/>
      <c r="BY28" s="1557"/>
      <c r="BZ28" s="1557"/>
      <c r="CA28" s="1557"/>
      <c r="CB28" s="1564"/>
      <c r="CC28" s="1550">
        <f t="shared" si="0"/>
        <v>0</v>
      </c>
      <c r="CD28" s="1236">
        <f t="shared" si="1"/>
        <v>0</v>
      </c>
      <c r="CE28" s="1237">
        <f t="shared" si="2"/>
        <v>0</v>
      </c>
      <c r="CF28" s="1220"/>
      <c r="CG28" s="1751" t="str" cm="1">
        <f t="array" ref="CG28">IFERROR(INDEX($B$6:$B$53,_xlfn.AGGREGATE(15,6,(ROW($B$6:$B$53)-ROW($B$6)+1)/(MMULT(--($D$6:$CB$53&gt;0),TRANSPOSE(COLUMN($D$6:$CB$6)^0))&gt;0),ROWS($CG$6:CG28))),"")</f>
        <v/>
      </c>
      <c r="CH28" s="1752" t="str">
        <f t="shared" si="3"/>
        <v/>
      </c>
      <c r="CI28" s="1753" t="str" cm="1">
        <f t="array" ref="CI28">IF($CG28="","",IF(INDEX($D$6:$CB$53,MATCH($CG28,$B$6:$B$53,0),COLUMN()-COLUMN($CI$5)+1)&gt;0,INDEX($D$6:$CB$53,MATCH($CG28,$B$6:$B$53,0),COLUMN()-COLUMN($CI$5)+1),""))</f>
        <v/>
      </c>
      <c r="CJ28" s="1753" t="str" cm="1">
        <f t="array" ref="CJ28">IF($CG28="","",IF(INDEX($D$6:$CB$53,MATCH($CG28,$B$6:$B$53,0),COLUMN()-COLUMN($CI$5)+1)&gt;0,INDEX($D$6:$CB$53,MATCH($CG28,$B$6:$B$53,0),COLUMN()-COLUMN($CI$5)+1),""))</f>
        <v/>
      </c>
      <c r="CK28" s="1753" t="str" cm="1">
        <f t="array" ref="CK28">IF($CG28="","",IF(INDEX($D$6:$CB$53,MATCH($CG28,$B$6:$B$53,0),COLUMN()-COLUMN($CI$5)+1)&gt;0,INDEX($D$6:$CB$53,MATCH($CG28,$B$6:$B$53,0),COLUMN()-COLUMN($CI$5)+1),""))</f>
        <v/>
      </c>
      <c r="CL28" s="1753" t="str" cm="1">
        <f t="array" ref="CL28">IF($CG28="","",IF(INDEX($D$6:$CB$53,MATCH($CG28,$B$6:$B$53,0),COLUMN()-COLUMN($CI$5)+1)&gt;0,INDEX($D$6:$CB$53,MATCH($CG28,$B$6:$B$53,0),COLUMN()-COLUMN($CI$5)+1),""))</f>
        <v/>
      </c>
      <c r="CM28" s="1753" t="str" cm="1">
        <f t="array" ref="CM28">IF($CG28="","",IF(INDEX($D$6:$CB$53,MATCH($CG28,$B$6:$B$53,0),COLUMN()-COLUMN($CI$5)+1)&gt;0,INDEX($D$6:$CB$53,MATCH($CG28,$B$6:$B$53,0),COLUMN()-COLUMN($CI$5)+1),""))</f>
        <v/>
      </c>
      <c r="CN28" s="1753" t="str" cm="1">
        <f t="array" ref="CN28">IF($CG28="","",IF(INDEX($D$6:$CB$53,MATCH($CG28,$B$6:$B$53,0),COLUMN()-COLUMN($CI$5)+1)&gt;0,INDEX($D$6:$CB$53,MATCH($CG28,$B$6:$B$53,0),COLUMN()-COLUMN($CI$5)+1),""))</f>
        <v/>
      </c>
      <c r="CO28" s="1753" t="str" cm="1">
        <f t="array" ref="CO28">IF($CG28="","",IF(INDEX($D$6:$CB$53,MATCH($CG28,$B$6:$B$53,0),COLUMN()-COLUMN($CI$5)+1)&gt;0,INDEX($D$6:$CB$53,MATCH($CG28,$B$6:$B$53,0),COLUMN()-COLUMN($CI$5)+1),""))</f>
        <v/>
      </c>
      <c r="CP28" s="1753" t="str" cm="1">
        <f t="array" ref="CP28">IF($CG28="","",IF(INDEX($D$6:$CB$53,MATCH($CG28,$B$6:$B$53,0),COLUMN()-COLUMN($CI$5)+1)&gt;0,INDEX($D$6:$CB$53,MATCH($CG28,$B$6:$B$53,0),COLUMN()-COLUMN($CI$5)+1),""))</f>
        <v/>
      </c>
      <c r="CQ28" s="1753" t="str" cm="1">
        <f t="array" ref="CQ28">IF($CG28="","",IF(INDEX($D$6:$CB$53,MATCH($CG28,$B$6:$B$53,0),COLUMN()-COLUMN($CI$5)+1)&gt;0,INDEX($D$6:$CB$53,MATCH($CG28,$B$6:$B$53,0),COLUMN()-COLUMN($CI$5)+1),""))</f>
        <v/>
      </c>
      <c r="CR28" s="1753" t="str" cm="1">
        <f t="array" ref="CR28">IF($CG28="","",IF(INDEX($D$6:$CB$53,MATCH($CG28,$B$6:$B$53,0),COLUMN()-COLUMN($CI$5)+1)&gt;0,INDEX($D$6:$CB$53,MATCH($CG28,$B$6:$B$53,0),COLUMN()-COLUMN($CI$5)+1),""))</f>
        <v/>
      </c>
      <c r="CS28" s="1753" t="str">
        <f>IF($CG28="","",IF(INDEX($D$6:$CB$53,MATCH($CG28,$B$6:$B$53,0),COLUMN()-COLUMN($CI$5)+1)&gt;0,INDEX($D$6:$CB$53,MATCH($CG28,$B$6:$B$53,0),COLUMN()-COLUMN($CI$5)+1),""))</f>
        <v/>
      </c>
      <c r="CT28" s="1753" t="str" cm="1">
        <f t="array" ref="CT28">IF($CG28="","",IF(INDEX($D$6:$CB$53,MATCH($CG28,$B$6:$B$53,0),COLUMN()-COLUMN($CI$5)+1)&gt;0,INDEX($D$6:$CB$53,MATCH($CG28,$B$6:$B$53,0),COLUMN()-COLUMN($CI$5)+1),""))</f>
        <v/>
      </c>
      <c r="CU28" s="1753" t="str" cm="1">
        <f t="array" ref="CU28">IF($CG28="","",IF(INDEX($D$6:$CB$53,MATCH($CG28,$B$6:$B$53,0),COLUMN()-COLUMN($CI$5)+1)&gt;0,INDEX($D$6:$CB$53,MATCH($CG28,$B$6:$B$53,0),COLUMN()-COLUMN($CI$5)+1),""))</f>
        <v/>
      </c>
      <c r="CV28" s="1753" t="str" cm="1">
        <f t="array" ref="CV28">IF($CG28="","",IF(INDEX($D$6:$CB$53,MATCH($CG28,$B$6:$B$53,0),COLUMN()-COLUMN($CI$5)+1)&gt;0,INDEX($D$6:$CB$53,MATCH($CG28,$B$6:$B$53,0),COLUMN()-COLUMN($CI$5)+1),""))</f>
        <v/>
      </c>
      <c r="CW28" s="1753" t="str" cm="1">
        <f t="array" ref="CW28">IF($CG28="","",IF(INDEX($D$6:$CB$53,MATCH($CG28,$B$6:$B$53,0),COLUMN()-COLUMN($CI$5)+1)&gt;0,INDEX($D$6:$CB$53,MATCH($CG28,$B$6:$B$53,0),COLUMN()-COLUMN($CI$5)+1),""))</f>
        <v/>
      </c>
      <c r="CX28" s="1753" t="str" cm="1">
        <f t="array" ref="CX28">IF($CG28="","",IF(INDEX($D$6:$CB$53,MATCH($CG28,$B$6:$B$53,0),COLUMN()-COLUMN($CI$5)+1)&gt;0,INDEX($D$6:$CB$53,MATCH($CG28,$B$6:$B$53,0),COLUMN()-COLUMN($CI$5)+1),""))</f>
        <v/>
      </c>
      <c r="CY28" s="1753" t="str" cm="1">
        <f t="array" ref="CY28">IF($CG28="","",IF(INDEX($D$6:$CB$53,MATCH($CG28,$B$6:$B$53,0),COLUMN()-COLUMN($CI$5)+1)&gt;0,INDEX($D$6:$CB$53,MATCH($CG28,$B$6:$B$53,0),COLUMN()-COLUMN($CI$5)+1),""))</f>
        <v/>
      </c>
      <c r="CZ28" s="1753" t="str" cm="1">
        <f t="array" ref="CZ28">IF($CG28="","",IF(INDEX($D$6:$CB$53,MATCH($CG28,$B$6:$B$53,0),COLUMN()-COLUMN($CI$5)+1)&gt;0,INDEX($D$6:$CB$53,MATCH($CG28,$B$6:$B$53,0),COLUMN()-COLUMN($CI$5)+1),""))</f>
        <v/>
      </c>
      <c r="DA28" s="1753" t="str" cm="1">
        <f t="array" ref="DA28">IF($CG28="","",IF(INDEX($D$6:$CB$53,MATCH($CG28,$B$6:$B$53,0),COLUMN()-COLUMN($CI$5)+1)&gt;0,INDEX($D$6:$CB$53,MATCH($CG28,$B$6:$B$53,0),COLUMN()-COLUMN($CI$5)+1),""))</f>
        <v/>
      </c>
      <c r="DB28" s="1753" t="str" cm="1">
        <f t="array" ref="DB28">IF($CG28="","",IF(INDEX($D$6:$CB$53,MATCH($CG28,$B$6:$B$53,0),COLUMN()-COLUMN($CI$5)+1)&gt;0,INDEX($D$6:$CB$53,MATCH($CG28,$B$6:$B$53,0),COLUMN()-COLUMN($CI$5)+1),""))</f>
        <v/>
      </c>
      <c r="DC28" s="1753" t="str" cm="1">
        <f t="array" ref="DC28">IF($CG28="","",IF(INDEX($D$6:$CB$53,MATCH($CG28,$B$6:$B$53,0),COLUMN()-COLUMN($CI$5)+1)&gt;0,INDEX($D$6:$CB$53,MATCH($CG28,$B$6:$B$53,0),COLUMN()-COLUMN($CI$5)+1),""))</f>
        <v/>
      </c>
      <c r="DD28" s="1753" t="str" cm="1">
        <f t="array" ref="DD28">IF($CG28="","",IF(INDEX($D$6:$CB$53,MATCH($CG28,$B$6:$B$53,0),COLUMN()-COLUMN($CI$5)+1)&gt;0,INDEX($D$6:$CB$53,MATCH($CG28,$B$6:$B$53,0),COLUMN()-COLUMN($CI$5)+1),""))</f>
        <v/>
      </c>
      <c r="DE28" s="1753" t="str" cm="1">
        <f t="array" ref="DE28">IF($CG28="","",IF(INDEX($D$6:$CB$53,MATCH($CG28,$B$6:$B$53,0),COLUMN()-COLUMN($CI$5)+1)&gt;0,INDEX($D$6:$CB$53,MATCH($CG28,$B$6:$B$53,0),COLUMN()-COLUMN($CI$5)+1),""))</f>
        <v/>
      </c>
      <c r="DF28" s="1753" t="str" cm="1">
        <f t="array" ref="DF28">IF($CG28="","",IF(INDEX($D$6:$CB$53,MATCH($CG28,$B$6:$B$53,0),COLUMN()-COLUMN($CI$5)+1)&gt;0,INDEX($D$6:$CB$53,MATCH($CG28,$B$6:$B$53,0),COLUMN()-COLUMN($CI$5)+1),""))</f>
        <v/>
      </c>
      <c r="DG28" s="1753" t="str" cm="1">
        <f t="array" ref="DG28">IF($CG28="","",IF(INDEX($D$6:$CB$53,MATCH($CG28,$B$6:$B$53,0),COLUMN()-COLUMN($CI$5)+1)&gt;0,INDEX($D$6:$CB$53,MATCH($CG28,$B$6:$B$53,0),COLUMN()-COLUMN($CI$5)+1),""))</f>
        <v/>
      </c>
      <c r="DH28" s="1753" t="str" cm="1">
        <f t="array" ref="DH28">IF($CG28="","",IF(INDEX($D$6:$CB$53,MATCH($CG28,$B$6:$B$53,0),COLUMN()-COLUMN($CI$5)+1)&gt;0,INDEX($D$6:$CB$53,MATCH($CG28,$B$6:$B$53,0),COLUMN()-COLUMN($CI$5)+1),""))</f>
        <v/>
      </c>
      <c r="DI28" s="1753" t="str" cm="1">
        <f t="array" ref="DI28">IF($CG28="","",IF(INDEX($D$6:$CB$53,MATCH($CG28,$B$6:$B$53,0),COLUMN()-COLUMN($CI$5)+1)&gt;0,INDEX($D$6:$CB$53,MATCH($CG28,$B$6:$B$53,0),COLUMN()-COLUMN($CI$5)+1),""))</f>
        <v/>
      </c>
      <c r="DJ28" s="1753" t="str" cm="1">
        <f t="array" ref="DJ28">IF($CG28="","",IF(INDEX($D$6:$CB$53,MATCH($CG28,$B$6:$B$53,0),COLUMN()-COLUMN($CI$5)+1)&gt;0,INDEX($D$6:$CB$53,MATCH($CG28,$B$6:$B$53,0),COLUMN()-COLUMN($CI$5)+1),""))</f>
        <v/>
      </c>
      <c r="DK28" s="1753" t="str" cm="1">
        <f t="array" ref="DK28">IF($CG28="","",IF(INDEX($D$6:$CB$53,MATCH($CG28,$B$6:$B$53,0),COLUMN()-COLUMN($CI$5)+1)&gt;0,INDEX($D$6:$CB$53,MATCH($CG28,$B$6:$B$53,0),COLUMN()-COLUMN($CI$5)+1),""))</f>
        <v/>
      </c>
      <c r="DL28" s="1753" t="str" cm="1">
        <f t="array" ref="DL28">IF($CG28="","",IF(INDEX($D$6:$CB$53,MATCH($CG28,$B$6:$B$53,0),COLUMN()-COLUMN($CI$5)+1)&gt;0,INDEX($D$6:$CB$53,MATCH($CG28,$B$6:$B$53,0),COLUMN()-COLUMN($CI$5)+1),""))</f>
        <v/>
      </c>
      <c r="DM28" s="1753" t="str" cm="1">
        <f t="array" ref="DM28">IF($CG28="","",IF(INDEX($D$6:$CB$53,MATCH($CG28,$B$6:$B$53,0),COLUMN()-COLUMN($CI$5)+1)&gt;0,INDEX($D$6:$CB$53,MATCH($CG28,$B$6:$B$53,0),COLUMN()-COLUMN($CI$5)+1),""))</f>
        <v/>
      </c>
      <c r="DN28" s="1753" t="str" cm="1">
        <f t="array" ref="DN28">IF($CG28="","",IF(INDEX($D$6:$CB$53,MATCH($CG28,$B$6:$B$53,0),COLUMN()-COLUMN($CI$5)+1)&gt;0,INDEX($D$6:$CB$53,MATCH($CG28,$B$6:$B$53,0),COLUMN()-COLUMN($CI$5)+1),""))</f>
        <v/>
      </c>
      <c r="DO28" s="1753" t="str" cm="1">
        <f t="array" ref="DO28">IF($CG28="","",IF(INDEX($D$6:$CB$53,MATCH($CG28,$B$6:$B$53,0),COLUMN()-COLUMN($CI$5)+1)&gt;0,INDEX($D$6:$CB$53,MATCH($CG28,$B$6:$B$53,0),COLUMN()-COLUMN($CI$5)+1),""))</f>
        <v/>
      </c>
      <c r="DP28" s="1753" t="str" cm="1">
        <f t="array" ref="DP28">IF($CG28="","",IF(INDEX($D$6:$CB$53,MATCH($CG28,$B$6:$B$53,0),COLUMN()-COLUMN($CI$5)+1)&gt;0,INDEX($D$6:$CB$53,MATCH($CG28,$B$6:$B$53,0),COLUMN()-COLUMN($CI$5)+1),""))</f>
        <v/>
      </c>
      <c r="DQ28" s="1753" t="str" cm="1">
        <f t="array" ref="DQ28">IF($CG28="","",IF(INDEX($D$6:$CB$53,MATCH($CG28,$B$6:$B$53,0),COLUMN()-COLUMN($CI$5)+1)&gt;0,INDEX($D$6:$CB$53,MATCH($CG28,$B$6:$B$53,0),COLUMN()-COLUMN($CI$5)+1),""))</f>
        <v/>
      </c>
      <c r="DR28" s="1753" t="str" cm="1">
        <f t="array" ref="DR28">IF($CG28="","",IF(INDEX($D$6:$CB$53,MATCH($CG28,$B$6:$B$53,0),COLUMN()-COLUMN($CI$5)+1)&gt;0,INDEX($D$6:$CB$53,MATCH($CG28,$B$6:$B$53,0),COLUMN()-COLUMN($CI$5)+1),""))</f>
        <v/>
      </c>
      <c r="DS28" s="1753" t="str">
        <f>IF($CG28="","",IF(INDEX($D$6:$CB$53,MATCH($CG28,$B$6:$B$53,0),COLUMN()-COLUMN($CI$5)+1)&gt;0,INDEX($D$6:$CB$53,MATCH($CG28,$B$6:$B$53,0),COLUMN()-COLUMN($CI$5)+1),""))</f>
        <v/>
      </c>
      <c r="DT28" s="1753" t="str" cm="1">
        <f t="array" ref="DT28">IF($CG28="","",IF(INDEX($D$6:$CB$53,MATCH($CG28,$B$6:$B$53,0),COLUMN()-COLUMN($CI$5)+1)&gt;0,INDEX($D$6:$CB$53,MATCH($CG28,$B$6:$B$53,0),COLUMN()-COLUMN($CI$5)+1),""))</f>
        <v/>
      </c>
      <c r="DU28" s="1753" t="str" cm="1">
        <f t="array" ref="DU28">IF($CG28="","",IF(INDEX($D$6:$CB$53,MATCH($CG28,$B$6:$B$53,0),COLUMN()-COLUMN($CI$5)+1)&gt;0,INDEX($D$6:$CB$53,MATCH($CG28,$B$6:$B$53,0),COLUMN()-COLUMN($CI$5)+1),""))</f>
        <v/>
      </c>
      <c r="DV28" s="1753" t="str" cm="1">
        <f t="array" ref="DV28">IF($CG28="","",IF(INDEX($D$6:$CB$53,MATCH($CG28,$B$6:$B$53,0),COLUMN()-COLUMN($CI$5)+1)&gt;0,INDEX($D$6:$CB$53,MATCH($CG28,$B$6:$B$53,0),COLUMN()-COLUMN($CI$5)+1),""))</f>
        <v/>
      </c>
      <c r="DW28" s="1753" t="str" cm="1">
        <f t="array" ref="DW28">IF($CG28="","",IF(INDEX($D$6:$CB$53,MATCH($CG28,$B$6:$B$53,0),COLUMN()-COLUMN($CI$5)+1)&gt;0,INDEX($D$6:$CB$53,MATCH($CG28,$B$6:$B$53,0),COLUMN()-COLUMN($CI$5)+1),""))</f>
        <v/>
      </c>
      <c r="DX28" s="1753" t="str" cm="1">
        <f t="array" ref="DX28">IF($CG28="","",IF(INDEX($D$6:$CB$53,MATCH($CG28,$B$6:$B$53,0),COLUMN()-COLUMN($CI$5)+1)&gt;0,INDEX($D$6:$CB$53,MATCH($CG28,$B$6:$B$53,0),COLUMN()-COLUMN($CI$5)+1),""))</f>
        <v/>
      </c>
      <c r="DY28" s="1753" t="str" cm="1">
        <f t="array" ref="DY28">IF($CG28="","",IF(INDEX($D$6:$CB$53,MATCH($CG28,$B$6:$B$53,0),COLUMN()-COLUMN($CI$5)+1)&gt;0,INDEX($D$6:$CB$53,MATCH($CG28,$B$6:$B$53,0),COLUMN()-COLUMN($CI$5)+1),""))</f>
        <v/>
      </c>
      <c r="DZ28" s="1753" t="str" cm="1">
        <f t="array" ref="DZ28">IF($CG28="","",IF(INDEX($D$6:$CB$53,MATCH($CG28,$B$6:$B$53,0),COLUMN()-COLUMN($CI$5)+1)&gt;0,INDEX($D$6:$CB$53,MATCH($CG28,$B$6:$B$53,0),COLUMN()-COLUMN($CI$5)+1),""))</f>
        <v/>
      </c>
      <c r="EA28" s="1753" t="str" cm="1">
        <f t="array" ref="EA28">IF($CG28="","",IF(INDEX($D$6:$CB$53,MATCH($CG28,$B$6:$B$53,0),COLUMN()-COLUMN($CI$5)+1)&gt;0,INDEX($D$6:$CB$53,MATCH($CG28,$B$6:$B$53,0),COLUMN()-COLUMN($CI$5)+1),""))</f>
        <v/>
      </c>
      <c r="EB28" s="1753" t="str" cm="1">
        <f t="array" ref="EB28">IF($CG28="","",IF(INDEX($D$6:$CB$53,MATCH($CG28,$B$6:$B$53,0),COLUMN()-COLUMN($CI$5)+1)&gt;0,INDEX($D$6:$CB$53,MATCH($CG28,$B$6:$B$53,0),COLUMN()-COLUMN($CI$5)+1),""))</f>
        <v/>
      </c>
      <c r="EC28" s="1753" t="str" cm="1">
        <f t="array" ref="EC28">IF($CG28="","",IF(INDEX($D$6:$CB$53,MATCH($CG28,$B$6:$B$53,0),COLUMN()-COLUMN($CI$5)+1)&gt;0,INDEX($D$6:$CB$53,MATCH($CG28,$B$6:$B$53,0),COLUMN()-COLUMN($CI$5)+1),""))</f>
        <v/>
      </c>
      <c r="ED28" s="1753" t="str" cm="1">
        <f t="array" ref="ED28">IF($CG28="","",IF(INDEX($D$6:$CB$53,MATCH($CG28,$B$6:$B$53,0),COLUMN()-COLUMN($CI$5)+1)&gt;0,INDEX($D$6:$CB$53,MATCH($CG28,$B$6:$B$53,0),COLUMN()-COLUMN($CI$5)+1),""))</f>
        <v/>
      </c>
      <c r="EE28" s="1753" t="str" cm="1">
        <f t="array" ref="EE28">IF($CG28="","",IF(INDEX($D$6:$CB$53,MATCH($CG28,$B$6:$B$53,0),COLUMN()-COLUMN($CI$5)+1)&gt;0,INDEX($D$6:$CB$53,MATCH($CG28,$B$6:$B$53,0),COLUMN()-COLUMN($CI$5)+1),""))</f>
        <v/>
      </c>
      <c r="EF28" s="1753" t="str" cm="1">
        <f t="array" ref="EF28">IF($CG28="","",IF(INDEX($D$6:$CB$53,MATCH($CG28,$B$6:$B$53,0),COLUMN()-COLUMN($CI$5)+1)&gt;0,INDEX($D$6:$CB$53,MATCH($CG28,$B$6:$B$53,0),COLUMN()-COLUMN($CI$5)+1),""))</f>
        <v/>
      </c>
      <c r="EG28" s="1753" t="str" cm="1">
        <f t="array" ref="EG28">IF($CG28="","",IF(INDEX($D$6:$CB$53,MATCH($CG28,$B$6:$B$53,0),COLUMN()-COLUMN($CI$5)+1)&gt;0,INDEX($D$6:$CB$53,MATCH($CG28,$B$6:$B$53,0),COLUMN()-COLUMN($CI$5)+1),""))</f>
        <v/>
      </c>
      <c r="EH28" s="1753" t="str" cm="1">
        <f t="array" ref="EH28">IF($CG28="","",IF(INDEX($D$6:$CB$53,MATCH($CG28,$B$6:$B$53,0),COLUMN()-COLUMN($CI$5)+1)&gt;0,INDEX($D$6:$CB$53,MATCH($CG28,$B$6:$B$53,0),COLUMN()-COLUMN($CI$5)+1),""))</f>
        <v/>
      </c>
      <c r="EI28" s="1753" t="str" cm="1">
        <f t="array" ref="EI28">IF($CG28="","",IF(INDEX($D$6:$CB$53,MATCH($CG28,$B$6:$B$53,0),COLUMN()-COLUMN($CI$5)+1)&gt;0,INDEX($D$6:$CB$53,MATCH($CG28,$B$6:$B$53,0),COLUMN()-COLUMN($CI$5)+1),""))</f>
        <v/>
      </c>
      <c r="EJ28" s="1753" t="str" cm="1">
        <f t="array" ref="EJ28">IF($CG28="","",IF(INDEX($D$6:$CB$53,MATCH($CG28,$B$6:$B$53,0),COLUMN()-COLUMN($CI$5)+1)&gt;0,INDEX($D$6:$CB$53,MATCH($CG28,$B$6:$B$53,0),COLUMN()-COLUMN($CI$5)+1),""))</f>
        <v/>
      </c>
      <c r="EK28" s="1753" t="str" cm="1">
        <f t="array" ref="EK28">IF($CG28="","",IF(INDEX($D$6:$CB$53,MATCH($CG28,$B$6:$B$53,0),COLUMN()-COLUMN($CI$5)+1)&gt;0,INDEX($D$6:$CB$53,MATCH($CG28,$B$6:$B$53,0),COLUMN()-COLUMN($CI$5)+1),""))</f>
        <v/>
      </c>
      <c r="EL28" s="1753" t="str" cm="1">
        <f t="array" ref="EL28">IF($CG28="","",IF(INDEX($D$6:$CB$53,MATCH($CG28,$B$6:$B$53,0),COLUMN()-COLUMN($CI$5)+1)&gt;0,INDEX($D$6:$CB$53,MATCH($CG28,$B$6:$B$53,0),COLUMN()-COLUMN($CI$5)+1),""))</f>
        <v/>
      </c>
      <c r="EM28" s="1753" t="str" cm="1">
        <f t="array" ref="EM28">IF($CG28="","",IF(INDEX($D$6:$CB$53,MATCH($CG28,$B$6:$B$53,0),COLUMN()-COLUMN($CI$5)+1)&gt;0,INDEX($D$6:$CB$53,MATCH($CG28,$B$6:$B$53,0),COLUMN()-COLUMN($CI$5)+1),""))</f>
        <v/>
      </c>
      <c r="EN28" s="1753" t="str" cm="1">
        <f t="array" ref="EN28">IF($CG28="","",IF(INDEX($D$6:$CB$53,MATCH($CG28,$B$6:$B$53,0),COLUMN()-COLUMN($CI$5)+1)&gt;0,INDEX($D$6:$CB$53,MATCH($CG28,$B$6:$B$53,0),COLUMN()-COLUMN($CI$5)+1),""))</f>
        <v/>
      </c>
      <c r="EO28" s="1753" t="str" cm="1">
        <f t="array" ref="EO28">IF($CG28="","",IF(INDEX($D$6:$CB$53,MATCH($CG28,$B$6:$B$53,0),COLUMN()-COLUMN($CI$5)+1)&gt;0,INDEX($D$6:$CB$53,MATCH($CG28,$B$6:$B$53,0),COLUMN()-COLUMN($CI$5)+1),""))</f>
        <v/>
      </c>
      <c r="EP28" s="1753" t="str" cm="1">
        <f t="array" ref="EP28">IF($CG28="","",IF(INDEX($D$6:$CB$53,MATCH($CG28,$B$6:$B$53,0),COLUMN()-COLUMN($CI$5)+1)&gt;0,INDEX($D$6:$CB$53,MATCH($CG28,$B$6:$B$53,0),COLUMN()-COLUMN($CI$5)+1),""))</f>
        <v/>
      </c>
      <c r="EQ28" s="1753" t="str" cm="1">
        <f t="array" ref="EQ28">IF($CG28="","",IF(INDEX($D$6:$CB$53,MATCH($CG28,$B$6:$B$53,0),COLUMN()-COLUMN($CI$5)+1)&gt;0,INDEX($D$6:$CB$53,MATCH($CG28,$B$6:$B$53,0),COLUMN()-COLUMN($CI$5)+1),""))</f>
        <v/>
      </c>
      <c r="ER28" s="1753" t="str" cm="1">
        <f t="array" ref="ER28">IF($CG28="","",IF(INDEX($D$6:$CB$53,MATCH($CG28,$B$6:$B$53,0),COLUMN()-COLUMN($CI$5)+1)&gt;0,INDEX($D$6:$CB$53,MATCH($CG28,$B$6:$B$53,0),COLUMN()-COLUMN($CI$5)+1),""))</f>
        <v/>
      </c>
      <c r="ES28" s="1753" t="str" cm="1">
        <f t="array" ref="ES28">IF($CG28="","",IF(INDEX($D$6:$CB$53,MATCH($CG28,$B$6:$B$53,0),COLUMN()-COLUMN($CI$5)+1)&gt;0,INDEX($D$6:$CB$53,MATCH($CG28,$B$6:$B$53,0),COLUMN()-COLUMN($CI$5)+1),""))</f>
        <v/>
      </c>
      <c r="ET28" s="1753" t="str" cm="1">
        <f t="array" ref="ET28">IF($CG28="","",IF(INDEX($D$6:$CB$53,MATCH($CG28,$B$6:$B$53,0),COLUMN()-COLUMN($CI$5)+1)&gt;0,INDEX($D$6:$CB$53,MATCH($CG28,$B$6:$B$53,0),COLUMN()-COLUMN($CI$5)+1),""))</f>
        <v/>
      </c>
      <c r="EU28" s="1753" t="str" cm="1">
        <f t="array" ref="EU28">IF($CG28="","",IF(INDEX($D$6:$CB$53,MATCH($CG28,$B$6:$B$53,0),COLUMN()-COLUMN($CI$5)+1)&gt;0,INDEX($D$6:$CB$53,MATCH($CG28,$B$6:$B$53,0),COLUMN()-COLUMN($CI$5)+1),""))</f>
        <v/>
      </c>
      <c r="EV28" s="1753" t="str" cm="1">
        <f t="array" ref="EV28">IF($CG28="","",IF(INDEX($D$6:$CB$53,MATCH($CG28,$B$6:$B$53,0),COLUMN()-COLUMN($CI$5)+1)&gt;0,INDEX($D$6:$CB$53,MATCH($CG28,$B$6:$B$53,0),COLUMN()-COLUMN($CI$5)+1),""))</f>
        <v/>
      </c>
      <c r="EW28" s="1753" t="str" cm="1">
        <f t="array" ref="EW28">IF($CG28="","",IF(INDEX($D$6:$CB$53,MATCH($CG28,$B$6:$B$53,0),COLUMN()-COLUMN($CI$5)+1)&gt;0,INDEX($D$6:$CB$53,MATCH($CG28,$B$6:$B$53,0),COLUMN()-COLUMN($CI$5)+1),""))</f>
        <v/>
      </c>
      <c r="EX28" s="1753" t="str" cm="1">
        <f t="array" ref="EX28">IF($CG28="","",IF(INDEX($D$6:$CB$53,MATCH($CG28,$B$6:$B$53,0),COLUMN()-COLUMN($CI$5)+1)&gt;0,INDEX($D$6:$CB$53,MATCH($CG28,$B$6:$B$53,0),COLUMN()-COLUMN($CI$5)+1),""))</f>
        <v/>
      </c>
      <c r="EY28" s="1753" t="str" cm="1">
        <f t="array" ref="EY28">IF($CG28="","",IF(INDEX($D$6:$CB$53,MATCH($CG28,$B$6:$B$53,0),COLUMN()-COLUMN($CI$5)+1)&gt;0,INDEX($D$6:$CB$53,MATCH($CG28,$B$6:$B$53,0),COLUMN()-COLUMN($CI$5)+1),""))</f>
        <v/>
      </c>
      <c r="EZ28" s="1753" t="str" cm="1">
        <f t="array" ref="EZ28">IF($CG28="","",IF(INDEX($D$6:$CB$53,MATCH($CG28,$B$6:$B$53,0),COLUMN()-COLUMN($CI$5)+1)&gt;0,INDEX($D$6:$CB$53,MATCH($CG28,$B$6:$B$53,0),COLUMN()-COLUMN($CI$5)+1),""))</f>
        <v/>
      </c>
      <c r="FA28" s="1753" t="str" cm="1">
        <f t="array" ref="FA28">IF($CG28="","",IF(INDEX($D$6:$CB$53,MATCH($CG28,$B$6:$B$53,0),COLUMN()-COLUMN($CI$5)+1)&gt;0,INDEX($D$6:$CB$53,MATCH($CG28,$B$6:$B$53,0),COLUMN()-COLUMN($CI$5)+1),""))</f>
        <v/>
      </c>
      <c r="FB28" s="1753" t="str" cm="1">
        <f t="array" ref="FB28">IF($CG28="","",IF(INDEX($D$6:$CB$53,MATCH($CG28,$B$6:$B$53,0),COLUMN()-COLUMN($CI$5)+1)&gt;0,INDEX($D$6:$CB$53,MATCH($CG28,$B$6:$B$53,0),COLUMN()-COLUMN($CI$5)+1),""))</f>
        <v/>
      </c>
      <c r="FC28" s="1753" t="str" cm="1">
        <f t="array" ref="FC28">IF($CG28="","",IF(INDEX($D$6:$CB$53,MATCH($CG28,$B$6:$B$53,0),COLUMN()-COLUMN($CI$5)+1)&gt;0,INDEX($D$6:$CB$53,MATCH($CG28,$B$6:$B$53,0),COLUMN()-COLUMN($CI$5)+1),""))</f>
        <v/>
      </c>
      <c r="FD28" s="1753" t="str" cm="1">
        <f t="array" ref="FD28">IF($CG28="","",IF(INDEX($D$6:$CB$53,MATCH($CG28,$B$6:$B$53,0),COLUMN()-COLUMN($CI$5)+1)&gt;0,INDEX($D$6:$CB$53,MATCH($CG28,$B$6:$B$53,0),COLUMN()-COLUMN($CI$5)+1),""))</f>
        <v/>
      </c>
      <c r="FE28" s="1753" t="str" cm="1">
        <f t="array" ref="FE28">IF($CG28="","",IF(INDEX($D$6:$CB$53,MATCH($CG28,$B$6:$B$53,0),COLUMN()-COLUMN($CI$5)+1)&gt;0,INDEX($D$6:$CB$53,MATCH($CG28,$B$6:$B$53,0),COLUMN()-COLUMN($CI$5)+1),""))</f>
        <v/>
      </c>
      <c r="FF28" s="1753" t="str" cm="1">
        <f t="array" ref="FF28">IF($CG28="","",IF(INDEX($D$6:$CB$53,MATCH($CG28,$B$6:$B$53,0),COLUMN()-COLUMN($CI$5)+1)&gt;0,INDEX($D$6:$CB$53,MATCH($CG28,$B$6:$B$53,0),COLUMN()-COLUMN($CI$5)+1),""))</f>
        <v/>
      </c>
      <c r="FG28" s="1753" t="str" cm="1">
        <f t="array" ref="FG28">IF($CG28="","",IF(INDEX($D$6:$CB$53,MATCH($CG28,$B$6:$B$53,0),COLUMN()-COLUMN($CI$5)+1)&gt;0,INDEX($D$6:$CB$53,MATCH($CG28,$B$6:$B$53,0),COLUMN()-COLUMN($CI$5)+1),""))</f>
        <v/>
      </c>
      <c r="FH28" s="1753" t="str">
        <f t="shared" si="4"/>
        <v/>
      </c>
      <c r="FI28" s="1753" t="str">
        <f t="shared" si="5"/>
        <v/>
      </c>
      <c r="FJ28" s="1753" t="str">
        <f t="shared" si="6"/>
        <v/>
      </c>
      <c r="FK28" s="1754"/>
    </row>
    <row r="29" spans="1:167" ht="15.75" customHeight="1">
      <c r="A29" s="1220"/>
      <c r="B29" s="1278">
        <f>+PP!B47</f>
        <v>24</v>
      </c>
      <c r="C29" s="1279" t="str">
        <f>+PP!C47</f>
        <v>MANTO LP C/M C/T 1.0-2.0 Kg/pza</v>
      </c>
      <c r="D29" s="1414"/>
      <c r="E29" s="1405"/>
      <c r="F29" s="1415"/>
      <c r="G29" s="1405"/>
      <c r="H29" s="1405"/>
      <c r="I29" s="1405"/>
      <c r="J29" s="1405"/>
      <c r="K29" s="1405"/>
      <c r="L29" s="1405"/>
      <c r="M29" s="1405"/>
      <c r="N29" s="1405"/>
      <c r="O29" s="1405"/>
      <c r="P29" s="1405"/>
      <c r="Q29" s="1405"/>
      <c r="R29" s="1405"/>
      <c r="S29" s="1405"/>
      <c r="T29" s="1405"/>
      <c r="U29" s="1405"/>
      <c r="V29" s="1405"/>
      <c r="W29" s="1405"/>
      <c r="X29" s="1405"/>
      <c r="Y29" s="1405"/>
      <c r="Z29" s="1405"/>
      <c r="AA29" s="1405"/>
      <c r="AB29" s="1405"/>
      <c r="AC29" s="1405"/>
      <c r="AD29" s="1405"/>
      <c r="AE29" s="1405"/>
      <c r="AF29" s="1405"/>
      <c r="AG29" s="1405"/>
      <c r="AH29" s="1406"/>
      <c r="AI29" s="1235"/>
      <c r="AJ29" s="1235"/>
      <c r="AK29" s="1235"/>
      <c r="AL29" s="1235"/>
      <c r="AM29" s="1235"/>
      <c r="AN29" s="1235"/>
      <c r="AO29" s="1235"/>
      <c r="AP29" s="1218"/>
      <c r="AQ29" s="1218"/>
      <c r="AR29" s="1218"/>
      <c r="AS29" s="1218"/>
      <c r="AT29" s="1218"/>
      <c r="AU29" s="1218"/>
      <c r="AV29" s="1218"/>
      <c r="AW29" s="1218"/>
      <c r="AX29" s="1218"/>
      <c r="AY29" s="1218"/>
      <c r="AZ29" s="1218"/>
      <c r="BA29" s="1218"/>
      <c r="BB29" s="1218"/>
      <c r="BC29" s="1218"/>
      <c r="BD29" s="1218"/>
      <c r="BE29" s="1218"/>
      <c r="BF29" s="1218"/>
      <c r="BG29" s="1218"/>
      <c r="BH29" s="1218"/>
      <c r="BI29" s="1218"/>
      <c r="BJ29" s="1218"/>
      <c r="BK29" s="1218"/>
      <c r="BL29" s="1218"/>
      <c r="BM29" s="1218"/>
      <c r="BN29" s="1218"/>
      <c r="BO29" s="1218"/>
      <c r="BP29" s="1218"/>
      <c r="BQ29" s="1218"/>
      <c r="BR29" s="1557"/>
      <c r="BS29" s="1557"/>
      <c r="BT29" s="1557"/>
      <c r="BU29" s="1557"/>
      <c r="BV29" s="1557"/>
      <c r="BW29" s="1557"/>
      <c r="BX29" s="1557"/>
      <c r="BY29" s="1557"/>
      <c r="BZ29" s="1557"/>
      <c r="CA29" s="1557"/>
      <c r="CB29" s="1564"/>
      <c r="CC29" s="1550">
        <f t="shared" si="0"/>
        <v>0</v>
      </c>
      <c r="CD29" s="1236">
        <f t="shared" si="1"/>
        <v>0</v>
      </c>
      <c r="CE29" s="1237">
        <f t="shared" si="2"/>
        <v>0</v>
      </c>
      <c r="CF29" s="1220"/>
      <c r="CG29" s="1751" t="str" cm="1">
        <f t="array" ref="CG29">IFERROR(INDEX($B$6:$B$53,_xlfn.AGGREGATE(15,6,(ROW($B$6:$B$53)-ROW($B$6)+1)/(MMULT(--($D$6:$CB$53&gt;0),TRANSPOSE(COLUMN($D$6:$CB$6)^0))&gt;0),ROWS($CG$6:CG29))),"")</f>
        <v/>
      </c>
      <c r="CH29" s="1752" t="str">
        <f t="shared" si="3"/>
        <v/>
      </c>
      <c r="CI29" s="1753" t="str" cm="1">
        <f t="array" ref="CI29">IF($CG29="","",IF(INDEX($D$6:$CB$53,MATCH($CG29,$B$6:$B$53,0),COLUMN()-COLUMN($CI$5)+1)&gt;0,INDEX($D$6:$CB$53,MATCH($CG29,$B$6:$B$53,0),COLUMN()-COLUMN($CI$5)+1),""))</f>
        <v/>
      </c>
      <c r="CJ29" s="1753" t="str" cm="1">
        <f t="array" ref="CJ29">IF($CG29="","",IF(INDEX($D$6:$CB$53,MATCH($CG29,$B$6:$B$53,0),COLUMN()-COLUMN($CI$5)+1)&gt;0,INDEX($D$6:$CB$53,MATCH($CG29,$B$6:$B$53,0),COLUMN()-COLUMN($CI$5)+1),""))</f>
        <v/>
      </c>
      <c r="CK29" s="1753" t="str" cm="1">
        <f t="array" ref="CK29">IF($CG29="","",IF(INDEX($D$6:$CB$53,MATCH($CG29,$B$6:$B$53,0),COLUMN()-COLUMN($CI$5)+1)&gt;0,INDEX($D$6:$CB$53,MATCH($CG29,$B$6:$B$53,0),COLUMN()-COLUMN($CI$5)+1),""))</f>
        <v/>
      </c>
      <c r="CL29" s="1753" t="str" cm="1">
        <f t="array" ref="CL29">IF($CG29="","",IF(INDEX($D$6:$CB$53,MATCH($CG29,$B$6:$B$53,0),COLUMN()-COLUMN($CI$5)+1)&gt;0,INDEX($D$6:$CB$53,MATCH($CG29,$B$6:$B$53,0),COLUMN()-COLUMN($CI$5)+1),""))</f>
        <v/>
      </c>
      <c r="CM29" s="1753" t="str" cm="1">
        <f t="array" ref="CM29">IF($CG29="","",IF(INDEX($D$6:$CB$53,MATCH($CG29,$B$6:$B$53,0),COLUMN()-COLUMN($CI$5)+1)&gt;0,INDEX($D$6:$CB$53,MATCH($CG29,$B$6:$B$53,0),COLUMN()-COLUMN($CI$5)+1),""))</f>
        <v/>
      </c>
      <c r="CN29" s="1753" t="str" cm="1">
        <f t="array" ref="CN29">IF($CG29="","",IF(INDEX($D$6:$CB$53,MATCH($CG29,$B$6:$B$53,0),COLUMN()-COLUMN($CI$5)+1)&gt;0,INDEX($D$6:$CB$53,MATCH($CG29,$B$6:$B$53,0),COLUMN()-COLUMN($CI$5)+1),""))</f>
        <v/>
      </c>
      <c r="CO29" s="1753" t="str" cm="1">
        <f t="array" ref="CO29">IF($CG29="","",IF(INDEX($D$6:$CB$53,MATCH($CG29,$B$6:$B$53,0),COLUMN()-COLUMN($CI$5)+1)&gt;0,INDEX($D$6:$CB$53,MATCH($CG29,$B$6:$B$53,0),COLUMN()-COLUMN($CI$5)+1),""))</f>
        <v/>
      </c>
      <c r="CP29" s="1753" t="str" cm="1">
        <f t="array" ref="CP29">IF($CG29="","",IF(INDEX($D$6:$CB$53,MATCH($CG29,$B$6:$B$53,0),COLUMN()-COLUMN($CI$5)+1)&gt;0,INDEX($D$6:$CB$53,MATCH($CG29,$B$6:$B$53,0),COLUMN()-COLUMN($CI$5)+1),""))</f>
        <v/>
      </c>
      <c r="CQ29" s="1753" t="str" cm="1">
        <f t="array" ref="CQ29">IF($CG29="","",IF(INDEX($D$6:$CB$53,MATCH($CG29,$B$6:$B$53,0),COLUMN()-COLUMN($CI$5)+1)&gt;0,INDEX($D$6:$CB$53,MATCH($CG29,$B$6:$B$53,0),COLUMN()-COLUMN($CI$5)+1),""))</f>
        <v/>
      </c>
      <c r="CR29" s="1753" t="str">
        <f>IF($CG29="","",IF(INDEX($D$6:$CB$53,MATCH($CG29,$B$6:$B$53,0),COLUMN()-COLUMN($CI$5)+1)&gt;0,INDEX($D$6:$CB$53,MATCH($CG29,$B$6:$B$53,0),COLUMN()-COLUMN($CI$5)+1),""))</f>
        <v/>
      </c>
      <c r="CS29" s="1753" t="str" cm="1">
        <f t="array" ref="CS29">IF($CG29="","",IF(INDEX($D$6:$CB$53,MATCH($CG29,$B$6:$B$53,0),COLUMN()-COLUMN($CI$5)+1)&gt;0,INDEX($D$6:$CB$53,MATCH($CG29,$B$6:$B$53,0),COLUMN()-COLUMN($CI$5)+1),""))</f>
        <v/>
      </c>
      <c r="CT29" s="1753" t="str" cm="1">
        <f t="array" ref="CT29">IF($CG29="","",IF(INDEX($D$6:$CB$53,MATCH($CG29,$B$6:$B$53,0),COLUMN()-COLUMN($CI$5)+1)&gt;0,INDEX($D$6:$CB$53,MATCH($CG29,$B$6:$B$53,0),COLUMN()-COLUMN($CI$5)+1),""))</f>
        <v/>
      </c>
      <c r="CU29" s="1753" t="str" cm="1">
        <f t="array" ref="CU29">IF($CG29="","",IF(INDEX($D$6:$CB$53,MATCH($CG29,$B$6:$B$53,0),COLUMN()-COLUMN($CI$5)+1)&gt;0,INDEX($D$6:$CB$53,MATCH($CG29,$B$6:$B$53,0),COLUMN()-COLUMN($CI$5)+1),""))</f>
        <v/>
      </c>
      <c r="CV29" s="1753" t="str" cm="1">
        <f t="array" ref="CV29">IF($CG29="","",IF(INDEX($D$6:$CB$53,MATCH($CG29,$B$6:$B$53,0),COLUMN()-COLUMN($CI$5)+1)&gt;0,INDEX($D$6:$CB$53,MATCH($CG29,$B$6:$B$53,0),COLUMN()-COLUMN($CI$5)+1),""))</f>
        <v/>
      </c>
      <c r="CW29" s="1753" t="str" cm="1">
        <f t="array" ref="CW29">IF($CG29="","",IF(INDEX($D$6:$CB$53,MATCH($CG29,$B$6:$B$53,0),COLUMN()-COLUMN($CI$5)+1)&gt;0,INDEX($D$6:$CB$53,MATCH($CG29,$B$6:$B$53,0),COLUMN()-COLUMN($CI$5)+1),""))</f>
        <v/>
      </c>
      <c r="CX29" s="1753" t="str" cm="1">
        <f t="array" ref="CX29">IF($CG29="","",IF(INDEX($D$6:$CB$53,MATCH($CG29,$B$6:$B$53,0),COLUMN()-COLUMN($CI$5)+1)&gt;0,INDEX($D$6:$CB$53,MATCH($CG29,$B$6:$B$53,0),COLUMN()-COLUMN($CI$5)+1),""))</f>
        <v/>
      </c>
      <c r="CY29" s="1753" t="str" cm="1">
        <f t="array" ref="CY29">IF($CG29="","",IF(INDEX($D$6:$CB$53,MATCH($CG29,$B$6:$B$53,0),COLUMN()-COLUMN($CI$5)+1)&gt;0,INDEX($D$6:$CB$53,MATCH($CG29,$B$6:$B$53,0),COLUMN()-COLUMN($CI$5)+1),""))</f>
        <v/>
      </c>
      <c r="CZ29" s="1753" t="str" cm="1">
        <f t="array" ref="CZ29">IF($CG29="","",IF(INDEX($D$6:$CB$53,MATCH($CG29,$B$6:$B$53,0),COLUMN()-COLUMN($CI$5)+1)&gt;0,INDEX($D$6:$CB$53,MATCH($CG29,$B$6:$B$53,0),COLUMN()-COLUMN($CI$5)+1),""))</f>
        <v/>
      </c>
      <c r="DA29" s="1753" t="str" cm="1">
        <f t="array" ref="DA29">IF($CG29="","",IF(INDEX($D$6:$CB$53,MATCH($CG29,$B$6:$B$53,0),COLUMN()-COLUMN($CI$5)+1)&gt;0,INDEX($D$6:$CB$53,MATCH($CG29,$B$6:$B$53,0),COLUMN()-COLUMN($CI$5)+1),""))</f>
        <v/>
      </c>
      <c r="DB29" s="1753" t="str" cm="1">
        <f t="array" ref="DB29">IF($CG29="","",IF(INDEX($D$6:$CB$53,MATCH($CG29,$B$6:$B$53,0),COLUMN()-COLUMN($CI$5)+1)&gt;0,INDEX($D$6:$CB$53,MATCH($CG29,$B$6:$B$53,0),COLUMN()-COLUMN($CI$5)+1),""))</f>
        <v/>
      </c>
      <c r="DC29" s="1753" t="str" cm="1">
        <f t="array" ref="DC29">IF($CG29="","",IF(INDEX($D$6:$CB$53,MATCH($CG29,$B$6:$B$53,0),COLUMN()-COLUMN($CI$5)+1)&gt;0,INDEX($D$6:$CB$53,MATCH($CG29,$B$6:$B$53,0),COLUMN()-COLUMN($CI$5)+1),""))</f>
        <v/>
      </c>
      <c r="DD29" s="1753" t="str" cm="1">
        <f t="array" ref="DD29">IF($CG29="","",IF(INDEX($D$6:$CB$53,MATCH($CG29,$B$6:$B$53,0),COLUMN()-COLUMN($CI$5)+1)&gt;0,INDEX($D$6:$CB$53,MATCH($CG29,$B$6:$B$53,0),COLUMN()-COLUMN($CI$5)+1),""))</f>
        <v/>
      </c>
      <c r="DE29" s="1753" t="str" cm="1">
        <f t="array" ref="DE29">IF($CG29="","",IF(INDEX($D$6:$CB$53,MATCH($CG29,$B$6:$B$53,0),COLUMN()-COLUMN($CI$5)+1)&gt;0,INDEX($D$6:$CB$53,MATCH($CG29,$B$6:$B$53,0),COLUMN()-COLUMN($CI$5)+1),""))</f>
        <v/>
      </c>
      <c r="DF29" s="1753" t="str">
        <f>IF($CG29="","",IF(INDEX($D$6:$CB$53,MATCH($CG29,$B$6:$B$53,0),COLUMN()-COLUMN($CI$5)+1)&gt;0,INDEX($D$6:$CB$53,MATCH($CG29,$B$6:$B$53,0),COLUMN()-COLUMN($CI$5)+1),""))</f>
        <v/>
      </c>
      <c r="DG29" s="1753" t="str" cm="1">
        <f t="array" ref="DG29">IF($CG29="","",IF(INDEX($D$6:$CB$53,MATCH($CG29,$B$6:$B$53,0),COLUMN()-COLUMN($CI$5)+1)&gt;0,INDEX($D$6:$CB$53,MATCH($CG29,$B$6:$B$53,0),COLUMN()-COLUMN($CI$5)+1),""))</f>
        <v/>
      </c>
      <c r="DH29" s="1753" t="str" cm="1">
        <f t="array" ref="DH29">IF($CG29="","",IF(INDEX($D$6:$CB$53,MATCH($CG29,$B$6:$B$53,0),COLUMN()-COLUMN($CI$5)+1)&gt;0,INDEX($D$6:$CB$53,MATCH($CG29,$B$6:$B$53,0),COLUMN()-COLUMN($CI$5)+1),""))</f>
        <v/>
      </c>
      <c r="DI29" s="1753" t="str" cm="1">
        <f t="array" ref="DI29">IF($CG29="","",IF(INDEX($D$6:$CB$53,MATCH($CG29,$B$6:$B$53,0),COLUMN()-COLUMN($CI$5)+1)&gt;0,INDEX($D$6:$CB$53,MATCH($CG29,$B$6:$B$53,0),COLUMN()-COLUMN($CI$5)+1),""))</f>
        <v/>
      </c>
      <c r="DJ29" s="1753" t="str" cm="1">
        <f t="array" ref="DJ29">IF($CG29="","",IF(INDEX($D$6:$CB$53,MATCH($CG29,$B$6:$B$53,0),COLUMN()-COLUMN($CI$5)+1)&gt;0,INDEX($D$6:$CB$53,MATCH($CG29,$B$6:$B$53,0),COLUMN()-COLUMN($CI$5)+1),""))</f>
        <v/>
      </c>
      <c r="DK29" s="1753" t="str" cm="1">
        <f t="array" ref="DK29">IF($CG29="","",IF(INDEX($D$6:$CB$53,MATCH($CG29,$B$6:$B$53,0),COLUMN()-COLUMN($CI$5)+1)&gt;0,INDEX($D$6:$CB$53,MATCH($CG29,$B$6:$B$53,0),COLUMN()-COLUMN($CI$5)+1),""))</f>
        <v/>
      </c>
      <c r="DL29" s="1753" t="str">
        <f>IF($CG29="","",IF(INDEX($D$6:$CB$53,MATCH($CG29,$B$6:$B$53,0),COLUMN()-COLUMN($CI$5)+1)&gt;0,INDEX($D$6:$CB$53,MATCH($CG29,$B$6:$B$53,0),COLUMN()-COLUMN($CI$5)+1),""))</f>
        <v/>
      </c>
      <c r="DM29" s="1753" t="str" cm="1">
        <f t="array" ref="DM29">IF($CG29="","",IF(INDEX($D$6:$CB$53,MATCH($CG29,$B$6:$B$53,0),COLUMN()-COLUMN($CI$5)+1)&gt;0,INDEX($D$6:$CB$53,MATCH($CG29,$B$6:$B$53,0),COLUMN()-COLUMN($CI$5)+1),""))</f>
        <v/>
      </c>
      <c r="DN29" s="1753" t="str" cm="1">
        <f t="array" ref="DN29">IF($CG29="","",IF(INDEX($D$6:$CB$53,MATCH($CG29,$B$6:$B$53,0),COLUMN()-COLUMN($CI$5)+1)&gt;0,INDEX($D$6:$CB$53,MATCH($CG29,$B$6:$B$53,0),COLUMN()-COLUMN($CI$5)+1),""))</f>
        <v/>
      </c>
      <c r="DO29" s="1753" t="str" cm="1">
        <f t="array" ref="DO29">IF($CG29="","",IF(INDEX($D$6:$CB$53,MATCH($CG29,$B$6:$B$53,0),COLUMN()-COLUMN($CI$5)+1)&gt;0,INDEX($D$6:$CB$53,MATCH($CG29,$B$6:$B$53,0),COLUMN()-COLUMN($CI$5)+1),""))</f>
        <v/>
      </c>
      <c r="DP29" s="1753" t="str" cm="1">
        <f t="array" ref="DP29">IF($CG29="","",IF(INDEX($D$6:$CB$53,MATCH($CG29,$B$6:$B$53,0),COLUMN()-COLUMN($CI$5)+1)&gt;0,INDEX($D$6:$CB$53,MATCH($CG29,$B$6:$B$53,0),COLUMN()-COLUMN($CI$5)+1),""))</f>
        <v/>
      </c>
      <c r="DQ29" s="1753" t="str" cm="1">
        <f t="array" ref="DQ29">IF($CG29="","",IF(INDEX($D$6:$CB$53,MATCH($CG29,$B$6:$B$53,0),COLUMN()-COLUMN($CI$5)+1)&gt;0,INDEX($D$6:$CB$53,MATCH($CG29,$B$6:$B$53,0),COLUMN()-COLUMN($CI$5)+1),""))</f>
        <v/>
      </c>
      <c r="DR29" s="1753" t="str">
        <f>IF($CG29="","",IF(INDEX($D$6:$CB$53,MATCH($CG29,$B$6:$B$53,0),COLUMN()-COLUMN($CI$5)+1)&gt;0,INDEX($D$6:$CB$53,MATCH($CG29,$B$6:$B$53,0),COLUMN()-COLUMN($CI$5)+1),""))</f>
        <v/>
      </c>
      <c r="DS29" s="1753" t="str" cm="1">
        <f t="array" ref="DS29">IF($CG29="","",IF(INDEX($D$6:$CB$53,MATCH($CG29,$B$6:$B$53,0),COLUMN()-COLUMN($CI$5)+1)&gt;0,INDEX($D$6:$CB$53,MATCH($CG29,$B$6:$B$53,0),COLUMN()-COLUMN($CI$5)+1),""))</f>
        <v/>
      </c>
      <c r="DT29" s="1753" t="str" cm="1">
        <f t="array" ref="DT29">IF($CG29="","",IF(INDEX($D$6:$CB$53,MATCH($CG29,$B$6:$B$53,0),COLUMN()-COLUMN($CI$5)+1)&gt;0,INDEX($D$6:$CB$53,MATCH($CG29,$B$6:$B$53,0),COLUMN()-COLUMN($CI$5)+1),""))</f>
        <v/>
      </c>
      <c r="DU29" s="1753" t="str" cm="1">
        <f t="array" ref="DU29">IF($CG29="","",IF(INDEX($D$6:$CB$53,MATCH($CG29,$B$6:$B$53,0),COLUMN()-COLUMN($CI$5)+1)&gt;0,INDEX($D$6:$CB$53,MATCH($CG29,$B$6:$B$53,0),COLUMN()-COLUMN($CI$5)+1),""))</f>
        <v/>
      </c>
      <c r="DV29" s="1753" t="str" cm="1">
        <f t="array" ref="DV29">IF($CG29="","",IF(INDEX($D$6:$CB$53,MATCH($CG29,$B$6:$B$53,0),COLUMN()-COLUMN($CI$5)+1)&gt;0,INDEX($D$6:$CB$53,MATCH($CG29,$B$6:$B$53,0),COLUMN()-COLUMN($CI$5)+1),""))</f>
        <v/>
      </c>
      <c r="DW29" s="1753" t="str" cm="1">
        <f t="array" ref="DW29">IF($CG29="","",IF(INDEX($D$6:$CB$53,MATCH($CG29,$B$6:$B$53,0),COLUMN()-COLUMN($CI$5)+1)&gt;0,INDEX($D$6:$CB$53,MATCH($CG29,$B$6:$B$53,0),COLUMN()-COLUMN($CI$5)+1),""))</f>
        <v/>
      </c>
      <c r="DX29" s="1753" t="str" cm="1">
        <f t="array" ref="DX29">IF($CG29="","",IF(INDEX($D$6:$CB$53,MATCH($CG29,$B$6:$B$53,0),COLUMN()-COLUMN($CI$5)+1)&gt;0,INDEX($D$6:$CB$53,MATCH($CG29,$B$6:$B$53,0),COLUMN()-COLUMN($CI$5)+1),""))</f>
        <v/>
      </c>
      <c r="DY29" s="1753" t="str" cm="1">
        <f t="array" ref="DY29">IF($CG29="","",IF(INDEX($D$6:$CB$53,MATCH($CG29,$B$6:$B$53,0),COLUMN()-COLUMN($CI$5)+1)&gt;0,INDEX($D$6:$CB$53,MATCH($CG29,$B$6:$B$53,0),COLUMN()-COLUMN($CI$5)+1),""))</f>
        <v/>
      </c>
      <c r="DZ29" s="1753" t="str" cm="1">
        <f t="array" ref="DZ29">IF($CG29="","",IF(INDEX($D$6:$CB$53,MATCH($CG29,$B$6:$B$53,0),COLUMN()-COLUMN($CI$5)+1)&gt;0,INDEX($D$6:$CB$53,MATCH($CG29,$B$6:$B$53,0),COLUMN()-COLUMN($CI$5)+1),""))</f>
        <v/>
      </c>
      <c r="EA29" s="1753" t="str" cm="1">
        <f t="array" ref="EA29">IF($CG29="","",IF(INDEX($D$6:$CB$53,MATCH($CG29,$B$6:$B$53,0),COLUMN()-COLUMN($CI$5)+1)&gt;0,INDEX($D$6:$CB$53,MATCH($CG29,$B$6:$B$53,0),COLUMN()-COLUMN($CI$5)+1),""))</f>
        <v/>
      </c>
      <c r="EB29" s="1753" t="str" cm="1">
        <f t="array" ref="EB29">IF($CG29="","",IF(INDEX($D$6:$CB$53,MATCH($CG29,$B$6:$B$53,0),COLUMN()-COLUMN($CI$5)+1)&gt;0,INDEX($D$6:$CB$53,MATCH($CG29,$B$6:$B$53,0),COLUMN()-COLUMN($CI$5)+1),""))</f>
        <v/>
      </c>
      <c r="EC29" s="1753" t="str" cm="1">
        <f t="array" ref="EC29">IF($CG29="","",IF(INDEX($D$6:$CB$53,MATCH($CG29,$B$6:$B$53,0),COLUMN()-COLUMN($CI$5)+1)&gt;0,INDEX($D$6:$CB$53,MATCH($CG29,$B$6:$B$53,0),COLUMN()-COLUMN($CI$5)+1),""))</f>
        <v/>
      </c>
      <c r="ED29" s="1753" t="str" cm="1">
        <f t="array" ref="ED29">IF($CG29="","",IF(INDEX($D$6:$CB$53,MATCH($CG29,$B$6:$B$53,0),COLUMN()-COLUMN($CI$5)+1)&gt;0,INDEX($D$6:$CB$53,MATCH($CG29,$B$6:$B$53,0),COLUMN()-COLUMN($CI$5)+1),""))</f>
        <v/>
      </c>
      <c r="EE29" s="1753" t="str" cm="1">
        <f t="array" ref="EE29">IF($CG29="","",IF(INDEX($D$6:$CB$53,MATCH($CG29,$B$6:$B$53,0),COLUMN()-COLUMN($CI$5)+1)&gt;0,INDEX($D$6:$CB$53,MATCH($CG29,$B$6:$B$53,0),COLUMN()-COLUMN($CI$5)+1),""))</f>
        <v/>
      </c>
      <c r="EF29" s="1753" t="str" cm="1">
        <f t="array" ref="EF29">IF($CG29="","",IF(INDEX($D$6:$CB$53,MATCH($CG29,$B$6:$B$53,0),COLUMN()-COLUMN($CI$5)+1)&gt;0,INDEX($D$6:$CB$53,MATCH($CG29,$B$6:$B$53,0),COLUMN()-COLUMN($CI$5)+1),""))</f>
        <v/>
      </c>
      <c r="EG29" s="1753" t="str" cm="1">
        <f t="array" ref="EG29">IF($CG29="","",IF(INDEX($D$6:$CB$53,MATCH($CG29,$B$6:$B$53,0),COLUMN()-COLUMN($CI$5)+1)&gt;0,INDEX($D$6:$CB$53,MATCH($CG29,$B$6:$B$53,0),COLUMN()-COLUMN($CI$5)+1),""))</f>
        <v/>
      </c>
      <c r="EH29" s="1753" t="str" cm="1">
        <f t="array" ref="EH29">IF($CG29="","",IF(INDEX($D$6:$CB$53,MATCH($CG29,$B$6:$B$53,0),COLUMN()-COLUMN($CI$5)+1)&gt;0,INDEX($D$6:$CB$53,MATCH($CG29,$B$6:$B$53,0),COLUMN()-COLUMN($CI$5)+1),""))</f>
        <v/>
      </c>
      <c r="EI29" s="1753" t="str" cm="1">
        <f t="array" ref="EI29">IF($CG29="","",IF(INDEX($D$6:$CB$53,MATCH($CG29,$B$6:$B$53,0),COLUMN()-COLUMN($CI$5)+1)&gt;0,INDEX($D$6:$CB$53,MATCH($CG29,$B$6:$B$53,0),COLUMN()-COLUMN($CI$5)+1),""))</f>
        <v/>
      </c>
      <c r="EJ29" s="1753" t="str" cm="1">
        <f t="array" ref="EJ29">IF($CG29="","",IF(INDEX($D$6:$CB$53,MATCH($CG29,$B$6:$B$53,0),COLUMN()-COLUMN($CI$5)+1)&gt;0,INDEX($D$6:$CB$53,MATCH($CG29,$B$6:$B$53,0),COLUMN()-COLUMN($CI$5)+1),""))</f>
        <v/>
      </c>
      <c r="EK29" s="1753" t="str" cm="1">
        <f t="array" ref="EK29">IF($CG29="","",IF(INDEX($D$6:$CB$53,MATCH($CG29,$B$6:$B$53,0),COLUMN()-COLUMN($CI$5)+1)&gt;0,INDEX($D$6:$CB$53,MATCH($CG29,$B$6:$B$53,0),COLUMN()-COLUMN($CI$5)+1),""))</f>
        <v/>
      </c>
      <c r="EL29" s="1753" t="str" cm="1">
        <f t="array" ref="EL29">IF($CG29="","",IF(INDEX($D$6:$CB$53,MATCH($CG29,$B$6:$B$53,0),COLUMN()-COLUMN($CI$5)+1)&gt;0,INDEX($D$6:$CB$53,MATCH($CG29,$B$6:$B$53,0),COLUMN()-COLUMN($CI$5)+1),""))</f>
        <v/>
      </c>
      <c r="EM29" s="1753" t="str" cm="1">
        <f t="array" ref="EM29">IF($CG29="","",IF(INDEX($D$6:$CB$53,MATCH($CG29,$B$6:$B$53,0),COLUMN()-COLUMN($CI$5)+1)&gt;0,INDEX($D$6:$CB$53,MATCH($CG29,$B$6:$B$53,0),COLUMN()-COLUMN($CI$5)+1),""))</f>
        <v/>
      </c>
      <c r="EN29" s="1753" t="str" cm="1">
        <f t="array" ref="EN29">IF($CG29="","",IF(INDEX($D$6:$CB$53,MATCH($CG29,$B$6:$B$53,0),COLUMN()-COLUMN($CI$5)+1)&gt;0,INDEX($D$6:$CB$53,MATCH($CG29,$B$6:$B$53,0),COLUMN()-COLUMN($CI$5)+1),""))</f>
        <v/>
      </c>
      <c r="EO29" s="1753" t="str" cm="1">
        <f t="array" ref="EO29">IF($CG29="","",IF(INDEX($D$6:$CB$53,MATCH($CG29,$B$6:$B$53,0),COLUMN()-COLUMN($CI$5)+1)&gt;0,INDEX($D$6:$CB$53,MATCH($CG29,$B$6:$B$53,0),COLUMN()-COLUMN($CI$5)+1),""))</f>
        <v/>
      </c>
      <c r="EP29" s="1753" t="str" cm="1">
        <f t="array" ref="EP29">IF($CG29="","",IF(INDEX($D$6:$CB$53,MATCH($CG29,$B$6:$B$53,0),COLUMN()-COLUMN($CI$5)+1)&gt;0,INDEX($D$6:$CB$53,MATCH($CG29,$B$6:$B$53,0),COLUMN()-COLUMN($CI$5)+1),""))</f>
        <v/>
      </c>
      <c r="EQ29" s="1753" t="str" cm="1">
        <f t="array" ref="EQ29">IF($CG29="","",IF(INDEX($D$6:$CB$53,MATCH($CG29,$B$6:$B$53,0),COLUMN()-COLUMN($CI$5)+1)&gt;0,INDEX($D$6:$CB$53,MATCH($CG29,$B$6:$B$53,0),COLUMN()-COLUMN($CI$5)+1),""))</f>
        <v/>
      </c>
      <c r="ER29" s="1753" t="str" cm="1">
        <f t="array" ref="ER29">IF($CG29="","",IF(INDEX($D$6:$CB$53,MATCH($CG29,$B$6:$B$53,0),COLUMN()-COLUMN($CI$5)+1)&gt;0,INDEX($D$6:$CB$53,MATCH($CG29,$B$6:$B$53,0),COLUMN()-COLUMN($CI$5)+1),""))</f>
        <v/>
      </c>
      <c r="ES29" s="1753" t="str" cm="1">
        <f t="array" ref="ES29">IF($CG29="","",IF(INDEX($D$6:$CB$53,MATCH($CG29,$B$6:$B$53,0),COLUMN()-COLUMN($CI$5)+1)&gt;0,INDEX($D$6:$CB$53,MATCH($CG29,$B$6:$B$53,0),COLUMN()-COLUMN($CI$5)+1),""))</f>
        <v/>
      </c>
      <c r="ET29" s="1753" t="str" cm="1">
        <f t="array" ref="ET29">IF($CG29="","",IF(INDEX($D$6:$CB$53,MATCH($CG29,$B$6:$B$53,0),COLUMN()-COLUMN($CI$5)+1)&gt;0,INDEX($D$6:$CB$53,MATCH($CG29,$B$6:$B$53,0),COLUMN()-COLUMN($CI$5)+1),""))</f>
        <v/>
      </c>
      <c r="EU29" s="1753" t="str" cm="1">
        <f t="array" ref="EU29">IF($CG29="","",IF(INDEX($D$6:$CB$53,MATCH($CG29,$B$6:$B$53,0),COLUMN()-COLUMN($CI$5)+1)&gt;0,INDEX($D$6:$CB$53,MATCH($CG29,$B$6:$B$53,0),COLUMN()-COLUMN($CI$5)+1),""))</f>
        <v/>
      </c>
      <c r="EV29" s="1753" t="str" cm="1">
        <f t="array" ref="EV29">IF($CG29="","",IF(INDEX($D$6:$CB$53,MATCH($CG29,$B$6:$B$53,0),COLUMN()-COLUMN($CI$5)+1)&gt;0,INDEX($D$6:$CB$53,MATCH($CG29,$B$6:$B$53,0),COLUMN()-COLUMN($CI$5)+1),""))</f>
        <v/>
      </c>
      <c r="EW29" s="1753" t="str" cm="1">
        <f t="array" ref="EW29">IF($CG29="","",IF(INDEX($D$6:$CB$53,MATCH($CG29,$B$6:$B$53,0),COLUMN()-COLUMN($CI$5)+1)&gt;0,INDEX($D$6:$CB$53,MATCH($CG29,$B$6:$B$53,0),COLUMN()-COLUMN($CI$5)+1),""))</f>
        <v/>
      </c>
      <c r="EX29" s="1753" t="str" cm="1">
        <f t="array" ref="EX29">IF($CG29="","",IF(INDEX($D$6:$CB$53,MATCH($CG29,$B$6:$B$53,0),COLUMN()-COLUMN($CI$5)+1)&gt;0,INDEX($D$6:$CB$53,MATCH($CG29,$B$6:$B$53,0),COLUMN()-COLUMN($CI$5)+1),""))</f>
        <v/>
      </c>
      <c r="EY29" s="1753" t="str" cm="1">
        <f t="array" ref="EY29">IF($CG29="","",IF(INDEX($D$6:$CB$53,MATCH($CG29,$B$6:$B$53,0),COLUMN()-COLUMN($CI$5)+1)&gt;0,INDEX($D$6:$CB$53,MATCH($CG29,$B$6:$B$53,0),COLUMN()-COLUMN($CI$5)+1),""))</f>
        <v/>
      </c>
      <c r="EZ29" s="1753" t="str" cm="1">
        <f t="array" ref="EZ29">IF($CG29="","",IF(INDEX($D$6:$CB$53,MATCH($CG29,$B$6:$B$53,0),COLUMN()-COLUMN($CI$5)+1)&gt;0,INDEX($D$6:$CB$53,MATCH($CG29,$B$6:$B$53,0),COLUMN()-COLUMN($CI$5)+1),""))</f>
        <v/>
      </c>
      <c r="FA29" s="1753" t="str" cm="1">
        <f t="array" ref="FA29">IF($CG29="","",IF(INDEX($D$6:$CB$53,MATCH($CG29,$B$6:$B$53,0),COLUMN()-COLUMN($CI$5)+1)&gt;0,INDEX($D$6:$CB$53,MATCH($CG29,$B$6:$B$53,0),COLUMN()-COLUMN($CI$5)+1),""))</f>
        <v/>
      </c>
      <c r="FB29" s="1753" t="str" cm="1">
        <f t="array" ref="FB29">IF($CG29="","",IF(INDEX($D$6:$CB$53,MATCH($CG29,$B$6:$B$53,0),COLUMN()-COLUMN($CI$5)+1)&gt;0,INDEX($D$6:$CB$53,MATCH($CG29,$B$6:$B$53,0),COLUMN()-COLUMN($CI$5)+1),""))</f>
        <v/>
      </c>
      <c r="FC29" s="1753" t="str" cm="1">
        <f t="array" ref="FC29">IF($CG29="","",IF(INDEX($D$6:$CB$53,MATCH($CG29,$B$6:$B$53,0),COLUMN()-COLUMN($CI$5)+1)&gt;0,INDEX($D$6:$CB$53,MATCH($CG29,$B$6:$B$53,0),COLUMN()-COLUMN($CI$5)+1),""))</f>
        <v/>
      </c>
      <c r="FD29" s="1753" t="str" cm="1">
        <f t="array" ref="FD29">IF($CG29="","",IF(INDEX($D$6:$CB$53,MATCH($CG29,$B$6:$B$53,0),COLUMN()-COLUMN($CI$5)+1)&gt;0,INDEX($D$6:$CB$53,MATCH($CG29,$B$6:$B$53,0),COLUMN()-COLUMN($CI$5)+1),""))</f>
        <v/>
      </c>
      <c r="FE29" s="1753" t="str" cm="1">
        <f t="array" ref="FE29">IF($CG29="","",IF(INDEX($D$6:$CB$53,MATCH($CG29,$B$6:$B$53,0),COLUMN()-COLUMN($CI$5)+1)&gt;0,INDEX($D$6:$CB$53,MATCH($CG29,$B$6:$B$53,0),COLUMN()-COLUMN($CI$5)+1),""))</f>
        <v/>
      </c>
      <c r="FF29" s="1753" t="str" cm="1">
        <f t="array" ref="FF29">IF($CG29="","",IF(INDEX($D$6:$CB$53,MATCH($CG29,$B$6:$B$53,0),COLUMN()-COLUMN($CI$5)+1)&gt;0,INDEX($D$6:$CB$53,MATCH($CG29,$B$6:$B$53,0),COLUMN()-COLUMN($CI$5)+1),""))</f>
        <v/>
      </c>
      <c r="FG29" s="1753" t="str" cm="1">
        <f t="array" ref="FG29">IF($CG29="","",IF(INDEX($D$6:$CB$53,MATCH($CG29,$B$6:$B$53,0),COLUMN()-COLUMN($CI$5)+1)&gt;0,INDEX($D$6:$CB$53,MATCH($CG29,$B$6:$B$53,0),COLUMN()-COLUMN($CI$5)+1),""))</f>
        <v/>
      </c>
      <c r="FH29" s="1753" t="str">
        <f t="shared" si="4"/>
        <v/>
      </c>
      <c r="FI29" s="1753" t="str">
        <f t="shared" si="5"/>
        <v/>
      </c>
      <c r="FJ29" s="1753" t="str">
        <f t="shared" si="6"/>
        <v/>
      </c>
      <c r="FK29" s="1754"/>
    </row>
    <row r="30" spans="1:167" ht="15.75" customHeight="1" thickBot="1">
      <c r="A30" s="1220"/>
      <c r="B30" s="1278">
        <f>+PP!B48</f>
        <v>25</v>
      </c>
      <c r="C30" s="1279" t="str">
        <f>+PP!C48</f>
        <v>MANTO LP C/M C/T 2.0-4.0 Kg/pza</v>
      </c>
      <c r="D30" s="1570"/>
      <c r="E30" s="1408"/>
      <c r="F30" s="1571"/>
      <c r="G30" s="1408"/>
      <c r="H30" s="1408"/>
      <c r="I30" s="1408"/>
      <c r="J30" s="1408"/>
      <c r="K30" s="1408"/>
      <c r="L30" s="1408"/>
      <c r="M30" s="1408"/>
      <c r="N30" s="1408"/>
      <c r="O30" s="1408"/>
      <c r="P30" s="1408"/>
      <c r="Q30" s="1408"/>
      <c r="R30" s="1408"/>
      <c r="S30" s="1408"/>
      <c r="T30" s="1408"/>
      <c r="U30" s="1408"/>
      <c r="V30" s="1408"/>
      <c r="W30" s="1408"/>
      <c r="X30" s="1408"/>
      <c r="Y30" s="1408"/>
      <c r="Z30" s="1408"/>
      <c r="AA30" s="1408"/>
      <c r="AB30" s="1408"/>
      <c r="AC30" s="1408"/>
      <c r="AD30" s="1408"/>
      <c r="AE30" s="1408"/>
      <c r="AF30" s="1408"/>
      <c r="AG30" s="1408"/>
      <c r="AH30" s="1409"/>
      <c r="AI30" s="1238"/>
      <c r="AJ30" s="1238"/>
      <c r="AK30" s="1238"/>
      <c r="AL30" s="1238"/>
      <c r="AM30" s="1238"/>
      <c r="AN30" s="1238"/>
      <c r="AO30" s="1238"/>
      <c r="AP30" s="1219"/>
      <c r="AQ30" s="1219"/>
      <c r="AR30" s="1219"/>
      <c r="AS30" s="1219"/>
      <c r="AT30" s="1219"/>
      <c r="AU30" s="1219"/>
      <c r="AV30" s="1219"/>
      <c r="AW30" s="1219"/>
      <c r="AX30" s="1219"/>
      <c r="AY30" s="1219"/>
      <c r="AZ30" s="1219"/>
      <c r="BA30" s="1219"/>
      <c r="BB30" s="1219"/>
      <c r="BC30" s="1219"/>
      <c r="BD30" s="1219"/>
      <c r="BE30" s="1219"/>
      <c r="BF30" s="1219"/>
      <c r="BG30" s="1219"/>
      <c r="BH30" s="1219"/>
      <c r="BI30" s="1219"/>
      <c r="BJ30" s="1219"/>
      <c r="BK30" s="1219"/>
      <c r="BL30" s="1219"/>
      <c r="BM30" s="1219"/>
      <c r="BN30" s="1219"/>
      <c r="BO30" s="1219"/>
      <c r="BP30" s="1219"/>
      <c r="BQ30" s="1219"/>
      <c r="BR30" s="1565"/>
      <c r="BS30" s="1565"/>
      <c r="BT30" s="1565"/>
      <c r="BU30" s="1565"/>
      <c r="BV30" s="1565"/>
      <c r="BW30" s="1565"/>
      <c r="BX30" s="1565"/>
      <c r="BY30" s="1565"/>
      <c r="BZ30" s="1565"/>
      <c r="CA30" s="1565"/>
      <c r="CB30" s="1566"/>
      <c r="CC30" s="1550">
        <f t="shared" si="0"/>
        <v>0</v>
      </c>
      <c r="CD30" s="1236">
        <f t="shared" si="1"/>
        <v>0</v>
      </c>
      <c r="CE30" s="1237">
        <f t="shared" si="2"/>
        <v>0</v>
      </c>
      <c r="CF30" s="1220"/>
      <c r="CG30" s="1751" t="str" cm="1">
        <f t="array" ref="CG30">IFERROR(INDEX($B$6:$B$53,_xlfn.AGGREGATE(15,6,(ROW($B$6:$B$53)-ROW($B$6)+1)/(MMULT(--($D$6:$CB$53&gt;0),TRANSPOSE(COLUMN($D$6:$CB$6)^0))&gt;0),ROWS($CG$6:CG30))),"")</f>
        <v/>
      </c>
      <c r="CH30" s="1752" t="str">
        <f t="shared" si="3"/>
        <v/>
      </c>
      <c r="CI30" s="1753" t="str" cm="1">
        <f t="array" ref="CI30">IF($CG30="","",IF(INDEX($D$6:$CB$53,MATCH($CG30,$B$6:$B$53,0),COLUMN()-COLUMN($CI$5)+1)&gt;0,INDEX($D$6:$CB$53,MATCH($CG30,$B$6:$B$53,0),COLUMN()-COLUMN($CI$5)+1),""))</f>
        <v/>
      </c>
      <c r="CJ30" s="1753" t="str" cm="1">
        <f t="array" ref="CJ30">IF($CG30="","",IF(INDEX($D$6:$CB$53,MATCH($CG30,$B$6:$B$53,0),COLUMN()-COLUMN($CI$5)+1)&gt;0,INDEX($D$6:$CB$53,MATCH($CG30,$B$6:$B$53,0),COLUMN()-COLUMN($CI$5)+1),""))</f>
        <v/>
      </c>
      <c r="CK30" s="1753" t="str" cm="1">
        <f t="array" ref="CK30">IF($CG30="","",IF(INDEX($D$6:$CB$53,MATCH($CG30,$B$6:$B$53,0),COLUMN()-COLUMN($CI$5)+1)&gt;0,INDEX($D$6:$CB$53,MATCH($CG30,$B$6:$B$53,0),COLUMN()-COLUMN($CI$5)+1),""))</f>
        <v/>
      </c>
      <c r="CL30" s="1753" t="str" cm="1">
        <f t="array" ref="CL30">IF($CG30="","",IF(INDEX($D$6:$CB$53,MATCH($CG30,$B$6:$B$53,0),COLUMN()-COLUMN($CI$5)+1)&gt;0,INDEX($D$6:$CB$53,MATCH($CG30,$B$6:$B$53,0),COLUMN()-COLUMN($CI$5)+1),""))</f>
        <v/>
      </c>
      <c r="CM30" s="1753" t="str" cm="1">
        <f t="array" ref="CM30">IF($CG30="","",IF(INDEX($D$6:$CB$53,MATCH($CG30,$B$6:$B$53,0),COLUMN()-COLUMN($CI$5)+1)&gt;0,INDEX($D$6:$CB$53,MATCH($CG30,$B$6:$B$53,0),COLUMN()-COLUMN($CI$5)+1),""))</f>
        <v/>
      </c>
      <c r="CN30" s="1753" t="str" cm="1">
        <f t="array" ref="CN30">IF($CG30="","",IF(INDEX($D$6:$CB$53,MATCH($CG30,$B$6:$B$53,0),COLUMN()-COLUMN($CI$5)+1)&gt;0,INDEX($D$6:$CB$53,MATCH($CG30,$B$6:$B$53,0),COLUMN()-COLUMN($CI$5)+1),""))</f>
        <v/>
      </c>
      <c r="CO30" s="1753" t="str" cm="1">
        <f t="array" ref="CO30">IF($CG30="","",IF(INDEX($D$6:$CB$53,MATCH($CG30,$B$6:$B$53,0),COLUMN()-COLUMN($CI$5)+1)&gt;0,INDEX($D$6:$CB$53,MATCH($CG30,$B$6:$B$53,0),COLUMN()-COLUMN($CI$5)+1),""))</f>
        <v/>
      </c>
      <c r="CP30" s="1753" t="str" cm="1">
        <f t="array" ref="CP30">IF($CG30="","",IF(INDEX($D$6:$CB$53,MATCH($CG30,$B$6:$B$53,0),COLUMN()-COLUMN($CI$5)+1)&gt;0,INDEX($D$6:$CB$53,MATCH($CG30,$B$6:$B$53,0),COLUMN()-COLUMN($CI$5)+1),""))</f>
        <v/>
      </c>
      <c r="CQ30" s="1753" t="str" cm="1">
        <f t="array" ref="CQ30">IF($CG30="","",IF(INDEX($D$6:$CB$53,MATCH($CG30,$B$6:$B$53,0),COLUMN()-COLUMN($CI$5)+1)&gt;0,INDEX($D$6:$CB$53,MATCH($CG30,$B$6:$B$53,0),COLUMN()-COLUMN($CI$5)+1),""))</f>
        <v/>
      </c>
      <c r="CR30" s="1753" t="str" cm="1">
        <f t="array" ref="CR30">IF($CG30="","",IF(INDEX($D$6:$CB$53,MATCH($CG30,$B$6:$B$53,0),COLUMN()-COLUMN($CI$5)+1)&gt;0,INDEX($D$6:$CB$53,MATCH($CG30,$B$6:$B$53,0),COLUMN()-COLUMN($CI$5)+1),""))</f>
        <v/>
      </c>
      <c r="CS30" s="1753" t="str" cm="1">
        <f t="array" ref="CS30">IF($CG30="","",IF(INDEX($D$6:$CB$53,MATCH($CG30,$B$6:$B$53,0),COLUMN()-COLUMN($CI$5)+1)&gt;0,INDEX($D$6:$CB$53,MATCH($CG30,$B$6:$B$53,0),COLUMN()-COLUMN($CI$5)+1),""))</f>
        <v/>
      </c>
      <c r="CT30" s="1753" t="str" cm="1">
        <f t="array" ref="CT30">IF($CG30="","",IF(INDEX($D$6:$CB$53,MATCH($CG30,$B$6:$B$53,0),COLUMN()-COLUMN($CI$5)+1)&gt;0,INDEX($D$6:$CB$53,MATCH($CG30,$B$6:$B$53,0),COLUMN()-COLUMN($CI$5)+1),""))</f>
        <v/>
      </c>
      <c r="CU30" s="1753" t="str" cm="1">
        <f t="array" ref="CU30">IF($CG30="","",IF(INDEX($D$6:$CB$53,MATCH($CG30,$B$6:$B$53,0),COLUMN()-COLUMN($CI$5)+1)&gt;0,INDEX($D$6:$CB$53,MATCH($CG30,$B$6:$B$53,0),COLUMN()-COLUMN($CI$5)+1),""))</f>
        <v/>
      </c>
      <c r="CV30" s="1753" t="str" cm="1">
        <f t="array" ref="CV30">IF($CG30="","",IF(INDEX($D$6:$CB$53,MATCH($CG30,$B$6:$B$53,0),COLUMN()-COLUMN($CI$5)+1)&gt;0,INDEX($D$6:$CB$53,MATCH($CG30,$B$6:$B$53,0),COLUMN()-COLUMN($CI$5)+1),""))</f>
        <v/>
      </c>
      <c r="CW30" s="1753" t="str" cm="1">
        <f t="array" ref="CW30">IF($CG30="","",IF(INDEX($D$6:$CB$53,MATCH($CG30,$B$6:$B$53,0),COLUMN()-COLUMN($CI$5)+1)&gt;0,INDEX($D$6:$CB$53,MATCH($CG30,$B$6:$B$53,0),COLUMN()-COLUMN($CI$5)+1),""))</f>
        <v/>
      </c>
      <c r="CX30" s="1753" t="str" cm="1">
        <f t="array" ref="CX30">IF($CG30="","",IF(INDEX($D$6:$CB$53,MATCH($CG30,$B$6:$B$53,0),COLUMN()-COLUMN($CI$5)+1)&gt;0,INDEX($D$6:$CB$53,MATCH($CG30,$B$6:$B$53,0),COLUMN()-COLUMN($CI$5)+1),""))</f>
        <v/>
      </c>
      <c r="CY30" s="1753" t="str" cm="1">
        <f t="array" ref="CY30">IF($CG30="","",IF(INDEX($D$6:$CB$53,MATCH($CG30,$B$6:$B$53,0),COLUMN()-COLUMN($CI$5)+1)&gt;0,INDEX($D$6:$CB$53,MATCH($CG30,$B$6:$B$53,0),COLUMN()-COLUMN($CI$5)+1),""))</f>
        <v/>
      </c>
      <c r="CZ30" s="1753" t="str" cm="1">
        <f t="array" ref="CZ30">IF($CG30="","",IF(INDEX($D$6:$CB$53,MATCH($CG30,$B$6:$B$53,0),COLUMN()-COLUMN($CI$5)+1)&gt;0,INDEX($D$6:$CB$53,MATCH($CG30,$B$6:$B$53,0),COLUMN()-COLUMN($CI$5)+1),""))</f>
        <v/>
      </c>
      <c r="DA30" s="1753" t="str" cm="1">
        <f t="array" ref="DA30">IF($CG30="","",IF(INDEX($D$6:$CB$53,MATCH($CG30,$B$6:$B$53,0),COLUMN()-COLUMN($CI$5)+1)&gt;0,INDEX($D$6:$CB$53,MATCH($CG30,$B$6:$B$53,0),COLUMN()-COLUMN($CI$5)+1),""))</f>
        <v/>
      </c>
      <c r="DB30" s="1753" t="str" cm="1">
        <f t="array" ref="DB30">IF($CG30="","",IF(INDEX($D$6:$CB$53,MATCH($CG30,$B$6:$B$53,0),COLUMN()-COLUMN($CI$5)+1)&gt;0,INDEX($D$6:$CB$53,MATCH($CG30,$B$6:$B$53,0),COLUMN()-COLUMN($CI$5)+1),""))</f>
        <v/>
      </c>
      <c r="DC30" s="1753" t="str" cm="1">
        <f t="array" ref="DC30">IF($CG30="","",IF(INDEX($D$6:$CB$53,MATCH($CG30,$B$6:$B$53,0),COLUMN()-COLUMN($CI$5)+1)&gt;0,INDEX($D$6:$CB$53,MATCH($CG30,$B$6:$B$53,0),COLUMN()-COLUMN($CI$5)+1),""))</f>
        <v/>
      </c>
      <c r="DD30" s="1753" t="str" cm="1">
        <f t="array" ref="DD30">IF($CG30="","",IF(INDEX($D$6:$CB$53,MATCH($CG30,$B$6:$B$53,0),COLUMN()-COLUMN($CI$5)+1)&gt;0,INDEX($D$6:$CB$53,MATCH($CG30,$B$6:$B$53,0),COLUMN()-COLUMN($CI$5)+1),""))</f>
        <v/>
      </c>
      <c r="DE30" s="1753" t="str" cm="1">
        <f t="array" ref="DE30">IF($CG30="","",IF(INDEX($D$6:$CB$53,MATCH($CG30,$B$6:$B$53,0),COLUMN()-COLUMN($CI$5)+1)&gt;0,INDEX($D$6:$CB$53,MATCH($CG30,$B$6:$B$53,0),COLUMN()-COLUMN($CI$5)+1),""))</f>
        <v/>
      </c>
      <c r="DF30" s="1753" t="str" cm="1">
        <f t="array" ref="DF30">IF($CG30="","",IF(INDEX($D$6:$CB$53,MATCH($CG30,$B$6:$B$53,0),COLUMN()-COLUMN($CI$5)+1)&gt;0,INDEX($D$6:$CB$53,MATCH($CG30,$B$6:$B$53,0),COLUMN()-COLUMN($CI$5)+1),""))</f>
        <v/>
      </c>
      <c r="DG30" s="1753" t="str" cm="1">
        <f t="array" ref="DG30">IF($CG30="","",IF(INDEX($D$6:$CB$53,MATCH($CG30,$B$6:$B$53,0),COLUMN()-COLUMN($CI$5)+1)&gt;0,INDEX($D$6:$CB$53,MATCH($CG30,$B$6:$B$53,0),COLUMN()-COLUMN($CI$5)+1),""))</f>
        <v/>
      </c>
      <c r="DH30" s="1753" t="str" cm="1">
        <f t="array" ref="DH30">IF($CG30="","",IF(INDEX($D$6:$CB$53,MATCH($CG30,$B$6:$B$53,0),COLUMN()-COLUMN($CI$5)+1)&gt;0,INDEX($D$6:$CB$53,MATCH($CG30,$B$6:$B$53,0),COLUMN()-COLUMN($CI$5)+1),""))</f>
        <v/>
      </c>
      <c r="DI30" s="1753" t="str" cm="1">
        <f t="array" ref="DI30">IF($CG30="","",IF(INDEX($D$6:$CB$53,MATCH($CG30,$B$6:$B$53,0),COLUMN()-COLUMN($CI$5)+1)&gt;0,INDEX($D$6:$CB$53,MATCH($CG30,$B$6:$B$53,0),COLUMN()-COLUMN($CI$5)+1),""))</f>
        <v/>
      </c>
      <c r="DJ30" s="1753" t="str" cm="1">
        <f t="array" ref="DJ30">IF($CG30="","",IF(INDEX($D$6:$CB$53,MATCH($CG30,$B$6:$B$53,0),COLUMN()-COLUMN($CI$5)+1)&gt;0,INDEX($D$6:$CB$53,MATCH($CG30,$B$6:$B$53,0),COLUMN()-COLUMN($CI$5)+1),""))</f>
        <v/>
      </c>
      <c r="DK30" s="1753" t="str" cm="1">
        <f t="array" ref="DK30">IF($CG30="","",IF(INDEX($D$6:$CB$53,MATCH($CG30,$B$6:$B$53,0),COLUMN()-COLUMN($CI$5)+1)&gt;0,INDEX($D$6:$CB$53,MATCH($CG30,$B$6:$B$53,0),COLUMN()-COLUMN($CI$5)+1),""))</f>
        <v/>
      </c>
      <c r="DL30" s="1753" t="str" cm="1">
        <f t="array" ref="DL30">IF($CG30="","",IF(INDEX($D$6:$CB$53,MATCH($CG30,$B$6:$B$53,0),COLUMN()-COLUMN($CI$5)+1)&gt;0,INDEX($D$6:$CB$53,MATCH($CG30,$B$6:$B$53,0),COLUMN()-COLUMN($CI$5)+1),""))</f>
        <v/>
      </c>
      <c r="DM30" s="1753" t="str" cm="1">
        <f t="array" ref="DM30">IF($CG30="","",IF(INDEX($D$6:$CB$53,MATCH($CG30,$B$6:$B$53,0),COLUMN()-COLUMN($CI$5)+1)&gt;0,INDEX($D$6:$CB$53,MATCH($CG30,$B$6:$B$53,0),COLUMN()-COLUMN($CI$5)+1),""))</f>
        <v/>
      </c>
      <c r="DN30" s="1753" t="str" cm="1">
        <f t="array" ref="DN30">IF($CG30="","",IF(INDEX($D$6:$CB$53,MATCH($CG30,$B$6:$B$53,0),COLUMN()-COLUMN($CI$5)+1)&gt;0,INDEX($D$6:$CB$53,MATCH($CG30,$B$6:$B$53,0),COLUMN()-COLUMN($CI$5)+1),""))</f>
        <v/>
      </c>
      <c r="DO30" s="1753" t="str" cm="1">
        <f t="array" ref="DO30">IF($CG30="","",IF(INDEX($D$6:$CB$53,MATCH($CG30,$B$6:$B$53,0),COLUMN()-COLUMN($CI$5)+1)&gt;0,INDEX($D$6:$CB$53,MATCH($CG30,$B$6:$B$53,0),COLUMN()-COLUMN($CI$5)+1),""))</f>
        <v/>
      </c>
      <c r="DP30" s="1753" t="str" cm="1">
        <f t="array" ref="DP30">IF($CG30="","",IF(INDEX($D$6:$CB$53,MATCH($CG30,$B$6:$B$53,0),COLUMN()-COLUMN($CI$5)+1)&gt;0,INDEX($D$6:$CB$53,MATCH($CG30,$B$6:$B$53,0),COLUMN()-COLUMN($CI$5)+1),""))</f>
        <v/>
      </c>
      <c r="DQ30" s="1753" t="str" cm="1">
        <f t="array" ref="DQ30">IF($CG30="","",IF(INDEX($D$6:$CB$53,MATCH($CG30,$B$6:$B$53,0),COLUMN()-COLUMN($CI$5)+1)&gt;0,INDEX($D$6:$CB$53,MATCH($CG30,$B$6:$B$53,0),COLUMN()-COLUMN($CI$5)+1),""))</f>
        <v/>
      </c>
      <c r="DR30" s="1753" t="str" cm="1">
        <f t="array" ref="DR30">IF($CG30="","",IF(INDEX($D$6:$CB$53,MATCH($CG30,$B$6:$B$53,0),COLUMN()-COLUMN($CI$5)+1)&gt;0,INDEX($D$6:$CB$53,MATCH($CG30,$B$6:$B$53,0),COLUMN()-COLUMN($CI$5)+1),""))</f>
        <v/>
      </c>
      <c r="DS30" s="1753" t="str" cm="1">
        <f t="array" ref="DS30">IF($CG30="","",IF(INDEX($D$6:$CB$53,MATCH($CG30,$B$6:$B$53,0),COLUMN()-COLUMN($CI$5)+1)&gt;0,INDEX($D$6:$CB$53,MATCH($CG30,$B$6:$B$53,0),COLUMN()-COLUMN($CI$5)+1),""))</f>
        <v/>
      </c>
      <c r="DT30" s="1753" t="str" cm="1">
        <f t="array" ref="DT30">IF($CG30="","",IF(INDEX($D$6:$CB$53,MATCH($CG30,$B$6:$B$53,0),COLUMN()-COLUMN($CI$5)+1)&gt;0,INDEX($D$6:$CB$53,MATCH($CG30,$B$6:$B$53,0),COLUMN()-COLUMN($CI$5)+1),""))</f>
        <v/>
      </c>
      <c r="DU30" s="1753" t="str" cm="1">
        <f t="array" ref="DU30">IF($CG30="","",IF(INDEX($D$6:$CB$53,MATCH($CG30,$B$6:$B$53,0),COLUMN()-COLUMN($CI$5)+1)&gt;0,INDEX($D$6:$CB$53,MATCH($CG30,$B$6:$B$53,0),COLUMN()-COLUMN($CI$5)+1),""))</f>
        <v/>
      </c>
      <c r="DV30" s="1753" t="str" cm="1">
        <f t="array" ref="DV30">IF($CG30="","",IF(INDEX($D$6:$CB$53,MATCH($CG30,$B$6:$B$53,0),COLUMN()-COLUMN($CI$5)+1)&gt;0,INDEX($D$6:$CB$53,MATCH($CG30,$B$6:$B$53,0),COLUMN()-COLUMN($CI$5)+1),""))</f>
        <v/>
      </c>
      <c r="DW30" s="1753" t="str" cm="1">
        <f t="array" ref="DW30">IF($CG30="","",IF(INDEX($D$6:$CB$53,MATCH($CG30,$B$6:$B$53,0),COLUMN()-COLUMN($CI$5)+1)&gt;0,INDEX($D$6:$CB$53,MATCH($CG30,$B$6:$B$53,0),COLUMN()-COLUMN($CI$5)+1),""))</f>
        <v/>
      </c>
      <c r="DX30" s="1753" t="str" cm="1">
        <f t="array" ref="DX30">IF($CG30="","",IF(INDEX($D$6:$CB$53,MATCH($CG30,$B$6:$B$53,0),COLUMN()-COLUMN($CI$5)+1)&gt;0,INDEX($D$6:$CB$53,MATCH($CG30,$B$6:$B$53,0),COLUMN()-COLUMN($CI$5)+1),""))</f>
        <v/>
      </c>
      <c r="DY30" s="1753" t="str" cm="1">
        <f t="array" ref="DY30">IF($CG30="","",IF(INDEX($D$6:$CB$53,MATCH($CG30,$B$6:$B$53,0),COLUMN()-COLUMN($CI$5)+1)&gt;0,INDEX($D$6:$CB$53,MATCH($CG30,$B$6:$B$53,0),COLUMN()-COLUMN($CI$5)+1),""))</f>
        <v/>
      </c>
      <c r="DZ30" s="1753" t="str" cm="1">
        <f t="array" ref="DZ30">IF($CG30="","",IF(INDEX($D$6:$CB$53,MATCH($CG30,$B$6:$B$53,0),COLUMN()-COLUMN($CI$5)+1)&gt;0,INDEX($D$6:$CB$53,MATCH($CG30,$B$6:$B$53,0),COLUMN()-COLUMN($CI$5)+1),""))</f>
        <v/>
      </c>
      <c r="EA30" s="1753" t="str" cm="1">
        <f t="array" ref="EA30">IF($CG30="","",IF(INDEX($D$6:$CB$53,MATCH($CG30,$B$6:$B$53,0),COLUMN()-COLUMN($CI$5)+1)&gt;0,INDEX($D$6:$CB$53,MATCH($CG30,$B$6:$B$53,0),COLUMN()-COLUMN($CI$5)+1),""))</f>
        <v/>
      </c>
      <c r="EB30" s="1753" t="str" cm="1">
        <f t="array" ref="EB30">IF($CG30="","",IF(INDEX($D$6:$CB$53,MATCH($CG30,$B$6:$B$53,0),COLUMN()-COLUMN($CI$5)+1)&gt;0,INDEX($D$6:$CB$53,MATCH($CG30,$B$6:$B$53,0),COLUMN()-COLUMN($CI$5)+1),""))</f>
        <v/>
      </c>
      <c r="EC30" s="1753" t="str" cm="1">
        <f t="array" ref="EC30">IF($CG30="","",IF(INDEX($D$6:$CB$53,MATCH($CG30,$B$6:$B$53,0),COLUMN()-COLUMN($CI$5)+1)&gt;0,INDEX($D$6:$CB$53,MATCH($CG30,$B$6:$B$53,0),COLUMN()-COLUMN($CI$5)+1),""))</f>
        <v/>
      </c>
      <c r="ED30" s="1753" t="str" cm="1">
        <f t="array" ref="ED30">IF($CG30="","",IF(INDEX($D$6:$CB$53,MATCH($CG30,$B$6:$B$53,0),COLUMN()-COLUMN($CI$5)+1)&gt;0,INDEX($D$6:$CB$53,MATCH($CG30,$B$6:$B$53,0),COLUMN()-COLUMN($CI$5)+1),""))</f>
        <v/>
      </c>
      <c r="EE30" s="1753" t="str" cm="1">
        <f t="array" ref="EE30">IF($CG30="","",IF(INDEX($D$6:$CB$53,MATCH($CG30,$B$6:$B$53,0),COLUMN()-COLUMN($CI$5)+1)&gt;0,INDEX($D$6:$CB$53,MATCH($CG30,$B$6:$B$53,0),COLUMN()-COLUMN($CI$5)+1),""))</f>
        <v/>
      </c>
      <c r="EF30" s="1753" t="str" cm="1">
        <f t="array" ref="EF30">IF($CG30="","",IF(INDEX($D$6:$CB$53,MATCH($CG30,$B$6:$B$53,0),COLUMN()-COLUMN($CI$5)+1)&gt;0,INDEX($D$6:$CB$53,MATCH($CG30,$B$6:$B$53,0),COLUMN()-COLUMN($CI$5)+1),""))</f>
        <v/>
      </c>
      <c r="EG30" s="1753" t="str">
        <f>IF($CG30="","",IF(INDEX($D$6:$CB$53,MATCH($CG30,$B$6:$B$53,0),COLUMN()-COLUMN($CI$5)+1)&gt;0,INDEX($D$6:$CB$53,MATCH($CG30,$B$6:$B$53,0),COLUMN()-COLUMN($CI$5)+1),""))</f>
        <v/>
      </c>
      <c r="EH30" s="1753" t="str" cm="1">
        <f t="array" ref="EH30">IF($CG30="","",IF(INDEX($D$6:$CB$53,MATCH($CG30,$B$6:$B$53,0),COLUMN()-COLUMN($CI$5)+1)&gt;0,INDEX($D$6:$CB$53,MATCH($CG30,$B$6:$B$53,0),COLUMN()-COLUMN($CI$5)+1),""))</f>
        <v/>
      </c>
      <c r="EI30" s="1753" t="str" cm="1">
        <f t="array" ref="EI30">IF($CG30="","",IF(INDEX($D$6:$CB$53,MATCH($CG30,$B$6:$B$53,0),COLUMN()-COLUMN($CI$5)+1)&gt;0,INDEX($D$6:$CB$53,MATCH($CG30,$B$6:$B$53,0),COLUMN()-COLUMN($CI$5)+1),""))</f>
        <v/>
      </c>
      <c r="EJ30" s="1753" t="str" cm="1">
        <f t="array" ref="EJ30">IF($CG30="","",IF(INDEX($D$6:$CB$53,MATCH($CG30,$B$6:$B$53,0),COLUMN()-COLUMN($CI$5)+1)&gt;0,INDEX($D$6:$CB$53,MATCH($CG30,$B$6:$B$53,0),COLUMN()-COLUMN($CI$5)+1),""))</f>
        <v/>
      </c>
      <c r="EK30" s="1753" t="str" cm="1">
        <f t="array" ref="EK30">IF($CG30="","",IF(INDEX($D$6:$CB$53,MATCH($CG30,$B$6:$B$53,0),COLUMN()-COLUMN($CI$5)+1)&gt;0,INDEX($D$6:$CB$53,MATCH($CG30,$B$6:$B$53,0),COLUMN()-COLUMN($CI$5)+1),""))</f>
        <v/>
      </c>
      <c r="EL30" s="1753" t="str" cm="1">
        <f t="array" ref="EL30">IF($CG30="","",IF(INDEX($D$6:$CB$53,MATCH($CG30,$B$6:$B$53,0),COLUMN()-COLUMN($CI$5)+1)&gt;0,INDEX($D$6:$CB$53,MATCH($CG30,$B$6:$B$53,0),COLUMN()-COLUMN($CI$5)+1),""))</f>
        <v/>
      </c>
      <c r="EM30" s="1753" t="str" cm="1">
        <f t="array" ref="EM30">IF($CG30="","",IF(INDEX($D$6:$CB$53,MATCH($CG30,$B$6:$B$53,0),COLUMN()-COLUMN($CI$5)+1)&gt;0,INDEX($D$6:$CB$53,MATCH($CG30,$B$6:$B$53,0),COLUMN()-COLUMN($CI$5)+1),""))</f>
        <v/>
      </c>
      <c r="EN30" s="1753" t="str" cm="1">
        <f t="array" ref="EN30">IF($CG30="","",IF(INDEX($D$6:$CB$53,MATCH($CG30,$B$6:$B$53,0),COLUMN()-COLUMN($CI$5)+1)&gt;0,INDEX($D$6:$CB$53,MATCH($CG30,$B$6:$B$53,0),COLUMN()-COLUMN($CI$5)+1),""))</f>
        <v/>
      </c>
      <c r="EO30" s="1753" t="str" cm="1">
        <f t="array" ref="EO30">IF($CG30="","",IF(INDEX($D$6:$CB$53,MATCH($CG30,$B$6:$B$53,0),COLUMN()-COLUMN($CI$5)+1)&gt;0,INDEX($D$6:$CB$53,MATCH($CG30,$B$6:$B$53,0),COLUMN()-COLUMN($CI$5)+1),""))</f>
        <v/>
      </c>
      <c r="EP30" s="1753" t="str" cm="1">
        <f t="array" ref="EP30">IF($CG30="","",IF(INDEX($D$6:$CB$53,MATCH($CG30,$B$6:$B$53,0),COLUMN()-COLUMN($CI$5)+1)&gt;0,INDEX($D$6:$CB$53,MATCH($CG30,$B$6:$B$53,0),COLUMN()-COLUMN($CI$5)+1),""))</f>
        <v/>
      </c>
      <c r="EQ30" s="1753" t="str" cm="1">
        <f t="array" ref="EQ30">IF($CG30="","",IF(INDEX($D$6:$CB$53,MATCH($CG30,$B$6:$B$53,0),COLUMN()-COLUMN($CI$5)+1)&gt;0,INDEX($D$6:$CB$53,MATCH($CG30,$B$6:$B$53,0),COLUMN()-COLUMN($CI$5)+1),""))</f>
        <v/>
      </c>
      <c r="ER30" s="1753" t="str" cm="1">
        <f t="array" ref="ER30">IF($CG30="","",IF(INDEX($D$6:$CB$53,MATCH($CG30,$B$6:$B$53,0),COLUMN()-COLUMN($CI$5)+1)&gt;0,INDEX($D$6:$CB$53,MATCH($CG30,$B$6:$B$53,0),COLUMN()-COLUMN($CI$5)+1),""))</f>
        <v/>
      </c>
      <c r="ES30" s="1753" t="str" cm="1">
        <f t="array" ref="ES30">IF($CG30="","",IF(INDEX($D$6:$CB$53,MATCH($CG30,$B$6:$B$53,0),COLUMN()-COLUMN($CI$5)+1)&gt;0,INDEX($D$6:$CB$53,MATCH($CG30,$B$6:$B$53,0),COLUMN()-COLUMN($CI$5)+1),""))</f>
        <v/>
      </c>
      <c r="ET30" s="1753" t="str" cm="1">
        <f t="array" ref="ET30">IF($CG30="","",IF(INDEX($D$6:$CB$53,MATCH($CG30,$B$6:$B$53,0),COLUMN()-COLUMN($CI$5)+1)&gt;0,INDEX($D$6:$CB$53,MATCH($CG30,$B$6:$B$53,0),COLUMN()-COLUMN($CI$5)+1),""))</f>
        <v/>
      </c>
      <c r="EU30" s="1753" t="str" cm="1">
        <f t="array" ref="EU30">IF($CG30="","",IF(INDEX($D$6:$CB$53,MATCH($CG30,$B$6:$B$53,0),COLUMN()-COLUMN($CI$5)+1)&gt;0,INDEX($D$6:$CB$53,MATCH($CG30,$B$6:$B$53,0),COLUMN()-COLUMN($CI$5)+1),""))</f>
        <v/>
      </c>
      <c r="EV30" s="1753" t="str" cm="1">
        <f t="array" ref="EV30">IF($CG30="","",IF(INDEX($D$6:$CB$53,MATCH($CG30,$B$6:$B$53,0),COLUMN()-COLUMN($CI$5)+1)&gt;0,INDEX($D$6:$CB$53,MATCH($CG30,$B$6:$B$53,0),COLUMN()-COLUMN($CI$5)+1),""))</f>
        <v/>
      </c>
      <c r="EW30" s="1753" t="str" cm="1">
        <f t="array" ref="EW30">IF($CG30="","",IF(INDEX($D$6:$CB$53,MATCH($CG30,$B$6:$B$53,0),COLUMN()-COLUMN($CI$5)+1)&gt;0,INDEX($D$6:$CB$53,MATCH($CG30,$B$6:$B$53,0),COLUMN()-COLUMN($CI$5)+1),""))</f>
        <v/>
      </c>
      <c r="EX30" s="1753" t="str" cm="1">
        <f t="array" ref="EX30">IF($CG30="","",IF(INDEX($D$6:$CB$53,MATCH($CG30,$B$6:$B$53,0),COLUMN()-COLUMN($CI$5)+1)&gt;0,INDEX($D$6:$CB$53,MATCH($CG30,$B$6:$B$53,0),COLUMN()-COLUMN($CI$5)+1),""))</f>
        <v/>
      </c>
      <c r="EY30" s="1753" t="str" cm="1">
        <f t="array" ref="EY30">IF($CG30="","",IF(INDEX($D$6:$CB$53,MATCH($CG30,$B$6:$B$53,0),COLUMN()-COLUMN($CI$5)+1)&gt;0,INDEX($D$6:$CB$53,MATCH($CG30,$B$6:$B$53,0),COLUMN()-COLUMN($CI$5)+1),""))</f>
        <v/>
      </c>
      <c r="EZ30" s="1753" t="str" cm="1">
        <f t="array" ref="EZ30">IF($CG30="","",IF(INDEX($D$6:$CB$53,MATCH($CG30,$B$6:$B$53,0),COLUMN()-COLUMN($CI$5)+1)&gt;0,INDEX($D$6:$CB$53,MATCH($CG30,$B$6:$B$53,0),COLUMN()-COLUMN($CI$5)+1),""))</f>
        <v/>
      </c>
      <c r="FA30" s="1753" t="str" cm="1">
        <f t="array" ref="FA30">IF($CG30="","",IF(INDEX($D$6:$CB$53,MATCH($CG30,$B$6:$B$53,0),COLUMN()-COLUMN($CI$5)+1)&gt;0,INDEX($D$6:$CB$53,MATCH($CG30,$B$6:$B$53,0),COLUMN()-COLUMN($CI$5)+1),""))</f>
        <v/>
      </c>
      <c r="FB30" s="1753" t="str" cm="1">
        <f t="array" ref="FB30">IF($CG30="","",IF(INDEX($D$6:$CB$53,MATCH($CG30,$B$6:$B$53,0),COLUMN()-COLUMN($CI$5)+1)&gt;0,INDEX($D$6:$CB$53,MATCH($CG30,$B$6:$B$53,0),COLUMN()-COLUMN($CI$5)+1),""))</f>
        <v/>
      </c>
      <c r="FC30" s="1753" t="str" cm="1">
        <f t="array" ref="FC30">IF($CG30="","",IF(INDEX($D$6:$CB$53,MATCH($CG30,$B$6:$B$53,0),COLUMN()-COLUMN($CI$5)+1)&gt;0,INDEX($D$6:$CB$53,MATCH($CG30,$B$6:$B$53,0),COLUMN()-COLUMN($CI$5)+1),""))</f>
        <v/>
      </c>
      <c r="FD30" s="1753" t="str" cm="1">
        <f t="array" ref="FD30">IF($CG30="","",IF(INDEX($D$6:$CB$53,MATCH($CG30,$B$6:$B$53,0),COLUMN()-COLUMN($CI$5)+1)&gt;0,INDEX($D$6:$CB$53,MATCH($CG30,$B$6:$B$53,0),COLUMN()-COLUMN($CI$5)+1),""))</f>
        <v/>
      </c>
      <c r="FE30" s="1753" t="str" cm="1">
        <f t="array" ref="FE30">IF($CG30="","",IF(INDEX($D$6:$CB$53,MATCH($CG30,$B$6:$B$53,0),COLUMN()-COLUMN($CI$5)+1)&gt;0,INDEX($D$6:$CB$53,MATCH($CG30,$B$6:$B$53,0),COLUMN()-COLUMN($CI$5)+1),""))</f>
        <v/>
      </c>
      <c r="FF30" s="1753" t="str" cm="1">
        <f t="array" ref="FF30">IF($CG30="","",IF(INDEX($D$6:$CB$53,MATCH($CG30,$B$6:$B$53,0),COLUMN()-COLUMN($CI$5)+1)&gt;0,INDEX($D$6:$CB$53,MATCH($CG30,$B$6:$B$53,0),COLUMN()-COLUMN($CI$5)+1),""))</f>
        <v/>
      </c>
      <c r="FG30" s="1753" t="str" cm="1">
        <f t="array" ref="FG30">IF($CG30="","",IF(INDEX($D$6:$CB$53,MATCH($CG30,$B$6:$B$53,0),COLUMN()-COLUMN($CI$5)+1)&gt;0,INDEX($D$6:$CB$53,MATCH($CG30,$B$6:$B$53,0),COLUMN()-COLUMN($CI$5)+1),""))</f>
        <v/>
      </c>
      <c r="FH30" s="1753" t="str">
        <f t="shared" si="4"/>
        <v/>
      </c>
      <c r="FI30" s="1753" t="str">
        <f t="shared" si="5"/>
        <v/>
      </c>
      <c r="FJ30" s="1753" t="str">
        <f t="shared" si="6"/>
        <v/>
      </c>
      <c r="FK30" s="1754"/>
    </row>
    <row r="31" spans="1:167" ht="15.75" customHeight="1">
      <c r="A31" s="1220"/>
      <c r="B31" s="1278">
        <f>+PP!B49</f>
        <v>26</v>
      </c>
      <c r="C31" s="1277" t="str">
        <f>+PP!C49</f>
        <v>NUCA C/C CERRADO 0-100 g/pza</v>
      </c>
      <c r="D31" s="1401"/>
      <c r="E31" s="1402"/>
      <c r="F31" s="1402"/>
      <c r="G31" s="1402"/>
      <c r="H31" s="1402"/>
      <c r="I31" s="1402"/>
      <c r="J31" s="1402"/>
      <c r="K31" s="1402"/>
      <c r="L31" s="1402"/>
      <c r="M31" s="1402"/>
      <c r="N31" s="1402"/>
      <c r="O31" s="1402"/>
      <c r="P31" s="1402"/>
      <c r="Q31" s="1402"/>
      <c r="R31" s="1402"/>
      <c r="S31" s="1402"/>
      <c r="T31" s="1402"/>
      <c r="U31" s="1402"/>
      <c r="V31" s="1402"/>
      <c r="W31" s="1402"/>
      <c r="X31" s="1402"/>
      <c r="Y31" s="1402"/>
      <c r="Z31" s="1402"/>
      <c r="AA31" s="1402"/>
      <c r="AB31" s="1402"/>
      <c r="AC31" s="1402"/>
      <c r="AD31" s="1402"/>
      <c r="AE31" s="1402"/>
      <c r="AF31" s="1402"/>
      <c r="AG31" s="1402"/>
      <c r="AH31" s="1403"/>
      <c r="AI31" s="1232"/>
      <c r="AJ31" s="1232"/>
      <c r="AK31" s="1232"/>
      <c r="AL31" s="1232"/>
      <c r="AM31" s="1232"/>
      <c r="AN31" s="1232"/>
      <c r="AO31" s="1232"/>
      <c r="AP31" s="1217"/>
      <c r="AQ31" s="1217"/>
      <c r="AR31" s="1217"/>
      <c r="AS31" s="1217"/>
      <c r="AT31" s="1217"/>
      <c r="AU31" s="1217"/>
      <c r="AV31" s="1217"/>
      <c r="AW31" s="1217"/>
      <c r="AX31" s="1217"/>
      <c r="AY31" s="1217"/>
      <c r="AZ31" s="1217"/>
      <c r="BA31" s="1217"/>
      <c r="BB31" s="1217"/>
      <c r="BC31" s="1217"/>
      <c r="BD31" s="1217"/>
      <c r="BE31" s="1217"/>
      <c r="BF31" s="1217"/>
      <c r="BG31" s="1217"/>
      <c r="BH31" s="1217"/>
      <c r="BI31" s="1217"/>
      <c r="BJ31" s="1217"/>
      <c r="BK31" s="1217"/>
      <c r="BL31" s="1217"/>
      <c r="BM31" s="1217"/>
      <c r="BN31" s="1217"/>
      <c r="BO31" s="1217"/>
      <c r="BP31" s="1217"/>
      <c r="BQ31" s="1217"/>
      <c r="BR31" s="1562"/>
      <c r="BS31" s="1562"/>
      <c r="BT31" s="1562"/>
      <c r="BU31" s="1562"/>
      <c r="BV31" s="1562"/>
      <c r="BW31" s="1562"/>
      <c r="BX31" s="1562"/>
      <c r="BY31" s="1562"/>
      <c r="BZ31" s="1562"/>
      <c r="CA31" s="1562"/>
      <c r="CB31" s="1563"/>
      <c r="CC31" s="1549">
        <f t="shared" si="0"/>
        <v>0</v>
      </c>
      <c r="CD31" s="1233">
        <f t="shared" si="1"/>
        <v>0</v>
      </c>
      <c r="CE31" s="1234">
        <f t="shared" si="2"/>
        <v>0</v>
      </c>
      <c r="CF31" s="1220"/>
      <c r="CG31" s="1751" t="str" cm="1">
        <f t="array" ref="CG31">IFERROR(INDEX($B$6:$B$53,_xlfn.AGGREGATE(15,6,(ROW($B$6:$B$53)-ROW($B$6)+1)/(MMULT(--($D$6:$CB$53&gt;0),TRANSPOSE(COLUMN($D$6:$CB$6)^0))&gt;0),ROWS($CG$6:CG31))),"")</f>
        <v/>
      </c>
      <c r="CH31" s="1752" t="str">
        <f t="shared" si="3"/>
        <v/>
      </c>
      <c r="CI31" s="1753" t="str" cm="1">
        <f t="array" ref="CI31">IF($CG31="","",IF(INDEX($D$6:$CB$53,MATCH($CG31,$B$6:$B$53,0),COLUMN()-COLUMN($CI$5)+1)&gt;0,INDEX($D$6:$CB$53,MATCH($CG31,$B$6:$B$53,0),COLUMN()-COLUMN($CI$5)+1),""))</f>
        <v/>
      </c>
      <c r="CJ31" s="1753" t="str" cm="1">
        <f t="array" ref="CJ31">IF($CG31="","",IF(INDEX($D$6:$CB$53,MATCH($CG31,$B$6:$B$53,0),COLUMN()-COLUMN($CI$5)+1)&gt;0,INDEX($D$6:$CB$53,MATCH($CG31,$B$6:$B$53,0),COLUMN()-COLUMN($CI$5)+1),""))</f>
        <v/>
      </c>
      <c r="CK31" s="1753" t="str" cm="1">
        <f t="array" ref="CK31">IF($CG31="","",IF(INDEX($D$6:$CB$53,MATCH($CG31,$B$6:$B$53,0),COLUMN()-COLUMN($CI$5)+1)&gt;0,INDEX($D$6:$CB$53,MATCH($CG31,$B$6:$B$53,0),COLUMN()-COLUMN($CI$5)+1),""))</f>
        <v/>
      </c>
      <c r="CL31" s="1753" t="str" cm="1">
        <f t="array" ref="CL31">IF($CG31="","",IF(INDEX($D$6:$CB$53,MATCH($CG31,$B$6:$B$53,0),COLUMN()-COLUMN($CI$5)+1)&gt;0,INDEX($D$6:$CB$53,MATCH($CG31,$B$6:$B$53,0),COLUMN()-COLUMN($CI$5)+1),""))</f>
        <v/>
      </c>
      <c r="CM31" s="1753" t="str" cm="1">
        <f t="array" ref="CM31">IF($CG31="","",IF(INDEX($D$6:$CB$53,MATCH($CG31,$B$6:$B$53,0),COLUMN()-COLUMN($CI$5)+1)&gt;0,INDEX($D$6:$CB$53,MATCH($CG31,$B$6:$B$53,0),COLUMN()-COLUMN($CI$5)+1),""))</f>
        <v/>
      </c>
      <c r="CN31" s="1753" t="str" cm="1">
        <f t="array" ref="CN31">IF($CG31="","",IF(INDEX($D$6:$CB$53,MATCH($CG31,$B$6:$B$53,0),COLUMN()-COLUMN($CI$5)+1)&gt;0,INDEX($D$6:$CB$53,MATCH($CG31,$B$6:$B$53,0),COLUMN()-COLUMN($CI$5)+1),""))</f>
        <v/>
      </c>
      <c r="CO31" s="1753" t="str" cm="1">
        <f t="array" ref="CO31">IF($CG31="","",IF(INDEX($D$6:$CB$53,MATCH($CG31,$B$6:$B$53,0),COLUMN()-COLUMN($CI$5)+1)&gt;0,INDEX($D$6:$CB$53,MATCH($CG31,$B$6:$B$53,0),COLUMN()-COLUMN($CI$5)+1),""))</f>
        <v/>
      </c>
      <c r="CP31" s="1753" t="str" cm="1">
        <f t="array" ref="CP31">IF($CG31="","",IF(INDEX($D$6:$CB$53,MATCH($CG31,$B$6:$B$53,0),COLUMN()-COLUMN($CI$5)+1)&gt;0,INDEX($D$6:$CB$53,MATCH($CG31,$B$6:$B$53,0),COLUMN()-COLUMN($CI$5)+1),""))</f>
        <v/>
      </c>
      <c r="CQ31" s="1753" t="str" cm="1">
        <f t="array" ref="CQ31">IF($CG31="","",IF(INDEX($D$6:$CB$53,MATCH($CG31,$B$6:$B$53,0),COLUMN()-COLUMN($CI$5)+1)&gt;0,INDEX($D$6:$CB$53,MATCH($CG31,$B$6:$B$53,0),COLUMN()-COLUMN($CI$5)+1),""))</f>
        <v/>
      </c>
      <c r="CR31" s="1753" t="str" cm="1">
        <f t="array" ref="CR31">IF($CG31="","",IF(INDEX($D$6:$CB$53,MATCH($CG31,$B$6:$B$53,0),COLUMN()-COLUMN($CI$5)+1)&gt;0,INDEX($D$6:$CB$53,MATCH($CG31,$B$6:$B$53,0),COLUMN()-COLUMN($CI$5)+1),""))</f>
        <v/>
      </c>
      <c r="CS31" s="1753" t="str" cm="1">
        <f t="array" ref="CS31">IF($CG31="","",IF(INDEX($D$6:$CB$53,MATCH($CG31,$B$6:$B$53,0),COLUMN()-COLUMN($CI$5)+1)&gt;0,INDEX($D$6:$CB$53,MATCH($CG31,$B$6:$B$53,0),COLUMN()-COLUMN($CI$5)+1),""))</f>
        <v/>
      </c>
      <c r="CT31" s="1753" t="str" cm="1">
        <f t="array" ref="CT31">IF($CG31="","",IF(INDEX($D$6:$CB$53,MATCH($CG31,$B$6:$B$53,0),COLUMN()-COLUMN($CI$5)+1)&gt;0,INDEX($D$6:$CB$53,MATCH($CG31,$B$6:$B$53,0),COLUMN()-COLUMN($CI$5)+1),""))</f>
        <v/>
      </c>
      <c r="CU31" s="1753" t="str" cm="1">
        <f t="array" ref="CU31">IF($CG31="","",IF(INDEX($D$6:$CB$53,MATCH($CG31,$B$6:$B$53,0),COLUMN()-COLUMN($CI$5)+1)&gt;0,INDEX($D$6:$CB$53,MATCH($CG31,$B$6:$B$53,0),COLUMN()-COLUMN($CI$5)+1),""))</f>
        <v/>
      </c>
      <c r="CV31" s="1753" t="str" cm="1">
        <f t="array" ref="CV31">IF($CG31="","",IF(INDEX($D$6:$CB$53,MATCH($CG31,$B$6:$B$53,0),COLUMN()-COLUMN($CI$5)+1)&gt;0,INDEX($D$6:$CB$53,MATCH($CG31,$B$6:$B$53,0),COLUMN()-COLUMN($CI$5)+1),""))</f>
        <v/>
      </c>
      <c r="CW31" s="1753" t="str" cm="1">
        <f t="array" ref="CW31">IF($CG31="","",IF(INDEX($D$6:$CB$53,MATCH($CG31,$B$6:$B$53,0),COLUMN()-COLUMN($CI$5)+1)&gt;0,INDEX($D$6:$CB$53,MATCH($CG31,$B$6:$B$53,0),COLUMN()-COLUMN($CI$5)+1),""))</f>
        <v/>
      </c>
      <c r="CX31" s="1753" t="str" cm="1">
        <f t="array" ref="CX31">IF($CG31="","",IF(INDEX($D$6:$CB$53,MATCH($CG31,$B$6:$B$53,0),COLUMN()-COLUMN($CI$5)+1)&gt;0,INDEX($D$6:$CB$53,MATCH($CG31,$B$6:$B$53,0),COLUMN()-COLUMN($CI$5)+1),""))</f>
        <v/>
      </c>
      <c r="CY31" s="1753" t="str" cm="1">
        <f t="array" ref="CY31">IF($CG31="","",IF(INDEX($D$6:$CB$53,MATCH($CG31,$B$6:$B$53,0),COLUMN()-COLUMN($CI$5)+1)&gt;0,INDEX($D$6:$CB$53,MATCH($CG31,$B$6:$B$53,0),COLUMN()-COLUMN($CI$5)+1),""))</f>
        <v/>
      </c>
      <c r="CZ31" s="1753" t="str" cm="1">
        <f t="array" ref="CZ31">IF($CG31="","",IF(INDEX($D$6:$CB$53,MATCH($CG31,$B$6:$B$53,0),COLUMN()-COLUMN($CI$5)+1)&gt;0,INDEX($D$6:$CB$53,MATCH($CG31,$B$6:$B$53,0),COLUMN()-COLUMN($CI$5)+1),""))</f>
        <v/>
      </c>
      <c r="DA31" s="1753" t="str" cm="1">
        <f t="array" ref="DA31">IF($CG31="","",IF(INDEX($D$6:$CB$53,MATCH($CG31,$B$6:$B$53,0),COLUMN()-COLUMN($CI$5)+1)&gt;0,INDEX($D$6:$CB$53,MATCH($CG31,$B$6:$B$53,0),COLUMN()-COLUMN($CI$5)+1),""))</f>
        <v/>
      </c>
      <c r="DB31" s="1753" t="str" cm="1">
        <f t="array" ref="DB31">IF($CG31="","",IF(INDEX($D$6:$CB$53,MATCH($CG31,$B$6:$B$53,0),COLUMN()-COLUMN($CI$5)+1)&gt;0,INDEX($D$6:$CB$53,MATCH($CG31,$B$6:$B$53,0),COLUMN()-COLUMN($CI$5)+1),""))</f>
        <v/>
      </c>
      <c r="DC31" s="1753" t="str" cm="1">
        <f t="array" ref="DC31">IF($CG31="","",IF(INDEX($D$6:$CB$53,MATCH($CG31,$B$6:$B$53,0),COLUMN()-COLUMN($CI$5)+1)&gt;0,INDEX($D$6:$CB$53,MATCH($CG31,$B$6:$B$53,0),COLUMN()-COLUMN($CI$5)+1),""))</f>
        <v/>
      </c>
      <c r="DD31" s="1753" t="str" cm="1">
        <f t="array" ref="DD31">IF($CG31="","",IF(INDEX($D$6:$CB$53,MATCH($CG31,$B$6:$B$53,0),COLUMN()-COLUMN($CI$5)+1)&gt;0,INDEX($D$6:$CB$53,MATCH($CG31,$B$6:$B$53,0),COLUMN()-COLUMN($CI$5)+1),""))</f>
        <v/>
      </c>
      <c r="DE31" s="1753" t="str" cm="1">
        <f t="array" ref="DE31">IF($CG31="","",IF(INDEX($D$6:$CB$53,MATCH($CG31,$B$6:$B$53,0),COLUMN()-COLUMN($CI$5)+1)&gt;0,INDEX($D$6:$CB$53,MATCH($CG31,$B$6:$B$53,0),COLUMN()-COLUMN($CI$5)+1),""))</f>
        <v/>
      </c>
      <c r="DF31" s="1753" t="str" cm="1">
        <f t="array" ref="DF31">IF($CG31="","",IF(INDEX($D$6:$CB$53,MATCH($CG31,$B$6:$B$53,0),COLUMN()-COLUMN($CI$5)+1)&gt;0,INDEX($D$6:$CB$53,MATCH($CG31,$B$6:$B$53,0),COLUMN()-COLUMN($CI$5)+1),""))</f>
        <v/>
      </c>
      <c r="DG31" s="1753" t="str" cm="1">
        <f t="array" ref="DG31">IF($CG31="","",IF(INDEX($D$6:$CB$53,MATCH($CG31,$B$6:$B$53,0),COLUMN()-COLUMN($CI$5)+1)&gt;0,INDEX($D$6:$CB$53,MATCH($CG31,$B$6:$B$53,0),COLUMN()-COLUMN($CI$5)+1),""))</f>
        <v/>
      </c>
      <c r="DH31" s="1753" t="str" cm="1">
        <f t="array" ref="DH31">IF($CG31="","",IF(INDEX($D$6:$CB$53,MATCH($CG31,$B$6:$B$53,0),COLUMN()-COLUMN($CI$5)+1)&gt;0,INDEX($D$6:$CB$53,MATCH($CG31,$B$6:$B$53,0),COLUMN()-COLUMN($CI$5)+1),""))</f>
        <v/>
      </c>
      <c r="DI31" s="1753" t="str" cm="1">
        <f t="array" ref="DI31">IF($CG31="","",IF(INDEX($D$6:$CB$53,MATCH($CG31,$B$6:$B$53,0),COLUMN()-COLUMN($CI$5)+1)&gt;0,INDEX($D$6:$CB$53,MATCH($CG31,$B$6:$B$53,0),COLUMN()-COLUMN($CI$5)+1),""))</f>
        <v/>
      </c>
      <c r="DJ31" s="1753" t="str" cm="1">
        <f t="array" ref="DJ31">IF($CG31="","",IF(INDEX($D$6:$CB$53,MATCH($CG31,$B$6:$B$53,0),COLUMN()-COLUMN($CI$5)+1)&gt;0,INDEX($D$6:$CB$53,MATCH($CG31,$B$6:$B$53,0),COLUMN()-COLUMN($CI$5)+1),""))</f>
        <v/>
      </c>
      <c r="DK31" s="1753" t="str" cm="1">
        <f t="array" ref="DK31">IF($CG31="","",IF(INDEX($D$6:$CB$53,MATCH($CG31,$B$6:$B$53,0),COLUMN()-COLUMN($CI$5)+1)&gt;0,INDEX($D$6:$CB$53,MATCH($CG31,$B$6:$B$53,0),COLUMN()-COLUMN($CI$5)+1),""))</f>
        <v/>
      </c>
      <c r="DL31" s="1753" t="str" cm="1">
        <f t="array" ref="DL31">IF($CG31="","",IF(INDEX($D$6:$CB$53,MATCH($CG31,$B$6:$B$53,0),COLUMN()-COLUMN($CI$5)+1)&gt;0,INDEX($D$6:$CB$53,MATCH($CG31,$B$6:$B$53,0),COLUMN()-COLUMN($CI$5)+1),""))</f>
        <v/>
      </c>
      <c r="DM31" s="1753" t="str" cm="1">
        <f t="array" ref="DM31">IF($CG31="","",IF(INDEX($D$6:$CB$53,MATCH($CG31,$B$6:$B$53,0),COLUMN()-COLUMN($CI$5)+1)&gt;0,INDEX($D$6:$CB$53,MATCH($CG31,$B$6:$B$53,0),COLUMN()-COLUMN($CI$5)+1),""))</f>
        <v/>
      </c>
      <c r="DN31" s="1753" t="str" cm="1">
        <f t="array" ref="DN31">IF($CG31="","",IF(INDEX($D$6:$CB$53,MATCH($CG31,$B$6:$B$53,0),COLUMN()-COLUMN($CI$5)+1)&gt;0,INDEX($D$6:$CB$53,MATCH($CG31,$B$6:$B$53,0),COLUMN()-COLUMN($CI$5)+1),""))</f>
        <v/>
      </c>
      <c r="DO31" s="1753" t="str" cm="1">
        <f t="array" ref="DO31">IF($CG31="","",IF(INDEX($D$6:$CB$53,MATCH($CG31,$B$6:$B$53,0),COLUMN()-COLUMN($CI$5)+1)&gt;0,INDEX($D$6:$CB$53,MATCH($CG31,$B$6:$B$53,0),COLUMN()-COLUMN($CI$5)+1),""))</f>
        <v/>
      </c>
      <c r="DP31" s="1753" t="str" cm="1">
        <f t="array" ref="DP31">IF($CG31="","",IF(INDEX($D$6:$CB$53,MATCH($CG31,$B$6:$B$53,0),COLUMN()-COLUMN($CI$5)+1)&gt;0,INDEX($D$6:$CB$53,MATCH($CG31,$B$6:$B$53,0),COLUMN()-COLUMN($CI$5)+1),""))</f>
        <v/>
      </c>
      <c r="DQ31" s="1753" t="str" cm="1">
        <f t="array" ref="DQ31">IF($CG31="","",IF(INDEX($D$6:$CB$53,MATCH($CG31,$B$6:$B$53,0),COLUMN()-COLUMN($CI$5)+1)&gt;0,INDEX($D$6:$CB$53,MATCH($CG31,$B$6:$B$53,0),COLUMN()-COLUMN($CI$5)+1),""))</f>
        <v/>
      </c>
      <c r="DR31" s="1753" t="str" cm="1">
        <f t="array" ref="DR31">IF($CG31="","",IF(INDEX($D$6:$CB$53,MATCH($CG31,$B$6:$B$53,0),COLUMN()-COLUMN($CI$5)+1)&gt;0,INDEX($D$6:$CB$53,MATCH($CG31,$B$6:$B$53,0),COLUMN()-COLUMN($CI$5)+1),""))</f>
        <v/>
      </c>
      <c r="DS31" s="1753" t="str" cm="1">
        <f t="array" ref="DS31">IF($CG31="","",IF(INDEX($D$6:$CB$53,MATCH($CG31,$B$6:$B$53,0),COLUMN()-COLUMN($CI$5)+1)&gt;0,INDEX($D$6:$CB$53,MATCH($CG31,$B$6:$B$53,0),COLUMN()-COLUMN($CI$5)+1),""))</f>
        <v/>
      </c>
      <c r="DT31" s="1753" t="str" cm="1">
        <f t="array" ref="DT31">IF($CG31="","",IF(INDEX($D$6:$CB$53,MATCH($CG31,$B$6:$B$53,0),COLUMN()-COLUMN($CI$5)+1)&gt;0,INDEX($D$6:$CB$53,MATCH($CG31,$B$6:$B$53,0),COLUMN()-COLUMN($CI$5)+1),""))</f>
        <v/>
      </c>
      <c r="DU31" s="1753" t="str" cm="1">
        <f t="array" ref="DU31">IF($CG31="","",IF(INDEX($D$6:$CB$53,MATCH($CG31,$B$6:$B$53,0),COLUMN()-COLUMN($CI$5)+1)&gt;0,INDEX($D$6:$CB$53,MATCH($CG31,$B$6:$B$53,0),COLUMN()-COLUMN($CI$5)+1),""))</f>
        <v/>
      </c>
      <c r="DV31" s="1753" t="str" cm="1">
        <f t="array" ref="DV31">IF($CG31="","",IF(INDEX($D$6:$CB$53,MATCH($CG31,$B$6:$B$53,0),COLUMN()-COLUMN($CI$5)+1)&gt;0,INDEX($D$6:$CB$53,MATCH($CG31,$B$6:$B$53,0),COLUMN()-COLUMN($CI$5)+1),""))</f>
        <v/>
      </c>
      <c r="DW31" s="1753" t="str" cm="1">
        <f t="array" ref="DW31">IF($CG31="","",IF(INDEX($D$6:$CB$53,MATCH($CG31,$B$6:$B$53,0),COLUMN()-COLUMN($CI$5)+1)&gt;0,INDEX($D$6:$CB$53,MATCH($CG31,$B$6:$B$53,0),COLUMN()-COLUMN($CI$5)+1),""))</f>
        <v/>
      </c>
      <c r="DX31" s="1753" t="str" cm="1">
        <f t="array" ref="DX31">IF($CG31="","",IF(INDEX($D$6:$CB$53,MATCH($CG31,$B$6:$B$53,0),COLUMN()-COLUMN($CI$5)+1)&gt;0,INDEX($D$6:$CB$53,MATCH($CG31,$B$6:$B$53,0),COLUMN()-COLUMN($CI$5)+1),""))</f>
        <v/>
      </c>
      <c r="DY31" s="1753" t="str" cm="1">
        <f t="array" ref="DY31">IF($CG31="","",IF(INDEX($D$6:$CB$53,MATCH($CG31,$B$6:$B$53,0),COLUMN()-COLUMN($CI$5)+1)&gt;0,INDEX($D$6:$CB$53,MATCH($CG31,$B$6:$B$53,0),COLUMN()-COLUMN($CI$5)+1),""))</f>
        <v/>
      </c>
      <c r="DZ31" s="1753" t="str" cm="1">
        <f t="array" ref="DZ31">IF($CG31="","",IF(INDEX($D$6:$CB$53,MATCH($CG31,$B$6:$B$53,0),COLUMN()-COLUMN($CI$5)+1)&gt;0,INDEX($D$6:$CB$53,MATCH($CG31,$B$6:$B$53,0),COLUMN()-COLUMN($CI$5)+1),""))</f>
        <v/>
      </c>
      <c r="EA31" s="1753" t="str" cm="1">
        <f t="array" ref="EA31">IF($CG31="","",IF(INDEX($D$6:$CB$53,MATCH($CG31,$B$6:$B$53,0),COLUMN()-COLUMN($CI$5)+1)&gt;0,INDEX($D$6:$CB$53,MATCH($CG31,$B$6:$B$53,0),COLUMN()-COLUMN($CI$5)+1),""))</f>
        <v/>
      </c>
      <c r="EB31" s="1753" t="str" cm="1">
        <f t="array" ref="EB31">IF($CG31="","",IF(INDEX($D$6:$CB$53,MATCH($CG31,$B$6:$B$53,0),COLUMN()-COLUMN($CI$5)+1)&gt;0,INDEX($D$6:$CB$53,MATCH($CG31,$B$6:$B$53,0),COLUMN()-COLUMN($CI$5)+1),""))</f>
        <v/>
      </c>
      <c r="EC31" s="1753" t="str" cm="1">
        <f t="array" ref="EC31">IF($CG31="","",IF(INDEX($D$6:$CB$53,MATCH($CG31,$B$6:$B$53,0),COLUMN()-COLUMN($CI$5)+1)&gt;0,INDEX($D$6:$CB$53,MATCH($CG31,$B$6:$B$53,0),COLUMN()-COLUMN($CI$5)+1),""))</f>
        <v/>
      </c>
      <c r="ED31" s="1753" t="str" cm="1">
        <f t="array" ref="ED31">IF($CG31="","",IF(INDEX($D$6:$CB$53,MATCH($CG31,$B$6:$B$53,0),COLUMN()-COLUMN($CI$5)+1)&gt;0,INDEX($D$6:$CB$53,MATCH($CG31,$B$6:$B$53,0),COLUMN()-COLUMN($CI$5)+1),""))</f>
        <v/>
      </c>
      <c r="EE31" s="1753" t="str" cm="1">
        <f t="array" ref="EE31">IF($CG31="","",IF(INDEX($D$6:$CB$53,MATCH($CG31,$B$6:$B$53,0),COLUMN()-COLUMN($CI$5)+1)&gt;0,INDEX($D$6:$CB$53,MATCH($CG31,$B$6:$B$53,0),COLUMN()-COLUMN($CI$5)+1),""))</f>
        <v/>
      </c>
      <c r="EF31" s="1753" t="str" cm="1">
        <f t="array" ref="EF31">IF($CG31="","",IF(INDEX($D$6:$CB$53,MATCH($CG31,$B$6:$B$53,0),COLUMN()-COLUMN($CI$5)+1)&gt;0,INDEX($D$6:$CB$53,MATCH($CG31,$B$6:$B$53,0),COLUMN()-COLUMN($CI$5)+1),""))</f>
        <v/>
      </c>
      <c r="EG31" s="1753" t="str" cm="1">
        <f t="array" ref="EG31">IF($CG31="","",IF(INDEX($D$6:$CB$53,MATCH($CG31,$B$6:$B$53,0),COLUMN()-COLUMN($CI$5)+1)&gt;0,INDEX($D$6:$CB$53,MATCH($CG31,$B$6:$B$53,0),COLUMN()-COLUMN($CI$5)+1),""))</f>
        <v/>
      </c>
      <c r="EH31" s="1753" t="str" cm="1">
        <f t="array" ref="EH31">IF($CG31="","",IF(INDEX($D$6:$CB$53,MATCH($CG31,$B$6:$B$53,0),COLUMN()-COLUMN($CI$5)+1)&gt;0,INDEX($D$6:$CB$53,MATCH($CG31,$B$6:$B$53,0),COLUMN()-COLUMN($CI$5)+1),""))</f>
        <v/>
      </c>
      <c r="EI31" s="1753" t="str" cm="1">
        <f t="array" ref="EI31">IF($CG31="","",IF(INDEX($D$6:$CB$53,MATCH($CG31,$B$6:$B$53,0),COLUMN()-COLUMN($CI$5)+1)&gt;0,INDEX($D$6:$CB$53,MATCH($CG31,$B$6:$B$53,0),COLUMN()-COLUMN($CI$5)+1),""))</f>
        <v/>
      </c>
      <c r="EJ31" s="1753" t="str" cm="1">
        <f t="array" ref="EJ31">IF($CG31="","",IF(INDEX($D$6:$CB$53,MATCH($CG31,$B$6:$B$53,0),COLUMN()-COLUMN($CI$5)+1)&gt;0,INDEX($D$6:$CB$53,MATCH($CG31,$B$6:$B$53,0),COLUMN()-COLUMN($CI$5)+1),""))</f>
        <v/>
      </c>
      <c r="EK31" s="1753" t="str" cm="1">
        <f t="array" ref="EK31">IF($CG31="","",IF(INDEX($D$6:$CB$53,MATCH($CG31,$B$6:$B$53,0),COLUMN()-COLUMN($CI$5)+1)&gt;0,INDEX($D$6:$CB$53,MATCH($CG31,$B$6:$B$53,0),COLUMN()-COLUMN($CI$5)+1),""))</f>
        <v/>
      </c>
      <c r="EL31" s="1753" t="str" cm="1">
        <f t="array" ref="EL31">IF($CG31="","",IF(INDEX($D$6:$CB$53,MATCH($CG31,$B$6:$B$53,0),COLUMN()-COLUMN($CI$5)+1)&gt;0,INDEX($D$6:$CB$53,MATCH($CG31,$B$6:$B$53,0),COLUMN()-COLUMN($CI$5)+1),""))</f>
        <v/>
      </c>
      <c r="EM31" s="1753" t="str" cm="1">
        <f t="array" ref="EM31">IF($CG31="","",IF(INDEX($D$6:$CB$53,MATCH($CG31,$B$6:$B$53,0),COLUMN()-COLUMN($CI$5)+1)&gt;0,INDEX($D$6:$CB$53,MATCH($CG31,$B$6:$B$53,0),COLUMN()-COLUMN($CI$5)+1),""))</f>
        <v/>
      </c>
      <c r="EN31" s="1753" t="str" cm="1">
        <f t="array" ref="EN31">IF($CG31="","",IF(INDEX($D$6:$CB$53,MATCH($CG31,$B$6:$B$53,0),COLUMN()-COLUMN($CI$5)+1)&gt;0,INDEX($D$6:$CB$53,MATCH($CG31,$B$6:$B$53,0),COLUMN()-COLUMN($CI$5)+1),""))</f>
        <v/>
      </c>
      <c r="EO31" s="1753" t="str" cm="1">
        <f t="array" ref="EO31">IF($CG31="","",IF(INDEX($D$6:$CB$53,MATCH($CG31,$B$6:$B$53,0),COLUMN()-COLUMN($CI$5)+1)&gt;0,INDEX($D$6:$CB$53,MATCH($CG31,$B$6:$B$53,0),COLUMN()-COLUMN($CI$5)+1),""))</f>
        <v/>
      </c>
      <c r="EP31" s="1753" t="str" cm="1">
        <f t="array" ref="EP31">IF($CG31="","",IF(INDEX($D$6:$CB$53,MATCH($CG31,$B$6:$B$53,0),COLUMN()-COLUMN($CI$5)+1)&gt;0,INDEX($D$6:$CB$53,MATCH($CG31,$B$6:$B$53,0),COLUMN()-COLUMN($CI$5)+1),""))</f>
        <v/>
      </c>
      <c r="EQ31" s="1753" t="str" cm="1">
        <f t="array" ref="EQ31">IF($CG31="","",IF(INDEX($D$6:$CB$53,MATCH($CG31,$B$6:$B$53,0),COLUMN()-COLUMN($CI$5)+1)&gt;0,INDEX($D$6:$CB$53,MATCH($CG31,$B$6:$B$53,0),COLUMN()-COLUMN($CI$5)+1),""))</f>
        <v/>
      </c>
      <c r="ER31" s="1753" t="str" cm="1">
        <f t="array" ref="ER31">IF($CG31="","",IF(INDEX($D$6:$CB$53,MATCH($CG31,$B$6:$B$53,0),COLUMN()-COLUMN($CI$5)+1)&gt;0,INDEX($D$6:$CB$53,MATCH($CG31,$B$6:$B$53,0),COLUMN()-COLUMN($CI$5)+1),""))</f>
        <v/>
      </c>
      <c r="ES31" s="1753" t="str" cm="1">
        <f t="array" ref="ES31">IF($CG31="","",IF(INDEX($D$6:$CB$53,MATCH($CG31,$B$6:$B$53,0),COLUMN()-COLUMN($CI$5)+1)&gt;0,INDEX($D$6:$CB$53,MATCH($CG31,$B$6:$B$53,0),COLUMN()-COLUMN($CI$5)+1),""))</f>
        <v/>
      </c>
      <c r="ET31" s="1753" t="str" cm="1">
        <f t="array" ref="ET31">IF($CG31="","",IF(INDEX($D$6:$CB$53,MATCH($CG31,$B$6:$B$53,0),COLUMN()-COLUMN($CI$5)+1)&gt;0,INDEX($D$6:$CB$53,MATCH($CG31,$B$6:$B$53,0),COLUMN()-COLUMN($CI$5)+1),""))</f>
        <v/>
      </c>
      <c r="EU31" s="1753" t="str" cm="1">
        <f t="array" ref="EU31">IF($CG31="","",IF(INDEX($D$6:$CB$53,MATCH($CG31,$B$6:$B$53,0),COLUMN()-COLUMN($CI$5)+1)&gt;0,INDEX($D$6:$CB$53,MATCH($CG31,$B$6:$B$53,0),COLUMN()-COLUMN($CI$5)+1),""))</f>
        <v/>
      </c>
      <c r="EV31" s="1753" t="str" cm="1">
        <f t="array" ref="EV31">IF($CG31="","",IF(INDEX($D$6:$CB$53,MATCH($CG31,$B$6:$B$53,0),COLUMN()-COLUMN($CI$5)+1)&gt;0,INDEX($D$6:$CB$53,MATCH($CG31,$B$6:$B$53,0),COLUMN()-COLUMN($CI$5)+1),""))</f>
        <v/>
      </c>
      <c r="EW31" s="1753" t="str" cm="1">
        <f t="array" ref="EW31">IF($CG31="","",IF(INDEX($D$6:$CB$53,MATCH($CG31,$B$6:$B$53,0),COLUMN()-COLUMN($CI$5)+1)&gt;0,INDEX($D$6:$CB$53,MATCH($CG31,$B$6:$B$53,0),COLUMN()-COLUMN($CI$5)+1),""))</f>
        <v/>
      </c>
      <c r="EX31" s="1753" t="str" cm="1">
        <f t="array" ref="EX31">IF($CG31="","",IF(INDEX($D$6:$CB$53,MATCH($CG31,$B$6:$B$53,0),COLUMN()-COLUMN($CI$5)+1)&gt;0,INDEX($D$6:$CB$53,MATCH($CG31,$B$6:$B$53,0),COLUMN()-COLUMN($CI$5)+1),""))</f>
        <v/>
      </c>
      <c r="EY31" s="1753" t="str" cm="1">
        <f t="array" ref="EY31">IF($CG31="","",IF(INDEX($D$6:$CB$53,MATCH($CG31,$B$6:$B$53,0),COLUMN()-COLUMN($CI$5)+1)&gt;0,INDEX($D$6:$CB$53,MATCH($CG31,$B$6:$B$53,0),COLUMN()-COLUMN($CI$5)+1),""))</f>
        <v/>
      </c>
      <c r="EZ31" s="1753" t="str" cm="1">
        <f t="array" ref="EZ31">IF($CG31="","",IF(INDEX($D$6:$CB$53,MATCH($CG31,$B$6:$B$53,0),COLUMN()-COLUMN($CI$5)+1)&gt;0,INDEX($D$6:$CB$53,MATCH($CG31,$B$6:$B$53,0),COLUMN()-COLUMN($CI$5)+1),""))</f>
        <v/>
      </c>
      <c r="FA31" s="1753" t="str" cm="1">
        <f t="array" ref="FA31">IF($CG31="","",IF(INDEX($D$6:$CB$53,MATCH($CG31,$B$6:$B$53,0),COLUMN()-COLUMN($CI$5)+1)&gt;0,INDEX($D$6:$CB$53,MATCH($CG31,$B$6:$B$53,0),COLUMN()-COLUMN($CI$5)+1),""))</f>
        <v/>
      </c>
      <c r="FB31" s="1753" t="str" cm="1">
        <f t="array" ref="FB31">IF($CG31="","",IF(INDEX($D$6:$CB$53,MATCH($CG31,$B$6:$B$53,0),COLUMN()-COLUMN($CI$5)+1)&gt;0,INDEX($D$6:$CB$53,MATCH($CG31,$B$6:$B$53,0),COLUMN()-COLUMN($CI$5)+1),""))</f>
        <v/>
      </c>
      <c r="FC31" s="1753" t="str" cm="1">
        <f t="array" ref="FC31">IF($CG31="","",IF(INDEX($D$6:$CB$53,MATCH($CG31,$B$6:$B$53,0),COLUMN()-COLUMN($CI$5)+1)&gt;0,INDEX($D$6:$CB$53,MATCH($CG31,$B$6:$B$53,0),COLUMN()-COLUMN($CI$5)+1),""))</f>
        <v/>
      </c>
      <c r="FD31" s="1753" t="str" cm="1">
        <f t="array" ref="FD31">IF($CG31="","",IF(INDEX($D$6:$CB$53,MATCH($CG31,$B$6:$B$53,0),COLUMN()-COLUMN($CI$5)+1)&gt;0,INDEX($D$6:$CB$53,MATCH($CG31,$B$6:$B$53,0),COLUMN()-COLUMN($CI$5)+1),""))</f>
        <v/>
      </c>
      <c r="FE31" s="1753" t="str" cm="1">
        <f t="array" ref="FE31">IF($CG31="","",IF(INDEX($D$6:$CB$53,MATCH($CG31,$B$6:$B$53,0),COLUMN()-COLUMN($CI$5)+1)&gt;0,INDEX($D$6:$CB$53,MATCH($CG31,$B$6:$B$53,0),COLUMN()-COLUMN($CI$5)+1),""))</f>
        <v/>
      </c>
      <c r="FF31" s="1753" t="str" cm="1">
        <f t="array" ref="FF31">IF($CG31="","",IF(INDEX($D$6:$CB$53,MATCH($CG31,$B$6:$B$53,0),COLUMN()-COLUMN($CI$5)+1)&gt;0,INDEX($D$6:$CB$53,MATCH($CG31,$B$6:$B$53,0),COLUMN()-COLUMN($CI$5)+1),""))</f>
        <v/>
      </c>
      <c r="FG31" s="1753" t="str" cm="1">
        <f t="array" ref="FG31">IF($CG31="","",IF(INDEX($D$6:$CB$53,MATCH($CG31,$B$6:$B$53,0),COLUMN()-COLUMN($CI$5)+1)&gt;0,INDEX($D$6:$CB$53,MATCH($CG31,$B$6:$B$53,0),COLUMN()-COLUMN($CI$5)+1),""))</f>
        <v/>
      </c>
      <c r="FH31" s="1753" t="str">
        <f t="shared" si="4"/>
        <v/>
      </c>
      <c r="FI31" s="1753" t="str">
        <f t="shared" si="5"/>
        <v/>
      </c>
      <c r="FJ31" s="1753" t="str">
        <f t="shared" si="6"/>
        <v/>
      </c>
      <c r="FK31" s="1753"/>
    </row>
    <row r="32" spans="1:167" ht="15.75" customHeight="1">
      <c r="A32" s="1220"/>
      <c r="B32" s="1278">
        <f>+PP!B50</f>
        <v>27</v>
      </c>
      <c r="C32" s="1279" t="str">
        <f>+PP!C50</f>
        <v>NUCA C/C ABIERTO 100-300 g/pza</v>
      </c>
      <c r="D32" s="1404"/>
      <c r="E32" s="1405"/>
      <c r="F32" s="1405"/>
      <c r="G32" s="1405"/>
      <c r="H32" s="1405"/>
      <c r="I32" s="1405"/>
      <c r="J32" s="1405"/>
      <c r="K32" s="1405"/>
      <c r="L32" s="1405"/>
      <c r="M32" s="1405"/>
      <c r="N32" s="1405"/>
      <c r="O32" s="1405"/>
      <c r="P32" s="1405"/>
      <c r="Q32" s="1405"/>
      <c r="R32" s="1405"/>
      <c r="S32" s="1405"/>
      <c r="T32" s="1405"/>
      <c r="U32" s="1405"/>
      <c r="V32" s="1405"/>
      <c r="W32" s="1405"/>
      <c r="X32" s="1405"/>
      <c r="Y32" s="1405"/>
      <c r="Z32" s="1405"/>
      <c r="AA32" s="1405"/>
      <c r="AB32" s="1405"/>
      <c r="AC32" s="1405"/>
      <c r="AD32" s="1405"/>
      <c r="AE32" s="1405"/>
      <c r="AF32" s="1405"/>
      <c r="AG32" s="1405"/>
      <c r="AH32" s="1406"/>
      <c r="AI32" s="1235"/>
      <c r="AJ32" s="1235"/>
      <c r="AK32" s="1235"/>
      <c r="AL32" s="1235"/>
      <c r="AM32" s="1235"/>
      <c r="AN32" s="1235"/>
      <c r="AO32" s="1235"/>
      <c r="AP32" s="1218"/>
      <c r="AQ32" s="1218"/>
      <c r="AR32" s="1218"/>
      <c r="AS32" s="1218"/>
      <c r="AT32" s="1218"/>
      <c r="AU32" s="1218"/>
      <c r="AV32" s="1218"/>
      <c r="AW32" s="1218"/>
      <c r="AX32" s="1218"/>
      <c r="AY32" s="1218"/>
      <c r="AZ32" s="1218"/>
      <c r="BA32" s="1218"/>
      <c r="BB32" s="1218"/>
      <c r="BC32" s="1218"/>
      <c r="BD32" s="1218"/>
      <c r="BE32" s="1218"/>
      <c r="BF32" s="1218"/>
      <c r="BG32" s="1218"/>
      <c r="BH32" s="1218"/>
      <c r="BI32" s="1218"/>
      <c r="BJ32" s="1218"/>
      <c r="BK32" s="1218"/>
      <c r="BL32" s="1218"/>
      <c r="BM32" s="1218"/>
      <c r="BN32" s="1218"/>
      <c r="BO32" s="1218"/>
      <c r="BP32" s="1218"/>
      <c r="BQ32" s="1218"/>
      <c r="BR32" s="1557"/>
      <c r="BS32" s="1557"/>
      <c r="BT32" s="1557"/>
      <c r="BU32" s="1557"/>
      <c r="BV32" s="1557"/>
      <c r="BW32" s="1557"/>
      <c r="BX32" s="1557"/>
      <c r="BY32" s="1557"/>
      <c r="BZ32" s="1557"/>
      <c r="CA32" s="1557"/>
      <c r="CB32" s="1564"/>
      <c r="CC32" s="1550">
        <f t="shared" si="0"/>
        <v>0</v>
      </c>
      <c r="CD32" s="1236">
        <f t="shared" si="1"/>
        <v>0</v>
      </c>
      <c r="CE32" s="1237">
        <f t="shared" si="2"/>
        <v>0</v>
      </c>
      <c r="CF32" s="1220"/>
      <c r="CG32" s="1751" t="str" cm="1">
        <f t="array" ref="CG32">IFERROR(INDEX($B$6:$B$53,_xlfn.AGGREGATE(15,6,(ROW($B$6:$B$53)-ROW($B$6)+1)/(MMULT(--($D$6:$CB$53&gt;0),TRANSPOSE(COLUMN($D$6:$CB$6)^0))&gt;0),ROWS($CG$6:CG32))),"")</f>
        <v/>
      </c>
      <c r="CH32" s="1752" t="str">
        <f t="shared" si="3"/>
        <v/>
      </c>
      <c r="CI32" s="1753" t="str" cm="1">
        <f t="array" ref="CI32">IF($CG32="","",IF(INDEX($D$6:$CB$53,MATCH($CG32,$B$6:$B$53,0),COLUMN()-COLUMN($CI$5)+1)&gt;0,INDEX($D$6:$CB$53,MATCH($CG32,$B$6:$B$53,0),COLUMN()-COLUMN($CI$5)+1),""))</f>
        <v/>
      </c>
      <c r="CJ32" s="1753" t="str" cm="1">
        <f t="array" ref="CJ32">IF($CG32="","",IF(INDEX($D$6:$CB$53,MATCH($CG32,$B$6:$B$53,0),COLUMN()-COLUMN($CI$5)+1)&gt;0,INDEX($D$6:$CB$53,MATCH($CG32,$B$6:$B$53,0),COLUMN()-COLUMN($CI$5)+1),""))</f>
        <v/>
      </c>
      <c r="CK32" s="1753" t="str" cm="1">
        <f t="array" ref="CK32">IF($CG32="","",IF(INDEX($D$6:$CB$53,MATCH($CG32,$B$6:$B$53,0),COLUMN()-COLUMN($CI$5)+1)&gt;0,INDEX($D$6:$CB$53,MATCH($CG32,$B$6:$B$53,0),COLUMN()-COLUMN($CI$5)+1),""))</f>
        <v/>
      </c>
      <c r="CL32" s="1753" t="str" cm="1">
        <f t="array" ref="CL32">IF($CG32="","",IF(INDEX($D$6:$CB$53,MATCH($CG32,$B$6:$B$53,0),COLUMN()-COLUMN($CI$5)+1)&gt;0,INDEX($D$6:$CB$53,MATCH($CG32,$B$6:$B$53,0),COLUMN()-COLUMN($CI$5)+1),""))</f>
        <v/>
      </c>
      <c r="CM32" s="1753" t="str" cm="1">
        <f t="array" ref="CM32">IF($CG32="","",IF(INDEX($D$6:$CB$53,MATCH($CG32,$B$6:$B$53,0),COLUMN()-COLUMN($CI$5)+1)&gt;0,INDEX($D$6:$CB$53,MATCH($CG32,$B$6:$B$53,0),COLUMN()-COLUMN($CI$5)+1),""))</f>
        <v/>
      </c>
      <c r="CN32" s="1753" t="str" cm="1">
        <f t="array" ref="CN32">IF($CG32="","",IF(INDEX($D$6:$CB$53,MATCH($CG32,$B$6:$B$53,0),COLUMN()-COLUMN($CI$5)+1)&gt;0,INDEX($D$6:$CB$53,MATCH($CG32,$B$6:$B$53,0),COLUMN()-COLUMN($CI$5)+1),""))</f>
        <v/>
      </c>
      <c r="CO32" s="1753" t="str" cm="1">
        <f t="array" ref="CO32">IF($CG32="","",IF(INDEX($D$6:$CB$53,MATCH($CG32,$B$6:$B$53,0),COLUMN()-COLUMN($CI$5)+1)&gt;0,INDEX($D$6:$CB$53,MATCH($CG32,$B$6:$B$53,0),COLUMN()-COLUMN($CI$5)+1),""))</f>
        <v/>
      </c>
      <c r="CP32" s="1753" t="str" cm="1">
        <f t="array" ref="CP32">IF($CG32="","",IF(INDEX($D$6:$CB$53,MATCH($CG32,$B$6:$B$53,0),COLUMN()-COLUMN($CI$5)+1)&gt;0,INDEX($D$6:$CB$53,MATCH($CG32,$B$6:$B$53,0),COLUMN()-COLUMN($CI$5)+1),""))</f>
        <v/>
      </c>
      <c r="CQ32" s="1753" t="str" cm="1">
        <f t="array" ref="CQ32">IF($CG32="","",IF(INDEX($D$6:$CB$53,MATCH($CG32,$B$6:$B$53,0),COLUMN()-COLUMN($CI$5)+1)&gt;0,INDEX($D$6:$CB$53,MATCH($CG32,$B$6:$B$53,0),COLUMN()-COLUMN($CI$5)+1),""))</f>
        <v/>
      </c>
      <c r="CR32" s="1753" t="str" cm="1">
        <f t="array" ref="CR32">IF($CG32="","",IF(INDEX($D$6:$CB$53,MATCH($CG32,$B$6:$B$53,0),COLUMN()-COLUMN($CI$5)+1)&gt;0,INDEX($D$6:$CB$53,MATCH($CG32,$B$6:$B$53,0),COLUMN()-COLUMN($CI$5)+1),""))</f>
        <v/>
      </c>
      <c r="CS32" s="1753" t="str" cm="1">
        <f t="array" ref="CS32">IF($CG32="","",IF(INDEX($D$6:$CB$53,MATCH($CG32,$B$6:$B$53,0),COLUMN()-COLUMN($CI$5)+1)&gt;0,INDEX($D$6:$CB$53,MATCH($CG32,$B$6:$B$53,0),COLUMN()-COLUMN($CI$5)+1),""))</f>
        <v/>
      </c>
      <c r="CT32" s="1753" t="str" cm="1">
        <f t="array" ref="CT32">IF($CG32="","",IF(INDEX($D$6:$CB$53,MATCH($CG32,$B$6:$B$53,0),COLUMN()-COLUMN($CI$5)+1)&gt;0,INDEX($D$6:$CB$53,MATCH($CG32,$B$6:$B$53,0),COLUMN()-COLUMN($CI$5)+1),""))</f>
        <v/>
      </c>
      <c r="CU32" s="1753" t="str" cm="1">
        <f t="array" ref="CU32">IF($CG32="","",IF(INDEX($D$6:$CB$53,MATCH($CG32,$B$6:$B$53,0),COLUMN()-COLUMN($CI$5)+1)&gt;0,INDEX($D$6:$CB$53,MATCH($CG32,$B$6:$B$53,0),COLUMN()-COLUMN($CI$5)+1),""))</f>
        <v/>
      </c>
      <c r="CV32" s="1753" t="str" cm="1">
        <f t="array" ref="CV32">IF($CG32="","",IF(INDEX($D$6:$CB$53,MATCH($CG32,$B$6:$B$53,0),COLUMN()-COLUMN($CI$5)+1)&gt;0,INDEX($D$6:$CB$53,MATCH($CG32,$B$6:$B$53,0),COLUMN()-COLUMN($CI$5)+1),""))</f>
        <v/>
      </c>
      <c r="CW32" s="1753" t="str" cm="1">
        <f t="array" ref="CW32">IF($CG32="","",IF(INDEX($D$6:$CB$53,MATCH($CG32,$B$6:$B$53,0),COLUMN()-COLUMN($CI$5)+1)&gt;0,INDEX($D$6:$CB$53,MATCH($CG32,$B$6:$B$53,0),COLUMN()-COLUMN($CI$5)+1),""))</f>
        <v/>
      </c>
      <c r="CX32" s="1753" t="str" cm="1">
        <f t="array" ref="CX32">IF($CG32="","",IF(INDEX($D$6:$CB$53,MATCH($CG32,$B$6:$B$53,0),COLUMN()-COLUMN($CI$5)+1)&gt;0,INDEX($D$6:$CB$53,MATCH($CG32,$B$6:$B$53,0),COLUMN()-COLUMN($CI$5)+1),""))</f>
        <v/>
      </c>
      <c r="CY32" s="1753" t="str" cm="1">
        <f t="array" ref="CY32">IF($CG32="","",IF(INDEX($D$6:$CB$53,MATCH($CG32,$B$6:$B$53,0),COLUMN()-COLUMN($CI$5)+1)&gt;0,INDEX($D$6:$CB$53,MATCH($CG32,$B$6:$B$53,0),COLUMN()-COLUMN($CI$5)+1),""))</f>
        <v/>
      </c>
      <c r="CZ32" s="1753" t="str" cm="1">
        <f t="array" ref="CZ32">IF($CG32="","",IF(INDEX($D$6:$CB$53,MATCH($CG32,$B$6:$B$53,0),COLUMN()-COLUMN($CI$5)+1)&gt;0,INDEX($D$6:$CB$53,MATCH($CG32,$B$6:$B$53,0),COLUMN()-COLUMN($CI$5)+1),""))</f>
        <v/>
      </c>
      <c r="DA32" s="1753" t="str" cm="1">
        <f t="array" ref="DA32">IF($CG32="","",IF(INDEX($D$6:$CB$53,MATCH($CG32,$B$6:$B$53,0),COLUMN()-COLUMN($CI$5)+1)&gt;0,INDEX($D$6:$CB$53,MATCH($CG32,$B$6:$B$53,0),COLUMN()-COLUMN($CI$5)+1),""))</f>
        <v/>
      </c>
      <c r="DB32" s="1753" t="str" cm="1">
        <f t="array" ref="DB32">IF($CG32="","",IF(INDEX($D$6:$CB$53,MATCH($CG32,$B$6:$B$53,0),COLUMN()-COLUMN($CI$5)+1)&gt;0,INDEX($D$6:$CB$53,MATCH($CG32,$B$6:$B$53,0),COLUMN()-COLUMN($CI$5)+1),""))</f>
        <v/>
      </c>
      <c r="DC32" s="1753" t="str" cm="1">
        <f t="array" ref="DC32">IF($CG32="","",IF(INDEX($D$6:$CB$53,MATCH($CG32,$B$6:$B$53,0),COLUMN()-COLUMN($CI$5)+1)&gt;0,INDEX($D$6:$CB$53,MATCH($CG32,$B$6:$B$53,0),COLUMN()-COLUMN($CI$5)+1),""))</f>
        <v/>
      </c>
      <c r="DD32" s="1753" t="str" cm="1">
        <f t="array" ref="DD32">IF($CG32="","",IF(INDEX($D$6:$CB$53,MATCH($CG32,$B$6:$B$53,0),COLUMN()-COLUMN($CI$5)+1)&gt;0,INDEX($D$6:$CB$53,MATCH($CG32,$B$6:$B$53,0),COLUMN()-COLUMN($CI$5)+1),""))</f>
        <v/>
      </c>
      <c r="DE32" s="1753" t="str" cm="1">
        <f t="array" ref="DE32">IF($CG32="","",IF(INDEX($D$6:$CB$53,MATCH($CG32,$B$6:$B$53,0),COLUMN()-COLUMN($CI$5)+1)&gt;0,INDEX($D$6:$CB$53,MATCH($CG32,$B$6:$B$53,0),COLUMN()-COLUMN($CI$5)+1),""))</f>
        <v/>
      </c>
      <c r="DF32" s="1753" t="str" cm="1">
        <f t="array" ref="DF32">IF($CG32="","",IF(INDEX($D$6:$CB$53,MATCH($CG32,$B$6:$B$53,0),COLUMN()-COLUMN($CI$5)+1)&gt;0,INDEX($D$6:$CB$53,MATCH($CG32,$B$6:$B$53,0),COLUMN()-COLUMN($CI$5)+1),""))</f>
        <v/>
      </c>
      <c r="DG32" s="1753" t="str" cm="1">
        <f t="array" ref="DG32">IF($CG32="","",IF(INDEX($D$6:$CB$53,MATCH($CG32,$B$6:$B$53,0),COLUMN()-COLUMN($CI$5)+1)&gt;0,INDEX($D$6:$CB$53,MATCH($CG32,$B$6:$B$53,0),COLUMN()-COLUMN($CI$5)+1),""))</f>
        <v/>
      </c>
      <c r="DH32" s="1753" t="str" cm="1">
        <f t="array" ref="DH32">IF($CG32="","",IF(INDEX($D$6:$CB$53,MATCH($CG32,$B$6:$B$53,0),COLUMN()-COLUMN($CI$5)+1)&gt;0,INDEX($D$6:$CB$53,MATCH($CG32,$B$6:$B$53,0),COLUMN()-COLUMN($CI$5)+1),""))</f>
        <v/>
      </c>
      <c r="DI32" s="1753" t="str" cm="1">
        <f t="array" ref="DI32">IF($CG32="","",IF(INDEX($D$6:$CB$53,MATCH($CG32,$B$6:$B$53,0),COLUMN()-COLUMN($CI$5)+1)&gt;0,INDEX($D$6:$CB$53,MATCH($CG32,$B$6:$B$53,0),COLUMN()-COLUMN($CI$5)+1),""))</f>
        <v/>
      </c>
      <c r="DJ32" s="1753" t="str" cm="1">
        <f t="array" ref="DJ32">IF($CG32="","",IF(INDEX($D$6:$CB$53,MATCH($CG32,$B$6:$B$53,0),COLUMN()-COLUMN($CI$5)+1)&gt;0,INDEX($D$6:$CB$53,MATCH($CG32,$B$6:$B$53,0),COLUMN()-COLUMN($CI$5)+1),""))</f>
        <v/>
      </c>
      <c r="DK32" s="1753" t="str" cm="1">
        <f t="array" ref="DK32">IF($CG32="","",IF(INDEX($D$6:$CB$53,MATCH($CG32,$B$6:$B$53,0),COLUMN()-COLUMN($CI$5)+1)&gt;0,INDEX($D$6:$CB$53,MATCH($CG32,$B$6:$B$53,0),COLUMN()-COLUMN($CI$5)+1),""))</f>
        <v/>
      </c>
      <c r="DL32" s="1753" t="str" cm="1">
        <f t="array" ref="DL32">IF($CG32="","",IF(INDEX($D$6:$CB$53,MATCH($CG32,$B$6:$B$53,0),COLUMN()-COLUMN($CI$5)+1)&gt;0,INDEX($D$6:$CB$53,MATCH($CG32,$B$6:$B$53,0),COLUMN()-COLUMN($CI$5)+1),""))</f>
        <v/>
      </c>
      <c r="DM32" s="1753" t="str" cm="1">
        <f t="array" ref="DM32">IF($CG32="","",IF(INDEX($D$6:$CB$53,MATCH($CG32,$B$6:$B$53,0),COLUMN()-COLUMN($CI$5)+1)&gt;0,INDEX($D$6:$CB$53,MATCH($CG32,$B$6:$B$53,0),COLUMN()-COLUMN($CI$5)+1),""))</f>
        <v/>
      </c>
      <c r="DN32" s="1753" t="str" cm="1">
        <f t="array" ref="DN32">IF($CG32="","",IF(INDEX($D$6:$CB$53,MATCH($CG32,$B$6:$B$53,0),COLUMN()-COLUMN($CI$5)+1)&gt;0,INDEX($D$6:$CB$53,MATCH($CG32,$B$6:$B$53,0),COLUMN()-COLUMN($CI$5)+1),""))</f>
        <v/>
      </c>
      <c r="DO32" s="1753" t="str" cm="1">
        <f t="array" ref="DO32">IF($CG32="","",IF(INDEX($D$6:$CB$53,MATCH($CG32,$B$6:$B$53,0),COLUMN()-COLUMN($CI$5)+1)&gt;0,INDEX($D$6:$CB$53,MATCH($CG32,$B$6:$B$53,0),COLUMN()-COLUMN($CI$5)+1),""))</f>
        <v/>
      </c>
      <c r="DP32" s="1753" t="str" cm="1">
        <f t="array" ref="DP32">IF($CG32="","",IF(INDEX($D$6:$CB$53,MATCH($CG32,$B$6:$B$53,0),COLUMN()-COLUMN($CI$5)+1)&gt;0,INDEX($D$6:$CB$53,MATCH($CG32,$B$6:$B$53,0),COLUMN()-COLUMN($CI$5)+1),""))</f>
        <v/>
      </c>
      <c r="DQ32" s="1753" t="str" cm="1">
        <f t="array" ref="DQ32">IF($CG32="","",IF(INDEX($D$6:$CB$53,MATCH($CG32,$B$6:$B$53,0),COLUMN()-COLUMN($CI$5)+1)&gt;0,INDEX($D$6:$CB$53,MATCH($CG32,$B$6:$B$53,0),COLUMN()-COLUMN($CI$5)+1),""))</f>
        <v/>
      </c>
      <c r="DR32" s="1753" t="str" cm="1">
        <f t="array" ref="DR32">IF($CG32="","",IF(INDEX($D$6:$CB$53,MATCH($CG32,$B$6:$B$53,0),COLUMN()-COLUMN($CI$5)+1)&gt;0,INDEX($D$6:$CB$53,MATCH($CG32,$B$6:$B$53,0),COLUMN()-COLUMN($CI$5)+1),""))</f>
        <v/>
      </c>
      <c r="DS32" s="1753" t="str" cm="1">
        <f t="array" ref="DS32">IF($CG32="","",IF(INDEX($D$6:$CB$53,MATCH($CG32,$B$6:$B$53,0),COLUMN()-COLUMN($CI$5)+1)&gt;0,INDEX($D$6:$CB$53,MATCH($CG32,$B$6:$B$53,0),COLUMN()-COLUMN($CI$5)+1),""))</f>
        <v/>
      </c>
      <c r="DT32" s="1753" t="str" cm="1">
        <f t="array" ref="DT32">IF($CG32="","",IF(INDEX($D$6:$CB$53,MATCH($CG32,$B$6:$B$53,0),COLUMN()-COLUMN($CI$5)+1)&gt;0,INDEX($D$6:$CB$53,MATCH($CG32,$B$6:$B$53,0),COLUMN()-COLUMN($CI$5)+1),""))</f>
        <v/>
      </c>
      <c r="DU32" s="1753" t="str" cm="1">
        <f t="array" ref="DU32">IF($CG32="","",IF(INDEX($D$6:$CB$53,MATCH($CG32,$B$6:$B$53,0),COLUMN()-COLUMN($CI$5)+1)&gt;0,INDEX($D$6:$CB$53,MATCH($CG32,$B$6:$B$53,0),COLUMN()-COLUMN($CI$5)+1),""))</f>
        <v/>
      </c>
      <c r="DV32" s="1753" t="str" cm="1">
        <f t="array" ref="DV32">IF($CG32="","",IF(INDEX($D$6:$CB$53,MATCH($CG32,$B$6:$B$53,0),COLUMN()-COLUMN($CI$5)+1)&gt;0,INDEX($D$6:$CB$53,MATCH($CG32,$B$6:$B$53,0),COLUMN()-COLUMN($CI$5)+1),""))</f>
        <v/>
      </c>
      <c r="DW32" s="1753" t="str" cm="1">
        <f t="array" ref="DW32">IF($CG32="","",IF(INDEX($D$6:$CB$53,MATCH($CG32,$B$6:$B$53,0),COLUMN()-COLUMN($CI$5)+1)&gt;0,INDEX($D$6:$CB$53,MATCH($CG32,$B$6:$B$53,0),COLUMN()-COLUMN($CI$5)+1),""))</f>
        <v/>
      </c>
      <c r="DX32" s="1753" t="str" cm="1">
        <f t="array" ref="DX32">IF($CG32="","",IF(INDEX($D$6:$CB$53,MATCH($CG32,$B$6:$B$53,0),COLUMN()-COLUMN($CI$5)+1)&gt;0,INDEX($D$6:$CB$53,MATCH($CG32,$B$6:$B$53,0),COLUMN()-COLUMN($CI$5)+1),""))</f>
        <v/>
      </c>
      <c r="DY32" s="1753" t="str" cm="1">
        <f t="array" ref="DY32">IF($CG32="","",IF(INDEX($D$6:$CB$53,MATCH($CG32,$B$6:$B$53,0),COLUMN()-COLUMN($CI$5)+1)&gt;0,INDEX($D$6:$CB$53,MATCH($CG32,$B$6:$B$53,0),COLUMN()-COLUMN($CI$5)+1),""))</f>
        <v/>
      </c>
      <c r="DZ32" s="1753" t="str" cm="1">
        <f t="array" ref="DZ32">IF($CG32="","",IF(INDEX($D$6:$CB$53,MATCH($CG32,$B$6:$B$53,0),COLUMN()-COLUMN($CI$5)+1)&gt;0,INDEX($D$6:$CB$53,MATCH($CG32,$B$6:$B$53,0),COLUMN()-COLUMN($CI$5)+1),""))</f>
        <v/>
      </c>
      <c r="EA32" s="1753" t="str" cm="1">
        <f t="array" ref="EA32">IF($CG32="","",IF(INDEX($D$6:$CB$53,MATCH($CG32,$B$6:$B$53,0),COLUMN()-COLUMN($CI$5)+1)&gt;0,INDEX($D$6:$CB$53,MATCH($CG32,$B$6:$B$53,0),COLUMN()-COLUMN($CI$5)+1),""))</f>
        <v/>
      </c>
      <c r="EB32" s="1753" t="str" cm="1">
        <f t="array" ref="EB32">IF($CG32="","",IF(INDEX($D$6:$CB$53,MATCH($CG32,$B$6:$B$53,0),COLUMN()-COLUMN($CI$5)+1)&gt;0,INDEX($D$6:$CB$53,MATCH($CG32,$B$6:$B$53,0),COLUMN()-COLUMN($CI$5)+1),""))</f>
        <v/>
      </c>
      <c r="EC32" s="1753" t="str" cm="1">
        <f t="array" ref="EC32">IF($CG32="","",IF(INDEX($D$6:$CB$53,MATCH($CG32,$B$6:$B$53,0),COLUMN()-COLUMN($CI$5)+1)&gt;0,INDEX($D$6:$CB$53,MATCH($CG32,$B$6:$B$53,0),COLUMN()-COLUMN($CI$5)+1),""))</f>
        <v/>
      </c>
      <c r="ED32" s="1753" t="str" cm="1">
        <f t="array" ref="ED32">IF($CG32="","",IF(INDEX($D$6:$CB$53,MATCH($CG32,$B$6:$B$53,0),COLUMN()-COLUMN($CI$5)+1)&gt;0,INDEX($D$6:$CB$53,MATCH($CG32,$B$6:$B$53,0),COLUMN()-COLUMN($CI$5)+1),""))</f>
        <v/>
      </c>
      <c r="EE32" s="1753" t="str" cm="1">
        <f t="array" ref="EE32">IF($CG32="","",IF(INDEX($D$6:$CB$53,MATCH($CG32,$B$6:$B$53,0),COLUMN()-COLUMN($CI$5)+1)&gt;0,INDEX($D$6:$CB$53,MATCH($CG32,$B$6:$B$53,0),COLUMN()-COLUMN($CI$5)+1),""))</f>
        <v/>
      </c>
      <c r="EF32" s="1753" t="str" cm="1">
        <f t="array" ref="EF32">IF($CG32="","",IF(INDEX($D$6:$CB$53,MATCH($CG32,$B$6:$B$53,0),COLUMN()-COLUMN($CI$5)+1)&gt;0,INDEX($D$6:$CB$53,MATCH($CG32,$B$6:$B$53,0),COLUMN()-COLUMN($CI$5)+1),""))</f>
        <v/>
      </c>
      <c r="EG32" s="1753" t="str" cm="1">
        <f t="array" ref="EG32">IF($CG32="","",IF(INDEX($D$6:$CB$53,MATCH($CG32,$B$6:$B$53,0),COLUMN()-COLUMN($CI$5)+1)&gt;0,INDEX($D$6:$CB$53,MATCH($CG32,$B$6:$B$53,0),COLUMN()-COLUMN($CI$5)+1),""))</f>
        <v/>
      </c>
      <c r="EH32" s="1753" t="str" cm="1">
        <f t="array" ref="EH32">IF($CG32="","",IF(INDEX($D$6:$CB$53,MATCH($CG32,$B$6:$B$53,0),COLUMN()-COLUMN($CI$5)+1)&gt;0,INDEX($D$6:$CB$53,MATCH($CG32,$B$6:$B$53,0),COLUMN()-COLUMN($CI$5)+1),""))</f>
        <v/>
      </c>
      <c r="EI32" s="1753" t="str" cm="1">
        <f t="array" ref="EI32">IF($CG32="","",IF(INDEX($D$6:$CB$53,MATCH($CG32,$B$6:$B$53,0),COLUMN()-COLUMN($CI$5)+1)&gt;0,INDEX($D$6:$CB$53,MATCH($CG32,$B$6:$B$53,0),COLUMN()-COLUMN($CI$5)+1),""))</f>
        <v/>
      </c>
      <c r="EJ32" s="1753" t="str" cm="1">
        <f t="array" ref="EJ32">IF($CG32="","",IF(INDEX($D$6:$CB$53,MATCH($CG32,$B$6:$B$53,0),COLUMN()-COLUMN($CI$5)+1)&gt;0,INDEX($D$6:$CB$53,MATCH($CG32,$B$6:$B$53,0),COLUMN()-COLUMN($CI$5)+1),""))</f>
        <v/>
      </c>
      <c r="EK32" s="1753" t="str" cm="1">
        <f t="array" ref="EK32">IF($CG32="","",IF(INDEX($D$6:$CB$53,MATCH($CG32,$B$6:$B$53,0),COLUMN()-COLUMN($CI$5)+1)&gt;0,INDEX($D$6:$CB$53,MATCH($CG32,$B$6:$B$53,0),COLUMN()-COLUMN($CI$5)+1),""))</f>
        <v/>
      </c>
      <c r="EL32" s="1753" t="str" cm="1">
        <f t="array" ref="EL32">IF($CG32="","",IF(INDEX($D$6:$CB$53,MATCH($CG32,$B$6:$B$53,0),COLUMN()-COLUMN($CI$5)+1)&gt;0,INDEX($D$6:$CB$53,MATCH($CG32,$B$6:$B$53,0),COLUMN()-COLUMN($CI$5)+1),""))</f>
        <v/>
      </c>
      <c r="EM32" s="1753" t="str" cm="1">
        <f t="array" ref="EM32">IF($CG32="","",IF(INDEX($D$6:$CB$53,MATCH($CG32,$B$6:$B$53,0),COLUMN()-COLUMN($CI$5)+1)&gt;0,INDEX($D$6:$CB$53,MATCH($CG32,$B$6:$B$53,0),COLUMN()-COLUMN($CI$5)+1),""))</f>
        <v/>
      </c>
      <c r="EN32" s="1753" t="str" cm="1">
        <f t="array" ref="EN32">IF($CG32="","",IF(INDEX($D$6:$CB$53,MATCH($CG32,$B$6:$B$53,0),COLUMN()-COLUMN($CI$5)+1)&gt;0,INDEX($D$6:$CB$53,MATCH($CG32,$B$6:$B$53,0),COLUMN()-COLUMN($CI$5)+1),""))</f>
        <v/>
      </c>
      <c r="EO32" s="1753" t="str" cm="1">
        <f t="array" ref="EO32">IF($CG32="","",IF(INDEX($D$6:$CB$53,MATCH($CG32,$B$6:$B$53,0),COLUMN()-COLUMN($CI$5)+1)&gt;0,INDEX($D$6:$CB$53,MATCH($CG32,$B$6:$B$53,0),COLUMN()-COLUMN($CI$5)+1),""))</f>
        <v/>
      </c>
      <c r="EP32" s="1753" t="str" cm="1">
        <f t="array" ref="EP32">IF($CG32="","",IF(INDEX($D$6:$CB$53,MATCH($CG32,$B$6:$B$53,0),COLUMN()-COLUMN($CI$5)+1)&gt;0,INDEX($D$6:$CB$53,MATCH($CG32,$B$6:$B$53,0),COLUMN()-COLUMN($CI$5)+1),""))</f>
        <v/>
      </c>
      <c r="EQ32" s="1753" t="str" cm="1">
        <f t="array" ref="EQ32">IF($CG32="","",IF(INDEX($D$6:$CB$53,MATCH($CG32,$B$6:$B$53,0),COLUMN()-COLUMN($CI$5)+1)&gt;0,INDEX($D$6:$CB$53,MATCH($CG32,$B$6:$B$53,0),COLUMN()-COLUMN($CI$5)+1),""))</f>
        <v/>
      </c>
      <c r="ER32" s="1753" t="str" cm="1">
        <f t="array" ref="ER32">IF($CG32="","",IF(INDEX($D$6:$CB$53,MATCH($CG32,$B$6:$B$53,0),COLUMN()-COLUMN($CI$5)+1)&gt;0,INDEX($D$6:$CB$53,MATCH($CG32,$B$6:$B$53,0),COLUMN()-COLUMN($CI$5)+1),""))</f>
        <v/>
      </c>
      <c r="ES32" s="1753" t="str" cm="1">
        <f t="array" ref="ES32">IF($CG32="","",IF(INDEX($D$6:$CB$53,MATCH($CG32,$B$6:$B$53,0),COLUMN()-COLUMN($CI$5)+1)&gt;0,INDEX($D$6:$CB$53,MATCH($CG32,$B$6:$B$53,0),COLUMN()-COLUMN($CI$5)+1),""))</f>
        <v/>
      </c>
      <c r="ET32" s="1753" t="str" cm="1">
        <f t="array" ref="ET32">IF($CG32="","",IF(INDEX($D$6:$CB$53,MATCH($CG32,$B$6:$B$53,0),COLUMN()-COLUMN($CI$5)+1)&gt;0,INDEX($D$6:$CB$53,MATCH($CG32,$B$6:$B$53,0),COLUMN()-COLUMN($CI$5)+1),""))</f>
        <v/>
      </c>
      <c r="EU32" s="1753" t="str" cm="1">
        <f t="array" ref="EU32">IF($CG32="","",IF(INDEX($D$6:$CB$53,MATCH($CG32,$B$6:$B$53,0),COLUMN()-COLUMN($CI$5)+1)&gt;0,INDEX($D$6:$CB$53,MATCH($CG32,$B$6:$B$53,0),COLUMN()-COLUMN($CI$5)+1),""))</f>
        <v/>
      </c>
      <c r="EV32" s="1753" t="str" cm="1">
        <f t="array" ref="EV32">IF($CG32="","",IF(INDEX($D$6:$CB$53,MATCH($CG32,$B$6:$B$53,0),COLUMN()-COLUMN($CI$5)+1)&gt;0,INDEX($D$6:$CB$53,MATCH($CG32,$B$6:$B$53,0),COLUMN()-COLUMN($CI$5)+1),""))</f>
        <v/>
      </c>
      <c r="EW32" s="1753" t="str" cm="1">
        <f t="array" ref="EW32">IF($CG32="","",IF(INDEX($D$6:$CB$53,MATCH($CG32,$B$6:$B$53,0),COLUMN()-COLUMN($CI$5)+1)&gt;0,INDEX($D$6:$CB$53,MATCH($CG32,$B$6:$B$53,0),COLUMN()-COLUMN($CI$5)+1),""))</f>
        <v/>
      </c>
      <c r="EX32" s="1753" t="str" cm="1">
        <f t="array" ref="EX32">IF($CG32="","",IF(INDEX($D$6:$CB$53,MATCH($CG32,$B$6:$B$53,0),COLUMN()-COLUMN($CI$5)+1)&gt;0,INDEX($D$6:$CB$53,MATCH($CG32,$B$6:$B$53,0),COLUMN()-COLUMN($CI$5)+1),""))</f>
        <v/>
      </c>
      <c r="EY32" s="1753" t="str" cm="1">
        <f t="array" ref="EY32">IF($CG32="","",IF(INDEX($D$6:$CB$53,MATCH($CG32,$B$6:$B$53,0),COLUMN()-COLUMN($CI$5)+1)&gt;0,INDEX($D$6:$CB$53,MATCH($CG32,$B$6:$B$53,0),COLUMN()-COLUMN($CI$5)+1),""))</f>
        <v/>
      </c>
      <c r="EZ32" s="1753" t="str" cm="1">
        <f t="array" ref="EZ32">IF($CG32="","",IF(INDEX($D$6:$CB$53,MATCH($CG32,$B$6:$B$53,0),COLUMN()-COLUMN($CI$5)+1)&gt;0,INDEX($D$6:$CB$53,MATCH($CG32,$B$6:$B$53,0),COLUMN()-COLUMN($CI$5)+1),""))</f>
        <v/>
      </c>
      <c r="FA32" s="1753" t="str" cm="1">
        <f t="array" ref="FA32">IF($CG32="","",IF(INDEX($D$6:$CB$53,MATCH($CG32,$B$6:$B$53,0),COLUMN()-COLUMN($CI$5)+1)&gt;0,INDEX($D$6:$CB$53,MATCH($CG32,$B$6:$B$53,0),COLUMN()-COLUMN($CI$5)+1),""))</f>
        <v/>
      </c>
      <c r="FB32" s="1753" t="str" cm="1">
        <f t="array" ref="FB32">IF($CG32="","",IF(INDEX($D$6:$CB$53,MATCH($CG32,$B$6:$B$53,0),COLUMN()-COLUMN($CI$5)+1)&gt;0,INDEX($D$6:$CB$53,MATCH($CG32,$B$6:$B$53,0),COLUMN()-COLUMN($CI$5)+1),""))</f>
        <v/>
      </c>
      <c r="FC32" s="1753" t="str" cm="1">
        <f t="array" ref="FC32">IF($CG32="","",IF(INDEX($D$6:$CB$53,MATCH($CG32,$B$6:$B$53,0),COLUMN()-COLUMN($CI$5)+1)&gt;0,INDEX($D$6:$CB$53,MATCH($CG32,$B$6:$B$53,0),COLUMN()-COLUMN($CI$5)+1),""))</f>
        <v/>
      </c>
      <c r="FD32" s="1753" t="str" cm="1">
        <f t="array" ref="FD32">IF($CG32="","",IF(INDEX($D$6:$CB$53,MATCH($CG32,$B$6:$B$53,0),COLUMN()-COLUMN($CI$5)+1)&gt;0,INDEX($D$6:$CB$53,MATCH($CG32,$B$6:$B$53,0),COLUMN()-COLUMN($CI$5)+1),""))</f>
        <v/>
      </c>
      <c r="FE32" s="1753" t="str" cm="1">
        <f t="array" ref="FE32">IF($CG32="","",IF(INDEX($D$6:$CB$53,MATCH($CG32,$B$6:$B$53,0),COLUMN()-COLUMN($CI$5)+1)&gt;0,INDEX($D$6:$CB$53,MATCH($CG32,$B$6:$B$53,0),COLUMN()-COLUMN($CI$5)+1),""))</f>
        <v/>
      </c>
      <c r="FF32" s="1753" t="str" cm="1">
        <f t="array" ref="FF32">IF($CG32="","",IF(INDEX($D$6:$CB$53,MATCH($CG32,$B$6:$B$53,0),COLUMN()-COLUMN($CI$5)+1)&gt;0,INDEX($D$6:$CB$53,MATCH($CG32,$B$6:$B$53,0),COLUMN()-COLUMN($CI$5)+1),""))</f>
        <v/>
      </c>
      <c r="FG32" s="1753" t="str" cm="1">
        <f t="array" ref="FG32">IF($CG32="","",IF(INDEX($D$6:$CB$53,MATCH($CG32,$B$6:$B$53,0),COLUMN()-COLUMN($CI$5)+1)&gt;0,INDEX($D$6:$CB$53,MATCH($CG32,$B$6:$B$53,0),COLUMN()-COLUMN($CI$5)+1),""))</f>
        <v/>
      </c>
      <c r="FH32" s="1753" t="str">
        <f t="shared" si="4"/>
        <v/>
      </c>
      <c r="FI32" s="1753" t="str">
        <f t="shared" si="5"/>
        <v/>
      </c>
      <c r="FJ32" s="1753" t="str">
        <f t="shared" si="6"/>
        <v/>
      </c>
      <c r="FK32" s="1753"/>
    </row>
    <row r="33" spans="1:167" ht="15.75" customHeight="1">
      <c r="A33" s="1220"/>
      <c r="B33" s="1278">
        <f>+PP!B51</f>
        <v>28</v>
      </c>
      <c r="C33" s="1279" t="str">
        <f>+PP!C51</f>
        <v>NUCA C/C ABIERTO 300-500 g/pza</v>
      </c>
      <c r="D33" s="1404"/>
      <c r="E33" s="1405"/>
      <c r="F33" s="1405"/>
      <c r="G33" s="1405"/>
      <c r="H33" s="1405"/>
      <c r="I33" s="1405"/>
      <c r="J33" s="1405"/>
      <c r="K33" s="1405"/>
      <c r="L33" s="1405"/>
      <c r="M33" s="1405"/>
      <c r="N33" s="1405"/>
      <c r="O33" s="1405"/>
      <c r="P33" s="1405"/>
      <c r="Q33" s="1405"/>
      <c r="R33" s="1405"/>
      <c r="S33" s="1405"/>
      <c r="T33" s="1405"/>
      <c r="U33" s="1405"/>
      <c r="V33" s="1405"/>
      <c r="W33" s="1405"/>
      <c r="X33" s="1405"/>
      <c r="Y33" s="1405"/>
      <c r="Z33" s="1405"/>
      <c r="AA33" s="1405"/>
      <c r="AB33" s="1405"/>
      <c r="AC33" s="1405"/>
      <c r="AD33" s="1405"/>
      <c r="AE33" s="1405"/>
      <c r="AF33" s="1405"/>
      <c r="AG33" s="1405"/>
      <c r="AH33" s="1406"/>
      <c r="AI33" s="1235"/>
      <c r="AJ33" s="1235"/>
      <c r="AK33" s="1235"/>
      <c r="AL33" s="1235"/>
      <c r="AM33" s="1235"/>
      <c r="AN33" s="1235"/>
      <c r="AO33" s="1235"/>
      <c r="AP33" s="1218"/>
      <c r="AQ33" s="1218"/>
      <c r="AR33" s="1218"/>
      <c r="AS33" s="1218"/>
      <c r="AT33" s="1218"/>
      <c r="AU33" s="1218"/>
      <c r="AV33" s="1218"/>
      <c r="AW33" s="1218"/>
      <c r="AX33" s="1218"/>
      <c r="AY33" s="1218"/>
      <c r="AZ33" s="1218"/>
      <c r="BA33" s="1218"/>
      <c r="BB33" s="1218"/>
      <c r="BC33" s="1218"/>
      <c r="BD33" s="1218"/>
      <c r="BE33" s="1218"/>
      <c r="BF33" s="1218"/>
      <c r="BG33" s="1218"/>
      <c r="BH33" s="1218"/>
      <c r="BI33" s="1218"/>
      <c r="BJ33" s="1218"/>
      <c r="BK33" s="1218"/>
      <c r="BL33" s="1218"/>
      <c r="BM33" s="1218"/>
      <c r="BN33" s="1218"/>
      <c r="BO33" s="1218"/>
      <c r="BP33" s="1218"/>
      <c r="BQ33" s="1218"/>
      <c r="BR33" s="1557"/>
      <c r="BS33" s="1557"/>
      <c r="BT33" s="1557"/>
      <c r="BU33" s="1557"/>
      <c r="BV33" s="1557"/>
      <c r="BW33" s="1557"/>
      <c r="BX33" s="1557"/>
      <c r="BY33" s="1557"/>
      <c r="BZ33" s="1557"/>
      <c r="CA33" s="1557"/>
      <c r="CB33" s="1564"/>
      <c r="CC33" s="1550">
        <f t="shared" si="0"/>
        <v>0</v>
      </c>
      <c r="CD33" s="1236">
        <f t="shared" si="1"/>
        <v>0</v>
      </c>
      <c r="CE33" s="1237">
        <f t="shared" si="2"/>
        <v>0</v>
      </c>
      <c r="CF33" s="1220"/>
      <c r="CG33" s="1751" t="str" cm="1">
        <f t="array" ref="CG33">IFERROR(INDEX($B$6:$B$53,_xlfn.AGGREGATE(15,6,(ROW($B$6:$B$53)-ROW($B$6)+1)/(MMULT(--($D$6:$CB$53&gt;0),TRANSPOSE(COLUMN($D$6:$CB$6)^0))&gt;0),ROWS($CG$6:CG33))),"")</f>
        <v/>
      </c>
      <c r="CH33" s="1752" t="str">
        <f t="shared" si="3"/>
        <v/>
      </c>
      <c r="CI33" s="1753" t="str" cm="1">
        <f t="array" ref="CI33">IF($CG33="","",IF(INDEX($D$6:$CB$53,MATCH($CG33,$B$6:$B$53,0),COLUMN()-COLUMN($CI$5)+1)&gt;0,INDEX($D$6:$CB$53,MATCH($CG33,$B$6:$B$53,0),COLUMN()-COLUMN($CI$5)+1),""))</f>
        <v/>
      </c>
      <c r="CJ33" s="1753" t="str" cm="1">
        <f t="array" ref="CJ33">IF($CG33="","",IF(INDEX($D$6:$CB$53,MATCH($CG33,$B$6:$B$53,0),COLUMN()-COLUMN($CI$5)+1)&gt;0,INDEX($D$6:$CB$53,MATCH($CG33,$B$6:$B$53,0),COLUMN()-COLUMN($CI$5)+1),""))</f>
        <v/>
      </c>
      <c r="CK33" s="1753" t="str" cm="1">
        <f t="array" ref="CK33">IF($CG33="","",IF(INDEX($D$6:$CB$53,MATCH($CG33,$B$6:$B$53,0),COLUMN()-COLUMN($CI$5)+1)&gt;0,INDEX($D$6:$CB$53,MATCH($CG33,$B$6:$B$53,0),COLUMN()-COLUMN($CI$5)+1),""))</f>
        <v/>
      </c>
      <c r="CL33" s="1753" t="str" cm="1">
        <f t="array" ref="CL33">IF($CG33="","",IF(INDEX($D$6:$CB$53,MATCH($CG33,$B$6:$B$53,0),COLUMN()-COLUMN($CI$5)+1)&gt;0,INDEX($D$6:$CB$53,MATCH($CG33,$B$6:$B$53,0),COLUMN()-COLUMN($CI$5)+1),""))</f>
        <v/>
      </c>
      <c r="CM33" s="1753" t="str" cm="1">
        <f t="array" ref="CM33">IF($CG33="","",IF(INDEX($D$6:$CB$53,MATCH($CG33,$B$6:$B$53,0),COLUMN()-COLUMN($CI$5)+1)&gt;0,INDEX($D$6:$CB$53,MATCH($CG33,$B$6:$B$53,0),COLUMN()-COLUMN($CI$5)+1),""))</f>
        <v/>
      </c>
      <c r="CN33" s="1753" t="str" cm="1">
        <f t="array" ref="CN33">IF($CG33="","",IF(INDEX($D$6:$CB$53,MATCH($CG33,$B$6:$B$53,0),COLUMN()-COLUMN($CI$5)+1)&gt;0,INDEX($D$6:$CB$53,MATCH($CG33,$B$6:$B$53,0),COLUMN()-COLUMN($CI$5)+1),""))</f>
        <v/>
      </c>
      <c r="CO33" s="1753" t="str" cm="1">
        <f t="array" ref="CO33">IF($CG33="","",IF(INDEX($D$6:$CB$53,MATCH($CG33,$B$6:$B$53,0),COLUMN()-COLUMN($CI$5)+1)&gt;0,INDEX($D$6:$CB$53,MATCH($CG33,$B$6:$B$53,0),COLUMN()-COLUMN($CI$5)+1),""))</f>
        <v/>
      </c>
      <c r="CP33" s="1753" t="str" cm="1">
        <f t="array" ref="CP33">IF($CG33="","",IF(INDEX($D$6:$CB$53,MATCH($CG33,$B$6:$B$53,0),COLUMN()-COLUMN($CI$5)+1)&gt;0,INDEX($D$6:$CB$53,MATCH($CG33,$B$6:$B$53,0),COLUMN()-COLUMN($CI$5)+1),""))</f>
        <v/>
      </c>
      <c r="CQ33" s="1753" t="str" cm="1">
        <f t="array" ref="CQ33">IF($CG33="","",IF(INDEX($D$6:$CB$53,MATCH($CG33,$B$6:$B$53,0),COLUMN()-COLUMN($CI$5)+1)&gt;0,INDEX($D$6:$CB$53,MATCH($CG33,$B$6:$B$53,0),COLUMN()-COLUMN($CI$5)+1),""))</f>
        <v/>
      </c>
      <c r="CR33" s="1753" t="str" cm="1">
        <f t="array" ref="CR33">IF($CG33="","",IF(INDEX($D$6:$CB$53,MATCH($CG33,$B$6:$B$53,0),COLUMN()-COLUMN($CI$5)+1)&gt;0,INDEX($D$6:$CB$53,MATCH($CG33,$B$6:$B$53,0),COLUMN()-COLUMN($CI$5)+1),""))</f>
        <v/>
      </c>
      <c r="CS33" s="1753" t="str" cm="1">
        <f t="array" ref="CS33">IF($CG33="","",IF(INDEX($D$6:$CB$53,MATCH($CG33,$B$6:$B$53,0),COLUMN()-COLUMN($CI$5)+1)&gt;0,INDEX($D$6:$CB$53,MATCH($CG33,$B$6:$B$53,0),COLUMN()-COLUMN($CI$5)+1),""))</f>
        <v/>
      </c>
      <c r="CT33" s="1753" t="str" cm="1">
        <f t="array" ref="CT33">IF($CG33="","",IF(INDEX($D$6:$CB$53,MATCH($CG33,$B$6:$B$53,0),COLUMN()-COLUMN($CI$5)+1)&gt;0,INDEX($D$6:$CB$53,MATCH($CG33,$B$6:$B$53,0),COLUMN()-COLUMN($CI$5)+1),""))</f>
        <v/>
      </c>
      <c r="CU33" s="1753" t="str" cm="1">
        <f t="array" ref="CU33">IF($CG33="","",IF(INDEX($D$6:$CB$53,MATCH($CG33,$B$6:$B$53,0),COLUMN()-COLUMN($CI$5)+1)&gt;0,INDEX($D$6:$CB$53,MATCH($CG33,$B$6:$B$53,0),COLUMN()-COLUMN($CI$5)+1),""))</f>
        <v/>
      </c>
      <c r="CV33" s="1753" t="str" cm="1">
        <f t="array" ref="CV33">IF($CG33="","",IF(INDEX($D$6:$CB$53,MATCH($CG33,$B$6:$B$53,0),COLUMN()-COLUMN($CI$5)+1)&gt;0,INDEX($D$6:$CB$53,MATCH($CG33,$B$6:$B$53,0),COLUMN()-COLUMN($CI$5)+1),""))</f>
        <v/>
      </c>
      <c r="CW33" s="1753" t="str" cm="1">
        <f t="array" ref="CW33">IF($CG33="","",IF(INDEX($D$6:$CB$53,MATCH($CG33,$B$6:$B$53,0),COLUMN()-COLUMN($CI$5)+1)&gt;0,INDEX($D$6:$CB$53,MATCH($CG33,$B$6:$B$53,0),COLUMN()-COLUMN($CI$5)+1),""))</f>
        <v/>
      </c>
      <c r="CX33" s="1753" t="str" cm="1">
        <f t="array" ref="CX33">IF($CG33="","",IF(INDEX($D$6:$CB$53,MATCH($CG33,$B$6:$B$53,0),COLUMN()-COLUMN($CI$5)+1)&gt;0,INDEX($D$6:$CB$53,MATCH($CG33,$B$6:$B$53,0),COLUMN()-COLUMN($CI$5)+1),""))</f>
        <v/>
      </c>
      <c r="CY33" s="1753" t="str" cm="1">
        <f t="array" ref="CY33">IF($CG33="","",IF(INDEX($D$6:$CB$53,MATCH($CG33,$B$6:$B$53,0),COLUMN()-COLUMN($CI$5)+1)&gt;0,INDEX($D$6:$CB$53,MATCH($CG33,$B$6:$B$53,0),COLUMN()-COLUMN($CI$5)+1),""))</f>
        <v/>
      </c>
      <c r="CZ33" s="1753" t="str" cm="1">
        <f t="array" ref="CZ33">IF($CG33="","",IF(INDEX($D$6:$CB$53,MATCH($CG33,$B$6:$B$53,0),COLUMN()-COLUMN($CI$5)+1)&gt;0,INDEX($D$6:$CB$53,MATCH($CG33,$B$6:$B$53,0),COLUMN()-COLUMN($CI$5)+1),""))</f>
        <v/>
      </c>
      <c r="DA33" s="1753" t="str" cm="1">
        <f t="array" ref="DA33">IF($CG33="","",IF(INDEX($D$6:$CB$53,MATCH($CG33,$B$6:$B$53,0),COLUMN()-COLUMN($CI$5)+1)&gt;0,INDEX($D$6:$CB$53,MATCH($CG33,$B$6:$B$53,0),COLUMN()-COLUMN($CI$5)+1),""))</f>
        <v/>
      </c>
      <c r="DB33" s="1753" t="str" cm="1">
        <f t="array" ref="DB33">IF($CG33="","",IF(INDEX($D$6:$CB$53,MATCH($CG33,$B$6:$B$53,0),COLUMN()-COLUMN($CI$5)+1)&gt;0,INDEX($D$6:$CB$53,MATCH($CG33,$B$6:$B$53,0),COLUMN()-COLUMN($CI$5)+1),""))</f>
        <v/>
      </c>
      <c r="DC33" s="1753" t="str" cm="1">
        <f t="array" ref="DC33">IF($CG33="","",IF(INDEX($D$6:$CB$53,MATCH($CG33,$B$6:$B$53,0),COLUMN()-COLUMN($CI$5)+1)&gt;0,INDEX($D$6:$CB$53,MATCH($CG33,$B$6:$B$53,0),COLUMN()-COLUMN($CI$5)+1),""))</f>
        <v/>
      </c>
      <c r="DD33" s="1753" t="str" cm="1">
        <f t="array" ref="DD33">IF($CG33="","",IF(INDEX($D$6:$CB$53,MATCH($CG33,$B$6:$B$53,0),COLUMN()-COLUMN($CI$5)+1)&gt;0,INDEX($D$6:$CB$53,MATCH($CG33,$B$6:$B$53,0),COLUMN()-COLUMN($CI$5)+1),""))</f>
        <v/>
      </c>
      <c r="DE33" s="1753" t="str" cm="1">
        <f t="array" ref="DE33">IF($CG33="","",IF(INDEX($D$6:$CB$53,MATCH($CG33,$B$6:$B$53,0),COLUMN()-COLUMN($CI$5)+1)&gt;0,INDEX($D$6:$CB$53,MATCH($CG33,$B$6:$B$53,0),COLUMN()-COLUMN($CI$5)+1),""))</f>
        <v/>
      </c>
      <c r="DF33" s="1753" t="str" cm="1">
        <f t="array" ref="DF33">IF($CG33="","",IF(INDEX($D$6:$CB$53,MATCH($CG33,$B$6:$B$53,0),COLUMN()-COLUMN($CI$5)+1)&gt;0,INDEX($D$6:$CB$53,MATCH($CG33,$B$6:$B$53,0),COLUMN()-COLUMN($CI$5)+1),""))</f>
        <v/>
      </c>
      <c r="DG33" s="1753" t="str" cm="1">
        <f t="array" ref="DG33">IF($CG33="","",IF(INDEX($D$6:$CB$53,MATCH($CG33,$B$6:$B$53,0),COLUMN()-COLUMN($CI$5)+1)&gt;0,INDEX($D$6:$CB$53,MATCH($CG33,$B$6:$B$53,0),COLUMN()-COLUMN($CI$5)+1),""))</f>
        <v/>
      </c>
      <c r="DH33" s="1753" t="str" cm="1">
        <f t="array" ref="DH33">IF($CG33="","",IF(INDEX($D$6:$CB$53,MATCH($CG33,$B$6:$B$53,0),COLUMN()-COLUMN($CI$5)+1)&gt;0,INDEX($D$6:$CB$53,MATCH($CG33,$B$6:$B$53,0),COLUMN()-COLUMN($CI$5)+1),""))</f>
        <v/>
      </c>
      <c r="DI33" s="1753" t="str" cm="1">
        <f t="array" ref="DI33">IF($CG33="","",IF(INDEX($D$6:$CB$53,MATCH($CG33,$B$6:$B$53,0),COLUMN()-COLUMN($CI$5)+1)&gt;0,INDEX($D$6:$CB$53,MATCH($CG33,$B$6:$B$53,0),COLUMN()-COLUMN($CI$5)+1),""))</f>
        <v/>
      </c>
      <c r="DJ33" s="1753" t="str" cm="1">
        <f t="array" ref="DJ33">IF($CG33="","",IF(INDEX($D$6:$CB$53,MATCH($CG33,$B$6:$B$53,0),COLUMN()-COLUMN($CI$5)+1)&gt;0,INDEX($D$6:$CB$53,MATCH($CG33,$B$6:$B$53,0),COLUMN()-COLUMN($CI$5)+1),""))</f>
        <v/>
      </c>
      <c r="DK33" s="1753" t="str" cm="1">
        <f t="array" ref="DK33">IF($CG33="","",IF(INDEX($D$6:$CB$53,MATCH($CG33,$B$6:$B$53,0),COLUMN()-COLUMN($CI$5)+1)&gt;0,INDEX($D$6:$CB$53,MATCH($CG33,$B$6:$B$53,0),COLUMN()-COLUMN($CI$5)+1),""))</f>
        <v/>
      </c>
      <c r="DL33" s="1753" t="str" cm="1">
        <f t="array" ref="DL33">IF($CG33="","",IF(INDEX($D$6:$CB$53,MATCH($CG33,$B$6:$B$53,0),COLUMN()-COLUMN($CI$5)+1)&gt;0,INDEX($D$6:$CB$53,MATCH($CG33,$B$6:$B$53,0),COLUMN()-COLUMN($CI$5)+1),""))</f>
        <v/>
      </c>
      <c r="DM33" s="1753" t="str" cm="1">
        <f t="array" ref="DM33">IF($CG33="","",IF(INDEX($D$6:$CB$53,MATCH($CG33,$B$6:$B$53,0),COLUMN()-COLUMN($CI$5)+1)&gt;0,INDEX($D$6:$CB$53,MATCH($CG33,$B$6:$B$53,0),COLUMN()-COLUMN($CI$5)+1),""))</f>
        <v/>
      </c>
      <c r="DN33" s="1753" t="str" cm="1">
        <f t="array" ref="DN33">IF($CG33="","",IF(INDEX($D$6:$CB$53,MATCH($CG33,$B$6:$B$53,0),COLUMN()-COLUMN($CI$5)+1)&gt;0,INDEX($D$6:$CB$53,MATCH($CG33,$B$6:$B$53,0),COLUMN()-COLUMN($CI$5)+1),""))</f>
        <v/>
      </c>
      <c r="DO33" s="1753" t="str" cm="1">
        <f t="array" ref="DO33">IF($CG33="","",IF(INDEX($D$6:$CB$53,MATCH($CG33,$B$6:$B$53,0),COLUMN()-COLUMN($CI$5)+1)&gt;0,INDEX($D$6:$CB$53,MATCH($CG33,$B$6:$B$53,0),COLUMN()-COLUMN($CI$5)+1),""))</f>
        <v/>
      </c>
      <c r="DP33" s="1753" t="str" cm="1">
        <f t="array" ref="DP33">IF($CG33="","",IF(INDEX($D$6:$CB$53,MATCH($CG33,$B$6:$B$53,0),COLUMN()-COLUMN($CI$5)+1)&gt;0,INDEX($D$6:$CB$53,MATCH($CG33,$B$6:$B$53,0),COLUMN()-COLUMN($CI$5)+1),""))</f>
        <v/>
      </c>
      <c r="DQ33" s="1753" t="str" cm="1">
        <f t="array" ref="DQ33">IF($CG33="","",IF(INDEX($D$6:$CB$53,MATCH($CG33,$B$6:$B$53,0),COLUMN()-COLUMN($CI$5)+1)&gt;0,INDEX($D$6:$CB$53,MATCH($CG33,$B$6:$B$53,0),COLUMN()-COLUMN($CI$5)+1),""))</f>
        <v/>
      </c>
      <c r="DR33" s="1753" t="str" cm="1">
        <f t="array" ref="DR33">IF($CG33="","",IF(INDEX($D$6:$CB$53,MATCH($CG33,$B$6:$B$53,0),COLUMN()-COLUMN($CI$5)+1)&gt;0,INDEX($D$6:$CB$53,MATCH($CG33,$B$6:$B$53,0),COLUMN()-COLUMN($CI$5)+1),""))</f>
        <v/>
      </c>
      <c r="DS33" s="1753" t="str" cm="1">
        <f t="array" ref="DS33">IF($CG33="","",IF(INDEX($D$6:$CB$53,MATCH($CG33,$B$6:$B$53,0),COLUMN()-COLUMN($CI$5)+1)&gt;0,INDEX($D$6:$CB$53,MATCH($CG33,$B$6:$B$53,0),COLUMN()-COLUMN($CI$5)+1),""))</f>
        <v/>
      </c>
      <c r="DT33" s="1753" t="str" cm="1">
        <f t="array" ref="DT33">IF($CG33="","",IF(INDEX($D$6:$CB$53,MATCH($CG33,$B$6:$B$53,0),COLUMN()-COLUMN($CI$5)+1)&gt;0,INDEX($D$6:$CB$53,MATCH($CG33,$B$6:$B$53,0),COLUMN()-COLUMN($CI$5)+1),""))</f>
        <v/>
      </c>
      <c r="DU33" s="1753" t="str" cm="1">
        <f t="array" ref="DU33">IF($CG33="","",IF(INDEX($D$6:$CB$53,MATCH($CG33,$B$6:$B$53,0),COLUMN()-COLUMN($CI$5)+1)&gt;0,INDEX($D$6:$CB$53,MATCH($CG33,$B$6:$B$53,0),COLUMN()-COLUMN($CI$5)+1),""))</f>
        <v/>
      </c>
      <c r="DV33" s="1753" t="str" cm="1">
        <f t="array" ref="DV33">IF($CG33="","",IF(INDEX($D$6:$CB$53,MATCH($CG33,$B$6:$B$53,0),COLUMN()-COLUMN($CI$5)+1)&gt;0,INDEX($D$6:$CB$53,MATCH($CG33,$B$6:$B$53,0),COLUMN()-COLUMN($CI$5)+1),""))</f>
        <v/>
      </c>
      <c r="DW33" s="1753" t="str" cm="1">
        <f t="array" ref="DW33">IF($CG33="","",IF(INDEX($D$6:$CB$53,MATCH($CG33,$B$6:$B$53,0),COLUMN()-COLUMN($CI$5)+1)&gt;0,INDEX($D$6:$CB$53,MATCH($CG33,$B$6:$B$53,0),COLUMN()-COLUMN($CI$5)+1),""))</f>
        <v/>
      </c>
      <c r="DX33" s="1753" t="str" cm="1">
        <f t="array" ref="DX33">IF($CG33="","",IF(INDEX($D$6:$CB$53,MATCH($CG33,$B$6:$B$53,0),COLUMN()-COLUMN($CI$5)+1)&gt;0,INDEX($D$6:$CB$53,MATCH($CG33,$B$6:$B$53,0),COLUMN()-COLUMN($CI$5)+1),""))</f>
        <v/>
      </c>
      <c r="DY33" s="1753" t="str" cm="1">
        <f t="array" ref="DY33">IF($CG33="","",IF(INDEX($D$6:$CB$53,MATCH($CG33,$B$6:$B$53,0),COLUMN()-COLUMN($CI$5)+1)&gt;0,INDEX($D$6:$CB$53,MATCH($CG33,$B$6:$B$53,0),COLUMN()-COLUMN($CI$5)+1),""))</f>
        <v/>
      </c>
      <c r="DZ33" s="1753" t="str" cm="1">
        <f t="array" ref="DZ33">IF($CG33="","",IF(INDEX($D$6:$CB$53,MATCH($CG33,$B$6:$B$53,0),COLUMN()-COLUMN($CI$5)+1)&gt;0,INDEX($D$6:$CB$53,MATCH($CG33,$B$6:$B$53,0),COLUMN()-COLUMN($CI$5)+1),""))</f>
        <v/>
      </c>
      <c r="EA33" s="1753" t="str" cm="1">
        <f t="array" ref="EA33">IF($CG33="","",IF(INDEX($D$6:$CB$53,MATCH($CG33,$B$6:$B$53,0),COLUMN()-COLUMN($CI$5)+1)&gt;0,INDEX($D$6:$CB$53,MATCH($CG33,$B$6:$B$53,0),COLUMN()-COLUMN($CI$5)+1),""))</f>
        <v/>
      </c>
      <c r="EB33" s="1753" t="str" cm="1">
        <f t="array" ref="EB33">IF($CG33="","",IF(INDEX($D$6:$CB$53,MATCH($CG33,$B$6:$B$53,0),COLUMN()-COLUMN($CI$5)+1)&gt;0,INDEX($D$6:$CB$53,MATCH($CG33,$B$6:$B$53,0),COLUMN()-COLUMN($CI$5)+1),""))</f>
        <v/>
      </c>
      <c r="EC33" s="1753" t="str" cm="1">
        <f t="array" ref="EC33">IF($CG33="","",IF(INDEX($D$6:$CB$53,MATCH($CG33,$B$6:$B$53,0),COLUMN()-COLUMN($CI$5)+1)&gt;0,INDEX($D$6:$CB$53,MATCH($CG33,$B$6:$B$53,0),COLUMN()-COLUMN($CI$5)+1),""))</f>
        <v/>
      </c>
      <c r="ED33" s="1753" t="str" cm="1">
        <f t="array" ref="ED33">IF($CG33="","",IF(INDEX($D$6:$CB$53,MATCH($CG33,$B$6:$B$53,0),COLUMN()-COLUMN($CI$5)+1)&gt;0,INDEX($D$6:$CB$53,MATCH($CG33,$B$6:$B$53,0),COLUMN()-COLUMN($CI$5)+1),""))</f>
        <v/>
      </c>
      <c r="EE33" s="1753" t="str" cm="1">
        <f t="array" ref="EE33">IF($CG33="","",IF(INDEX($D$6:$CB$53,MATCH($CG33,$B$6:$B$53,0),COLUMN()-COLUMN($CI$5)+1)&gt;0,INDEX($D$6:$CB$53,MATCH($CG33,$B$6:$B$53,0),COLUMN()-COLUMN($CI$5)+1),""))</f>
        <v/>
      </c>
      <c r="EF33" s="1753" t="str" cm="1">
        <f t="array" ref="EF33">IF($CG33="","",IF(INDEX($D$6:$CB$53,MATCH($CG33,$B$6:$B$53,0),COLUMN()-COLUMN($CI$5)+1)&gt;0,INDEX($D$6:$CB$53,MATCH($CG33,$B$6:$B$53,0),COLUMN()-COLUMN($CI$5)+1),""))</f>
        <v/>
      </c>
      <c r="EG33" s="1753" t="str" cm="1">
        <f t="array" ref="EG33">IF($CG33="","",IF(INDEX($D$6:$CB$53,MATCH($CG33,$B$6:$B$53,0),COLUMN()-COLUMN($CI$5)+1)&gt;0,INDEX($D$6:$CB$53,MATCH($CG33,$B$6:$B$53,0),COLUMN()-COLUMN($CI$5)+1),""))</f>
        <v/>
      </c>
      <c r="EH33" s="1753" t="str" cm="1">
        <f t="array" ref="EH33">IF($CG33="","",IF(INDEX($D$6:$CB$53,MATCH($CG33,$B$6:$B$53,0),COLUMN()-COLUMN($CI$5)+1)&gt;0,INDEX($D$6:$CB$53,MATCH($CG33,$B$6:$B$53,0),COLUMN()-COLUMN($CI$5)+1),""))</f>
        <v/>
      </c>
      <c r="EI33" s="1753" t="str" cm="1">
        <f t="array" ref="EI33">IF($CG33="","",IF(INDEX($D$6:$CB$53,MATCH($CG33,$B$6:$B$53,0),COLUMN()-COLUMN($CI$5)+1)&gt;0,INDEX($D$6:$CB$53,MATCH($CG33,$B$6:$B$53,0),COLUMN()-COLUMN($CI$5)+1),""))</f>
        <v/>
      </c>
      <c r="EJ33" s="1753" t="str" cm="1">
        <f t="array" ref="EJ33">IF($CG33="","",IF(INDEX($D$6:$CB$53,MATCH($CG33,$B$6:$B$53,0),COLUMN()-COLUMN($CI$5)+1)&gt;0,INDEX($D$6:$CB$53,MATCH($CG33,$B$6:$B$53,0),COLUMN()-COLUMN($CI$5)+1),""))</f>
        <v/>
      </c>
      <c r="EK33" s="1753" t="str" cm="1">
        <f t="array" ref="EK33">IF($CG33="","",IF(INDEX($D$6:$CB$53,MATCH($CG33,$B$6:$B$53,0),COLUMN()-COLUMN($CI$5)+1)&gt;0,INDEX($D$6:$CB$53,MATCH($CG33,$B$6:$B$53,0),COLUMN()-COLUMN($CI$5)+1),""))</f>
        <v/>
      </c>
      <c r="EL33" s="1753" t="str" cm="1">
        <f t="array" ref="EL33">IF($CG33="","",IF(INDEX($D$6:$CB$53,MATCH($CG33,$B$6:$B$53,0),COLUMN()-COLUMN($CI$5)+1)&gt;0,INDEX($D$6:$CB$53,MATCH($CG33,$B$6:$B$53,0),COLUMN()-COLUMN($CI$5)+1),""))</f>
        <v/>
      </c>
      <c r="EM33" s="1753" t="str" cm="1">
        <f t="array" ref="EM33">IF($CG33="","",IF(INDEX($D$6:$CB$53,MATCH($CG33,$B$6:$B$53,0),COLUMN()-COLUMN($CI$5)+1)&gt;0,INDEX($D$6:$CB$53,MATCH($CG33,$B$6:$B$53,0),COLUMN()-COLUMN($CI$5)+1),""))</f>
        <v/>
      </c>
      <c r="EN33" s="1753" t="str" cm="1">
        <f t="array" ref="EN33">IF($CG33="","",IF(INDEX($D$6:$CB$53,MATCH($CG33,$B$6:$B$53,0),COLUMN()-COLUMN($CI$5)+1)&gt;0,INDEX($D$6:$CB$53,MATCH($CG33,$B$6:$B$53,0),COLUMN()-COLUMN($CI$5)+1),""))</f>
        <v/>
      </c>
      <c r="EO33" s="1753" t="str" cm="1">
        <f t="array" ref="EO33">IF($CG33="","",IF(INDEX($D$6:$CB$53,MATCH($CG33,$B$6:$B$53,0),COLUMN()-COLUMN($CI$5)+1)&gt;0,INDEX($D$6:$CB$53,MATCH($CG33,$B$6:$B$53,0),COLUMN()-COLUMN($CI$5)+1),""))</f>
        <v/>
      </c>
      <c r="EP33" s="1753" t="str" cm="1">
        <f t="array" ref="EP33">IF($CG33="","",IF(INDEX($D$6:$CB$53,MATCH($CG33,$B$6:$B$53,0),COLUMN()-COLUMN($CI$5)+1)&gt;0,INDEX($D$6:$CB$53,MATCH($CG33,$B$6:$B$53,0),COLUMN()-COLUMN($CI$5)+1),""))</f>
        <v/>
      </c>
      <c r="EQ33" s="1753" t="str" cm="1">
        <f t="array" ref="EQ33">IF($CG33="","",IF(INDEX($D$6:$CB$53,MATCH($CG33,$B$6:$B$53,0),COLUMN()-COLUMN($CI$5)+1)&gt;0,INDEX($D$6:$CB$53,MATCH($CG33,$B$6:$B$53,0),COLUMN()-COLUMN($CI$5)+1),""))</f>
        <v/>
      </c>
      <c r="ER33" s="1753" t="str" cm="1">
        <f t="array" ref="ER33">IF($CG33="","",IF(INDEX($D$6:$CB$53,MATCH($CG33,$B$6:$B$53,0),COLUMN()-COLUMN($CI$5)+1)&gt;0,INDEX($D$6:$CB$53,MATCH($CG33,$B$6:$B$53,0),COLUMN()-COLUMN($CI$5)+1),""))</f>
        <v/>
      </c>
      <c r="ES33" s="1753" t="str" cm="1">
        <f t="array" ref="ES33">IF($CG33="","",IF(INDEX($D$6:$CB$53,MATCH($CG33,$B$6:$B$53,0),COLUMN()-COLUMN($CI$5)+1)&gt;0,INDEX($D$6:$CB$53,MATCH($CG33,$B$6:$B$53,0),COLUMN()-COLUMN($CI$5)+1),""))</f>
        <v/>
      </c>
      <c r="ET33" s="1753" t="str" cm="1">
        <f t="array" ref="ET33">IF($CG33="","",IF(INDEX($D$6:$CB$53,MATCH($CG33,$B$6:$B$53,0),COLUMN()-COLUMN($CI$5)+1)&gt;0,INDEX($D$6:$CB$53,MATCH($CG33,$B$6:$B$53,0),COLUMN()-COLUMN($CI$5)+1),""))</f>
        <v/>
      </c>
      <c r="EU33" s="1753" t="str" cm="1">
        <f t="array" ref="EU33">IF($CG33="","",IF(INDEX($D$6:$CB$53,MATCH($CG33,$B$6:$B$53,0),COLUMN()-COLUMN($CI$5)+1)&gt;0,INDEX($D$6:$CB$53,MATCH($CG33,$B$6:$B$53,0),COLUMN()-COLUMN($CI$5)+1),""))</f>
        <v/>
      </c>
      <c r="EV33" s="1753" t="str" cm="1">
        <f t="array" ref="EV33">IF($CG33="","",IF(INDEX($D$6:$CB$53,MATCH($CG33,$B$6:$B$53,0),COLUMN()-COLUMN($CI$5)+1)&gt;0,INDEX($D$6:$CB$53,MATCH($CG33,$B$6:$B$53,0),COLUMN()-COLUMN($CI$5)+1),""))</f>
        <v/>
      </c>
      <c r="EW33" s="1753" t="str" cm="1">
        <f t="array" ref="EW33">IF($CG33="","",IF(INDEX($D$6:$CB$53,MATCH($CG33,$B$6:$B$53,0),COLUMN()-COLUMN($CI$5)+1)&gt;0,INDEX($D$6:$CB$53,MATCH($CG33,$B$6:$B$53,0),COLUMN()-COLUMN($CI$5)+1),""))</f>
        <v/>
      </c>
      <c r="EX33" s="1753" t="str" cm="1">
        <f t="array" ref="EX33">IF($CG33="","",IF(INDEX($D$6:$CB$53,MATCH($CG33,$B$6:$B$53,0),COLUMN()-COLUMN($CI$5)+1)&gt;0,INDEX($D$6:$CB$53,MATCH($CG33,$B$6:$B$53,0),COLUMN()-COLUMN($CI$5)+1),""))</f>
        <v/>
      </c>
      <c r="EY33" s="1753" t="str" cm="1">
        <f t="array" ref="EY33">IF($CG33="","",IF(INDEX($D$6:$CB$53,MATCH($CG33,$B$6:$B$53,0),COLUMN()-COLUMN($CI$5)+1)&gt;0,INDEX($D$6:$CB$53,MATCH($CG33,$B$6:$B$53,0),COLUMN()-COLUMN($CI$5)+1),""))</f>
        <v/>
      </c>
      <c r="EZ33" s="1753" t="str" cm="1">
        <f t="array" ref="EZ33">IF($CG33="","",IF(INDEX($D$6:$CB$53,MATCH($CG33,$B$6:$B$53,0),COLUMN()-COLUMN($CI$5)+1)&gt;0,INDEX($D$6:$CB$53,MATCH($CG33,$B$6:$B$53,0),COLUMN()-COLUMN($CI$5)+1),""))</f>
        <v/>
      </c>
      <c r="FA33" s="1753" t="str" cm="1">
        <f t="array" ref="FA33">IF($CG33="","",IF(INDEX($D$6:$CB$53,MATCH($CG33,$B$6:$B$53,0),COLUMN()-COLUMN($CI$5)+1)&gt;0,INDEX($D$6:$CB$53,MATCH($CG33,$B$6:$B$53,0),COLUMN()-COLUMN($CI$5)+1),""))</f>
        <v/>
      </c>
      <c r="FB33" s="1753" t="str" cm="1">
        <f t="array" ref="FB33">IF($CG33="","",IF(INDEX($D$6:$CB$53,MATCH($CG33,$B$6:$B$53,0),COLUMN()-COLUMN($CI$5)+1)&gt;0,INDEX($D$6:$CB$53,MATCH($CG33,$B$6:$B$53,0),COLUMN()-COLUMN($CI$5)+1),""))</f>
        <v/>
      </c>
      <c r="FC33" s="1753" t="str" cm="1">
        <f t="array" ref="FC33">IF($CG33="","",IF(INDEX($D$6:$CB$53,MATCH($CG33,$B$6:$B$53,0),COLUMN()-COLUMN($CI$5)+1)&gt;0,INDEX($D$6:$CB$53,MATCH($CG33,$B$6:$B$53,0),COLUMN()-COLUMN($CI$5)+1),""))</f>
        <v/>
      </c>
      <c r="FD33" s="1753" t="str" cm="1">
        <f t="array" ref="FD33">IF($CG33="","",IF(INDEX($D$6:$CB$53,MATCH($CG33,$B$6:$B$53,0),COLUMN()-COLUMN($CI$5)+1)&gt;0,INDEX($D$6:$CB$53,MATCH($CG33,$B$6:$B$53,0),COLUMN()-COLUMN($CI$5)+1),""))</f>
        <v/>
      </c>
      <c r="FE33" s="1753" t="str" cm="1">
        <f t="array" ref="FE33">IF($CG33="","",IF(INDEX($D$6:$CB$53,MATCH($CG33,$B$6:$B$53,0),COLUMN()-COLUMN($CI$5)+1)&gt;0,INDEX($D$6:$CB$53,MATCH($CG33,$B$6:$B$53,0),COLUMN()-COLUMN($CI$5)+1),""))</f>
        <v/>
      </c>
      <c r="FF33" s="1753" t="str" cm="1">
        <f t="array" ref="FF33">IF($CG33="","",IF(INDEX($D$6:$CB$53,MATCH($CG33,$B$6:$B$53,0),COLUMN()-COLUMN($CI$5)+1)&gt;0,INDEX($D$6:$CB$53,MATCH($CG33,$B$6:$B$53,0),COLUMN()-COLUMN($CI$5)+1),""))</f>
        <v/>
      </c>
      <c r="FG33" s="1753" t="str" cm="1">
        <f t="array" ref="FG33">IF($CG33="","",IF(INDEX($D$6:$CB$53,MATCH($CG33,$B$6:$B$53,0),COLUMN()-COLUMN($CI$5)+1)&gt;0,INDEX($D$6:$CB$53,MATCH($CG33,$B$6:$B$53,0),COLUMN()-COLUMN($CI$5)+1),""))</f>
        <v/>
      </c>
      <c r="FH33" s="1753" t="str">
        <f t="shared" si="4"/>
        <v/>
      </c>
      <c r="FI33" s="1753" t="str">
        <f t="shared" si="5"/>
        <v/>
      </c>
      <c r="FJ33" s="1753" t="str">
        <f t="shared" si="6"/>
        <v/>
      </c>
      <c r="FK33" s="1753"/>
    </row>
    <row r="34" spans="1:167" ht="15.75" customHeight="1">
      <c r="A34" s="1220"/>
      <c r="B34" s="1278">
        <f>+PP!B52</f>
        <v>29</v>
      </c>
      <c r="C34" s="1279" t="str">
        <f>+PP!C52</f>
        <v>NUCA C/C ABIERTO 500-1000 g/pza</v>
      </c>
      <c r="D34" s="1404"/>
      <c r="E34" s="1405"/>
      <c r="F34" s="1405"/>
      <c r="G34" s="1405"/>
      <c r="H34" s="1405"/>
      <c r="I34" s="1405"/>
      <c r="J34" s="1405"/>
      <c r="K34" s="1405"/>
      <c r="L34" s="1405"/>
      <c r="M34" s="1405"/>
      <c r="N34" s="1405"/>
      <c r="O34" s="1405"/>
      <c r="P34" s="1405"/>
      <c r="Q34" s="1405"/>
      <c r="R34" s="1405"/>
      <c r="S34" s="1405"/>
      <c r="T34" s="1405"/>
      <c r="U34" s="1405"/>
      <c r="V34" s="1405"/>
      <c r="W34" s="1405"/>
      <c r="X34" s="1405"/>
      <c r="Y34" s="1405"/>
      <c r="Z34" s="1405"/>
      <c r="AA34" s="1405"/>
      <c r="AB34" s="1405"/>
      <c r="AC34" s="1405"/>
      <c r="AD34" s="1405"/>
      <c r="AE34" s="1405"/>
      <c r="AF34" s="1405"/>
      <c r="AG34" s="1405"/>
      <c r="AH34" s="1406"/>
      <c r="AI34" s="1235"/>
      <c r="AJ34" s="1235"/>
      <c r="AK34" s="1235"/>
      <c r="AL34" s="1235"/>
      <c r="AM34" s="1235"/>
      <c r="AN34" s="1235"/>
      <c r="AO34" s="1235"/>
      <c r="AP34" s="1218"/>
      <c r="AQ34" s="1218"/>
      <c r="AR34" s="1218"/>
      <c r="AS34" s="1218"/>
      <c r="AT34" s="1218"/>
      <c r="AU34" s="1218"/>
      <c r="AV34" s="1218"/>
      <c r="AW34" s="1218"/>
      <c r="AX34" s="1218"/>
      <c r="AY34" s="1218"/>
      <c r="AZ34" s="1218"/>
      <c r="BA34" s="1218"/>
      <c r="BB34" s="1218"/>
      <c r="BC34" s="1218"/>
      <c r="BD34" s="1218"/>
      <c r="BE34" s="1218"/>
      <c r="BF34" s="1218"/>
      <c r="BG34" s="1218"/>
      <c r="BH34" s="1218"/>
      <c r="BI34" s="1218"/>
      <c r="BJ34" s="1218"/>
      <c r="BK34" s="1218"/>
      <c r="BL34" s="1218"/>
      <c r="BM34" s="1218"/>
      <c r="BN34" s="1218"/>
      <c r="BO34" s="1218"/>
      <c r="BP34" s="1218"/>
      <c r="BQ34" s="1218"/>
      <c r="BR34" s="1557"/>
      <c r="BS34" s="1557"/>
      <c r="BT34" s="1557"/>
      <c r="BU34" s="1557"/>
      <c r="BV34" s="1557"/>
      <c r="BW34" s="1557"/>
      <c r="BX34" s="1557"/>
      <c r="BY34" s="1557"/>
      <c r="BZ34" s="1557"/>
      <c r="CA34" s="1557"/>
      <c r="CB34" s="1564"/>
      <c r="CC34" s="1550">
        <f t="shared" si="0"/>
        <v>0</v>
      </c>
      <c r="CD34" s="1236">
        <f t="shared" si="1"/>
        <v>0</v>
      </c>
      <c r="CE34" s="1237">
        <f t="shared" si="2"/>
        <v>0</v>
      </c>
      <c r="CF34" s="1220"/>
      <c r="CG34" s="1751" t="str" cm="1">
        <f t="array" ref="CG34">IFERROR(INDEX($B$6:$B$53,_xlfn.AGGREGATE(15,6,(ROW($B$6:$B$53)-ROW($B$6)+1)/(MMULT(--($D$6:$CB$53&gt;0),TRANSPOSE(COLUMN($D$6:$CB$6)^0))&gt;0),ROWS($CG$6:CG34))),"")</f>
        <v/>
      </c>
      <c r="CH34" s="1752" t="str">
        <f t="shared" si="3"/>
        <v/>
      </c>
      <c r="CI34" s="1753" t="str" cm="1">
        <f t="array" ref="CI34">IF($CG34="","",IF(INDEX($D$6:$CB$53,MATCH($CG34,$B$6:$B$53,0),COLUMN()-COLUMN($CI$5)+1)&gt;0,INDEX($D$6:$CB$53,MATCH($CG34,$B$6:$B$53,0),COLUMN()-COLUMN($CI$5)+1),""))</f>
        <v/>
      </c>
      <c r="CJ34" s="1753" t="str" cm="1">
        <f t="array" ref="CJ34">IF($CG34="","",IF(INDEX($D$6:$CB$53,MATCH($CG34,$B$6:$B$53,0),COLUMN()-COLUMN($CI$5)+1)&gt;0,INDEX($D$6:$CB$53,MATCH($CG34,$B$6:$B$53,0),COLUMN()-COLUMN($CI$5)+1),""))</f>
        <v/>
      </c>
      <c r="CK34" s="1753" t="str" cm="1">
        <f t="array" ref="CK34">IF($CG34="","",IF(INDEX($D$6:$CB$53,MATCH($CG34,$B$6:$B$53,0),COLUMN()-COLUMN($CI$5)+1)&gt;0,INDEX($D$6:$CB$53,MATCH($CG34,$B$6:$B$53,0),COLUMN()-COLUMN($CI$5)+1),""))</f>
        <v/>
      </c>
      <c r="CL34" s="1753" t="str" cm="1">
        <f t="array" ref="CL34">IF($CG34="","",IF(INDEX($D$6:$CB$53,MATCH($CG34,$B$6:$B$53,0),COLUMN()-COLUMN($CI$5)+1)&gt;0,INDEX($D$6:$CB$53,MATCH($CG34,$B$6:$B$53,0),COLUMN()-COLUMN($CI$5)+1),""))</f>
        <v/>
      </c>
      <c r="CM34" s="1753" t="str" cm="1">
        <f t="array" ref="CM34">IF($CG34="","",IF(INDEX($D$6:$CB$53,MATCH($CG34,$B$6:$B$53,0),COLUMN()-COLUMN($CI$5)+1)&gt;0,INDEX($D$6:$CB$53,MATCH($CG34,$B$6:$B$53,0),COLUMN()-COLUMN($CI$5)+1),""))</f>
        <v/>
      </c>
      <c r="CN34" s="1753" t="str" cm="1">
        <f t="array" ref="CN34">IF($CG34="","",IF(INDEX($D$6:$CB$53,MATCH($CG34,$B$6:$B$53,0),COLUMN()-COLUMN($CI$5)+1)&gt;0,INDEX($D$6:$CB$53,MATCH($CG34,$B$6:$B$53,0),COLUMN()-COLUMN($CI$5)+1),""))</f>
        <v/>
      </c>
      <c r="CO34" s="1753" t="str" cm="1">
        <f t="array" ref="CO34">IF($CG34="","",IF(INDEX($D$6:$CB$53,MATCH($CG34,$B$6:$B$53,0),COLUMN()-COLUMN($CI$5)+1)&gt;0,INDEX($D$6:$CB$53,MATCH($CG34,$B$6:$B$53,0),COLUMN()-COLUMN($CI$5)+1),""))</f>
        <v/>
      </c>
      <c r="CP34" s="1753" t="str" cm="1">
        <f t="array" ref="CP34">IF($CG34="","",IF(INDEX($D$6:$CB$53,MATCH($CG34,$B$6:$B$53,0),COLUMN()-COLUMN($CI$5)+1)&gt;0,INDEX($D$6:$CB$53,MATCH($CG34,$B$6:$B$53,0),COLUMN()-COLUMN($CI$5)+1),""))</f>
        <v/>
      </c>
      <c r="CQ34" s="1753" t="str" cm="1">
        <f t="array" ref="CQ34">IF($CG34="","",IF(INDEX($D$6:$CB$53,MATCH($CG34,$B$6:$B$53,0),COLUMN()-COLUMN($CI$5)+1)&gt;0,INDEX($D$6:$CB$53,MATCH($CG34,$B$6:$B$53,0),COLUMN()-COLUMN($CI$5)+1),""))</f>
        <v/>
      </c>
      <c r="CR34" s="1753" t="str" cm="1">
        <f t="array" ref="CR34">IF($CG34="","",IF(INDEX($D$6:$CB$53,MATCH($CG34,$B$6:$B$53,0),COLUMN()-COLUMN($CI$5)+1)&gt;0,INDEX($D$6:$CB$53,MATCH($CG34,$B$6:$B$53,0),COLUMN()-COLUMN($CI$5)+1),""))</f>
        <v/>
      </c>
      <c r="CS34" s="1753" t="str" cm="1">
        <f t="array" ref="CS34">IF($CG34="","",IF(INDEX($D$6:$CB$53,MATCH($CG34,$B$6:$B$53,0),COLUMN()-COLUMN($CI$5)+1)&gt;0,INDEX($D$6:$CB$53,MATCH($CG34,$B$6:$B$53,0),COLUMN()-COLUMN($CI$5)+1),""))</f>
        <v/>
      </c>
      <c r="CT34" s="1753" t="str" cm="1">
        <f t="array" ref="CT34">IF($CG34="","",IF(INDEX($D$6:$CB$53,MATCH($CG34,$B$6:$B$53,0),COLUMN()-COLUMN($CI$5)+1)&gt;0,INDEX($D$6:$CB$53,MATCH($CG34,$B$6:$B$53,0),COLUMN()-COLUMN($CI$5)+1),""))</f>
        <v/>
      </c>
      <c r="CU34" s="1753" t="str" cm="1">
        <f t="array" ref="CU34">IF($CG34="","",IF(INDEX($D$6:$CB$53,MATCH($CG34,$B$6:$B$53,0),COLUMN()-COLUMN($CI$5)+1)&gt;0,INDEX($D$6:$CB$53,MATCH($CG34,$B$6:$B$53,0),COLUMN()-COLUMN($CI$5)+1),""))</f>
        <v/>
      </c>
      <c r="CV34" s="1753" t="str" cm="1">
        <f t="array" ref="CV34">IF($CG34="","",IF(INDEX($D$6:$CB$53,MATCH($CG34,$B$6:$B$53,0),COLUMN()-COLUMN($CI$5)+1)&gt;0,INDEX($D$6:$CB$53,MATCH($CG34,$B$6:$B$53,0),COLUMN()-COLUMN($CI$5)+1),""))</f>
        <v/>
      </c>
      <c r="CW34" s="1753" t="str" cm="1">
        <f t="array" ref="CW34">IF($CG34="","",IF(INDEX($D$6:$CB$53,MATCH($CG34,$B$6:$B$53,0),COLUMN()-COLUMN($CI$5)+1)&gt;0,INDEX($D$6:$CB$53,MATCH($CG34,$B$6:$B$53,0),COLUMN()-COLUMN($CI$5)+1),""))</f>
        <v/>
      </c>
      <c r="CX34" s="1753" t="str" cm="1">
        <f t="array" ref="CX34">IF($CG34="","",IF(INDEX($D$6:$CB$53,MATCH($CG34,$B$6:$B$53,0),COLUMN()-COLUMN($CI$5)+1)&gt;0,INDEX($D$6:$CB$53,MATCH($CG34,$B$6:$B$53,0),COLUMN()-COLUMN($CI$5)+1),""))</f>
        <v/>
      </c>
      <c r="CY34" s="1753" t="str" cm="1">
        <f t="array" ref="CY34">IF($CG34="","",IF(INDEX($D$6:$CB$53,MATCH($CG34,$B$6:$B$53,0),COLUMN()-COLUMN($CI$5)+1)&gt;0,INDEX($D$6:$CB$53,MATCH($CG34,$B$6:$B$53,0),COLUMN()-COLUMN($CI$5)+1),""))</f>
        <v/>
      </c>
      <c r="CZ34" s="1753" t="str" cm="1">
        <f t="array" ref="CZ34">IF($CG34="","",IF(INDEX($D$6:$CB$53,MATCH($CG34,$B$6:$B$53,0),COLUMN()-COLUMN($CI$5)+1)&gt;0,INDEX($D$6:$CB$53,MATCH($CG34,$B$6:$B$53,0),COLUMN()-COLUMN($CI$5)+1),""))</f>
        <v/>
      </c>
      <c r="DA34" s="1753" t="str" cm="1">
        <f t="array" ref="DA34">IF($CG34="","",IF(INDEX($D$6:$CB$53,MATCH($CG34,$B$6:$B$53,0),COLUMN()-COLUMN($CI$5)+1)&gt;0,INDEX($D$6:$CB$53,MATCH($CG34,$B$6:$B$53,0),COLUMN()-COLUMN($CI$5)+1),""))</f>
        <v/>
      </c>
      <c r="DB34" s="1753" t="str" cm="1">
        <f t="array" ref="DB34">IF($CG34="","",IF(INDEX($D$6:$CB$53,MATCH($CG34,$B$6:$B$53,0),COLUMN()-COLUMN($CI$5)+1)&gt;0,INDEX($D$6:$CB$53,MATCH($CG34,$B$6:$B$53,0),COLUMN()-COLUMN($CI$5)+1),""))</f>
        <v/>
      </c>
      <c r="DC34" s="1753" t="str" cm="1">
        <f t="array" ref="DC34">IF($CG34="","",IF(INDEX($D$6:$CB$53,MATCH($CG34,$B$6:$B$53,0),COLUMN()-COLUMN($CI$5)+1)&gt;0,INDEX($D$6:$CB$53,MATCH($CG34,$B$6:$B$53,0),COLUMN()-COLUMN($CI$5)+1),""))</f>
        <v/>
      </c>
      <c r="DD34" s="1753" t="str" cm="1">
        <f t="array" ref="DD34">IF($CG34="","",IF(INDEX($D$6:$CB$53,MATCH($CG34,$B$6:$B$53,0),COLUMN()-COLUMN($CI$5)+1)&gt;0,INDEX($D$6:$CB$53,MATCH($CG34,$B$6:$B$53,0),COLUMN()-COLUMN($CI$5)+1),""))</f>
        <v/>
      </c>
      <c r="DE34" s="1753" t="str" cm="1">
        <f t="array" ref="DE34">IF($CG34="","",IF(INDEX($D$6:$CB$53,MATCH($CG34,$B$6:$B$53,0),COLUMN()-COLUMN($CI$5)+1)&gt;0,INDEX($D$6:$CB$53,MATCH($CG34,$B$6:$B$53,0),COLUMN()-COLUMN($CI$5)+1),""))</f>
        <v/>
      </c>
      <c r="DF34" s="1753" t="str" cm="1">
        <f t="array" ref="DF34">IF($CG34="","",IF(INDEX($D$6:$CB$53,MATCH($CG34,$B$6:$B$53,0),COLUMN()-COLUMN($CI$5)+1)&gt;0,INDEX($D$6:$CB$53,MATCH($CG34,$B$6:$B$53,0),COLUMN()-COLUMN($CI$5)+1),""))</f>
        <v/>
      </c>
      <c r="DG34" s="1753" t="str" cm="1">
        <f t="array" ref="DG34">IF($CG34="","",IF(INDEX($D$6:$CB$53,MATCH($CG34,$B$6:$B$53,0),COLUMN()-COLUMN($CI$5)+1)&gt;0,INDEX($D$6:$CB$53,MATCH($CG34,$B$6:$B$53,0),COLUMN()-COLUMN($CI$5)+1),""))</f>
        <v/>
      </c>
      <c r="DH34" s="1753" t="str" cm="1">
        <f t="array" ref="DH34">IF($CG34="","",IF(INDEX($D$6:$CB$53,MATCH($CG34,$B$6:$B$53,0),COLUMN()-COLUMN($CI$5)+1)&gt;0,INDEX($D$6:$CB$53,MATCH($CG34,$B$6:$B$53,0),COLUMN()-COLUMN($CI$5)+1),""))</f>
        <v/>
      </c>
      <c r="DI34" s="1753" t="str" cm="1">
        <f t="array" ref="DI34">IF($CG34="","",IF(INDEX($D$6:$CB$53,MATCH($CG34,$B$6:$B$53,0),COLUMN()-COLUMN($CI$5)+1)&gt;0,INDEX($D$6:$CB$53,MATCH($CG34,$B$6:$B$53,0),COLUMN()-COLUMN($CI$5)+1),""))</f>
        <v/>
      </c>
      <c r="DJ34" s="1753" t="str" cm="1">
        <f t="array" ref="DJ34">IF($CG34="","",IF(INDEX($D$6:$CB$53,MATCH($CG34,$B$6:$B$53,0),COLUMN()-COLUMN($CI$5)+1)&gt;0,INDEX($D$6:$CB$53,MATCH($CG34,$B$6:$B$53,0),COLUMN()-COLUMN($CI$5)+1),""))</f>
        <v/>
      </c>
      <c r="DK34" s="1753" t="str" cm="1">
        <f t="array" ref="DK34">IF($CG34="","",IF(INDEX($D$6:$CB$53,MATCH($CG34,$B$6:$B$53,0),COLUMN()-COLUMN($CI$5)+1)&gt;0,INDEX($D$6:$CB$53,MATCH($CG34,$B$6:$B$53,0),COLUMN()-COLUMN($CI$5)+1),""))</f>
        <v/>
      </c>
      <c r="DL34" s="1753" t="str" cm="1">
        <f t="array" ref="DL34">IF($CG34="","",IF(INDEX($D$6:$CB$53,MATCH($CG34,$B$6:$B$53,0),COLUMN()-COLUMN($CI$5)+1)&gt;0,INDEX($D$6:$CB$53,MATCH($CG34,$B$6:$B$53,0),COLUMN()-COLUMN($CI$5)+1),""))</f>
        <v/>
      </c>
      <c r="DM34" s="1753" t="str" cm="1">
        <f t="array" ref="DM34">IF($CG34="","",IF(INDEX($D$6:$CB$53,MATCH($CG34,$B$6:$B$53,0),COLUMN()-COLUMN($CI$5)+1)&gt;0,INDEX($D$6:$CB$53,MATCH($CG34,$B$6:$B$53,0),COLUMN()-COLUMN($CI$5)+1),""))</f>
        <v/>
      </c>
      <c r="DN34" s="1753" t="str" cm="1">
        <f t="array" ref="DN34">IF($CG34="","",IF(INDEX($D$6:$CB$53,MATCH($CG34,$B$6:$B$53,0),COLUMN()-COLUMN($CI$5)+1)&gt;0,INDEX($D$6:$CB$53,MATCH($CG34,$B$6:$B$53,0),COLUMN()-COLUMN($CI$5)+1),""))</f>
        <v/>
      </c>
      <c r="DO34" s="1753" t="str" cm="1">
        <f t="array" ref="DO34">IF($CG34="","",IF(INDEX($D$6:$CB$53,MATCH($CG34,$B$6:$B$53,0),COLUMN()-COLUMN($CI$5)+1)&gt;0,INDEX($D$6:$CB$53,MATCH($CG34,$B$6:$B$53,0),COLUMN()-COLUMN($CI$5)+1),""))</f>
        <v/>
      </c>
      <c r="DP34" s="1753" t="str" cm="1">
        <f t="array" ref="DP34">IF($CG34="","",IF(INDEX($D$6:$CB$53,MATCH($CG34,$B$6:$B$53,0),COLUMN()-COLUMN($CI$5)+1)&gt;0,INDEX($D$6:$CB$53,MATCH($CG34,$B$6:$B$53,0),COLUMN()-COLUMN($CI$5)+1),""))</f>
        <v/>
      </c>
      <c r="DQ34" s="1753" t="str" cm="1">
        <f t="array" ref="DQ34">IF($CG34="","",IF(INDEX($D$6:$CB$53,MATCH($CG34,$B$6:$B$53,0),COLUMN()-COLUMN($CI$5)+1)&gt;0,INDEX($D$6:$CB$53,MATCH($CG34,$B$6:$B$53,0),COLUMN()-COLUMN($CI$5)+1),""))</f>
        <v/>
      </c>
      <c r="DR34" s="1753" t="str" cm="1">
        <f t="array" ref="DR34">IF($CG34="","",IF(INDEX($D$6:$CB$53,MATCH($CG34,$B$6:$B$53,0),COLUMN()-COLUMN($CI$5)+1)&gt;0,INDEX($D$6:$CB$53,MATCH($CG34,$B$6:$B$53,0),COLUMN()-COLUMN($CI$5)+1),""))</f>
        <v/>
      </c>
      <c r="DS34" s="1753" t="str" cm="1">
        <f t="array" ref="DS34">IF($CG34="","",IF(INDEX($D$6:$CB$53,MATCH($CG34,$B$6:$B$53,0),COLUMN()-COLUMN($CI$5)+1)&gt;0,INDEX($D$6:$CB$53,MATCH($CG34,$B$6:$B$53,0),COLUMN()-COLUMN($CI$5)+1),""))</f>
        <v/>
      </c>
      <c r="DT34" s="1753" t="str" cm="1">
        <f t="array" ref="DT34">IF($CG34="","",IF(INDEX($D$6:$CB$53,MATCH($CG34,$B$6:$B$53,0),COLUMN()-COLUMN($CI$5)+1)&gt;0,INDEX($D$6:$CB$53,MATCH($CG34,$B$6:$B$53,0),COLUMN()-COLUMN($CI$5)+1),""))</f>
        <v/>
      </c>
      <c r="DU34" s="1753" t="str" cm="1">
        <f t="array" ref="DU34">IF($CG34="","",IF(INDEX($D$6:$CB$53,MATCH($CG34,$B$6:$B$53,0),COLUMN()-COLUMN($CI$5)+1)&gt;0,INDEX($D$6:$CB$53,MATCH($CG34,$B$6:$B$53,0),COLUMN()-COLUMN($CI$5)+1),""))</f>
        <v/>
      </c>
      <c r="DV34" s="1753" t="str" cm="1">
        <f t="array" ref="DV34">IF($CG34="","",IF(INDEX($D$6:$CB$53,MATCH($CG34,$B$6:$B$53,0),COLUMN()-COLUMN($CI$5)+1)&gt;0,INDEX($D$6:$CB$53,MATCH($CG34,$B$6:$B$53,0),COLUMN()-COLUMN($CI$5)+1),""))</f>
        <v/>
      </c>
      <c r="DW34" s="1753" t="str" cm="1">
        <f t="array" ref="DW34">IF($CG34="","",IF(INDEX($D$6:$CB$53,MATCH($CG34,$B$6:$B$53,0),COLUMN()-COLUMN($CI$5)+1)&gt;0,INDEX($D$6:$CB$53,MATCH($CG34,$B$6:$B$53,0),COLUMN()-COLUMN($CI$5)+1),""))</f>
        <v/>
      </c>
      <c r="DX34" s="1753" t="str" cm="1">
        <f t="array" ref="DX34">IF($CG34="","",IF(INDEX($D$6:$CB$53,MATCH($CG34,$B$6:$B$53,0),COLUMN()-COLUMN($CI$5)+1)&gt;0,INDEX($D$6:$CB$53,MATCH($CG34,$B$6:$B$53,0),COLUMN()-COLUMN($CI$5)+1),""))</f>
        <v/>
      </c>
      <c r="DY34" s="1753" t="str" cm="1">
        <f t="array" ref="DY34">IF($CG34="","",IF(INDEX($D$6:$CB$53,MATCH($CG34,$B$6:$B$53,0),COLUMN()-COLUMN($CI$5)+1)&gt;0,INDEX($D$6:$CB$53,MATCH($CG34,$B$6:$B$53,0),COLUMN()-COLUMN($CI$5)+1),""))</f>
        <v/>
      </c>
      <c r="DZ34" s="1753" t="str" cm="1">
        <f t="array" ref="DZ34">IF($CG34="","",IF(INDEX($D$6:$CB$53,MATCH($CG34,$B$6:$B$53,0),COLUMN()-COLUMN($CI$5)+1)&gt;0,INDEX($D$6:$CB$53,MATCH($CG34,$B$6:$B$53,0),COLUMN()-COLUMN($CI$5)+1),""))</f>
        <v/>
      </c>
      <c r="EA34" s="1753" t="str" cm="1">
        <f t="array" ref="EA34">IF($CG34="","",IF(INDEX($D$6:$CB$53,MATCH($CG34,$B$6:$B$53,0),COLUMN()-COLUMN($CI$5)+1)&gt;0,INDEX($D$6:$CB$53,MATCH($CG34,$B$6:$B$53,0),COLUMN()-COLUMN($CI$5)+1),""))</f>
        <v/>
      </c>
      <c r="EB34" s="1753" t="str" cm="1">
        <f t="array" ref="EB34">IF($CG34="","",IF(INDEX($D$6:$CB$53,MATCH($CG34,$B$6:$B$53,0),COLUMN()-COLUMN($CI$5)+1)&gt;0,INDEX($D$6:$CB$53,MATCH($CG34,$B$6:$B$53,0),COLUMN()-COLUMN($CI$5)+1),""))</f>
        <v/>
      </c>
      <c r="EC34" s="1753" t="str" cm="1">
        <f t="array" ref="EC34">IF($CG34="","",IF(INDEX($D$6:$CB$53,MATCH($CG34,$B$6:$B$53,0),COLUMN()-COLUMN($CI$5)+1)&gt;0,INDEX($D$6:$CB$53,MATCH($CG34,$B$6:$B$53,0),COLUMN()-COLUMN($CI$5)+1),""))</f>
        <v/>
      </c>
      <c r="ED34" s="1753" t="str" cm="1">
        <f t="array" ref="ED34">IF($CG34="","",IF(INDEX($D$6:$CB$53,MATCH($CG34,$B$6:$B$53,0),COLUMN()-COLUMN($CI$5)+1)&gt;0,INDEX($D$6:$CB$53,MATCH($CG34,$B$6:$B$53,0),COLUMN()-COLUMN($CI$5)+1),""))</f>
        <v/>
      </c>
      <c r="EE34" s="1753" t="str" cm="1">
        <f t="array" ref="EE34">IF($CG34="","",IF(INDEX($D$6:$CB$53,MATCH($CG34,$B$6:$B$53,0),COLUMN()-COLUMN($CI$5)+1)&gt;0,INDEX($D$6:$CB$53,MATCH($CG34,$B$6:$B$53,0),COLUMN()-COLUMN($CI$5)+1),""))</f>
        <v/>
      </c>
      <c r="EF34" s="1753" t="str" cm="1">
        <f t="array" ref="EF34">IF($CG34="","",IF(INDEX($D$6:$CB$53,MATCH($CG34,$B$6:$B$53,0),COLUMN()-COLUMN($CI$5)+1)&gt;0,INDEX($D$6:$CB$53,MATCH($CG34,$B$6:$B$53,0),COLUMN()-COLUMN($CI$5)+1),""))</f>
        <v/>
      </c>
      <c r="EG34" s="1753" t="str" cm="1">
        <f t="array" ref="EG34">IF($CG34="","",IF(INDEX($D$6:$CB$53,MATCH($CG34,$B$6:$B$53,0),COLUMN()-COLUMN($CI$5)+1)&gt;0,INDEX($D$6:$CB$53,MATCH($CG34,$B$6:$B$53,0),COLUMN()-COLUMN($CI$5)+1),""))</f>
        <v/>
      </c>
      <c r="EH34" s="1753" t="str" cm="1">
        <f t="array" ref="EH34">IF($CG34="","",IF(INDEX($D$6:$CB$53,MATCH($CG34,$B$6:$B$53,0),COLUMN()-COLUMN($CI$5)+1)&gt;0,INDEX($D$6:$CB$53,MATCH($CG34,$B$6:$B$53,0),COLUMN()-COLUMN($CI$5)+1),""))</f>
        <v/>
      </c>
      <c r="EI34" s="1753" t="str" cm="1">
        <f t="array" ref="EI34">IF($CG34="","",IF(INDEX($D$6:$CB$53,MATCH($CG34,$B$6:$B$53,0),COLUMN()-COLUMN($CI$5)+1)&gt;0,INDEX($D$6:$CB$53,MATCH($CG34,$B$6:$B$53,0),COLUMN()-COLUMN($CI$5)+1),""))</f>
        <v/>
      </c>
      <c r="EJ34" s="1753" t="str" cm="1">
        <f t="array" ref="EJ34">IF($CG34="","",IF(INDEX($D$6:$CB$53,MATCH($CG34,$B$6:$B$53,0),COLUMN()-COLUMN($CI$5)+1)&gt;0,INDEX($D$6:$CB$53,MATCH($CG34,$B$6:$B$53,0),COLUMN()-COLUMN($CI$5)+1),""))</f>
        <v/>
      </c>
      <c r="EK34" s="1753" t="str" cm="1">
        <f t="array" ref="EK34">IF($CG34="","",IF(INDEX($D$6:$CB$53,MATCH($CG34,$B$6:$B$53,0),COLUMN()-COLUMN($CI$5)+1)&gt;0,INDEX($D$6:$CB$53,MATCH($CG34,$B$6:$B$53,0),COLUMN()-COLUMN($CI$5)+1),""))</f>
        <v/>
      </c>
      <c r="EL34" s="1753" t="str" cm="1">
        <f t="array" ref="EL34">IF($CG34="","",IF(INDEX($D$6:$CB$53,MATCH($CG34,$B$6:$B$53,0),COLUMN()-COLUMN($CI$5)+1)&gt;0,INDEX($D$6:$CB$53,MATCH($CG34,$B$6:$B$53,0),COLUMN()-COLUMN($CI$5)+1),""))</f>
        <v/>
      </c>
      <c r="EM34" s="1753" t="str" cm="1">
        <f t="array" ref="EM34">IF($CG34="","",IF(INDEX($D$6:$CB$53,MATCH($CG34,$B$6:$B$53,0),COLUMN()-COLUMN($CI$5)+1)&gt;0,INDEX($D$6:$CB$53,MATCH($CG34,$B$6:$B$53,0),COLUMN()-COLUMN($CI$5)+1),""))</f>
        <v/>
      </c>
      <c r="EN34" s="1753" t="str" cm="1">
        <f t="array" ref="EN34">IF($CG34="","",IF(INDEX($D$6:$CB$53,MATCH($CG34,$B$6:$B$53,0),COLUMN()-COLUMN($CI$5)+1)&gt;0,INDEX($D$6:$CB$53,MATCH($CG34,$B$6:$B$53,0),COLUMN()-COLUMN($CI$5)+1),""))</f>
        <v/>
      </c>
      <c r="EO34" s="1753" t="str" cm="1">
        <f t="array" ref="EO34">IF($CG34="","",IF(INDEX($D$6:$CB$53,MATCH($CG34,$B$6:$B$53,0),COLUMN()-COLUMN($CI$5)+1)&gt;0,INDEX($D$6:$CB$53,MATCH($CG34,$B$6:$B$53,0),COLUMN()-COLUMN($CI$5)+1),""))</f>
        <v/>
      </c>
      <c r="EP34" s="1753" t="str" cm="1">
        <f t="array" ref="EP34">IF($CG34="","",IF(INDEX($D$6:$CB$53,MATCH($CG34,$B$6:$B$53,0),COLUMN()-COLUMN($CI$5)+1)&gt;0,INDEX($D$6:$CB$53,MATCH($CG34,$B$6:$B$53,0),COLUMN()-COLUMN($CI$5)+1),""))</f>
        <v/>
      </c>
      <c r="EQ34" s="1753" t="str" cm="1">
        <f t="array" ref="EQ34">IF($CG34="","",IF(INDEX($D$6:$CB$53,MATCH($CG34,$B$6:$B$53,0),COLUMN()-COLUMN($CI$5)+1)&gt;0,INDEX($D$6:$CB$53,MATCH($CG34,$B$6:$B$53,0),COLUMN()-COLUMN($CI$5)+1),""))</f>
        <v/>
      </c>
      <c r="ER34" s="1753" t="str" cm="1">
        <f t="array" ref="ER34">IF($CG34="","",IF(INDEX($D$6:$CB$53,MATCH($CG34,$B$6:$B$53,0),COLUMN()-COLUMN($CI$5)+1)&gt;0,INDEX($D$6:$CB$53,MATCH($CG34,$B$6:$B$53,0),COLUMN()-COLUMN($CI$5)+1),""))</f>
        <v/>
      </c>
      <c r="ES34" s="1753" t="str" cm="1">
        <f t="array" ref="ES34">IF($CG34="","",IF(INDEX($D$6:$CB$53,MATCH($CG34,$B$6:$B$53,0),COLUMN()-COLUMN($CI$5)+1)&gt;0,INDEX($D$6:$CB$53,MATCH($CG34,$B$6:$B$53,0),COLUMN()-COLUMN($CI$5)+1),""))</f>
        <v/>
      </c>
      <c r="ET34" s="1753" t="str" cm="1">
        <f t="array" ref="ET34">IF($CG34="","",IF(INDEX($D$6:$CB$53,MATCH($CG34,$B$6:$B$53,0),COLUMN()-COLUMN($CI$5)+1)&gt;0,INDEX($D$6:$CB$53,MATCH($CG34,$B$6:$B$53,0),COLUMN()-COLUMN($CI$5)+1),""))</f>
        <v/>
      </c>
      <c r="EU34" s="1753" t="str" cm="1">
        <f t="array" ref="EU34">IF($CG34="","",IF(INDEX($D$6:$CB$53,MATCH($CG34,$B$6:$B$53,0),COLUMN()-COLUMN($CI$5)+1)&gt;0,INDEX($D$6:$CB$53,MATCH($CG34,$B$6:$B$53,0),COLUMN()-COLUMN($CI$5)+1),""))</f>
        <v/>
      </c>
      <c r="EV34" s="1753" t="str" cm="1">
        <f t="array" ref="EV34">IF($CG34="","",IF(INDEX($D$6:$CB$53,MATCH($CG34,$B$6:$B$53,0),COLUMN()-COLUMN($CI$5)+1)&gt;0,INDEX($D$6:$CB$53,MATCH($CG34,$B$6:$B$53,0),COLUMN()-COLUMN($CI$5)+1),""))</f>
        <v/>
      </c>
      <c r="EW34" s="1753" t="str" cm="1">
        <f t="array" ref="EW34">IF($CG34="","",IF(INDEX($D$6:$CB$53,MATCH($CG34,$B$6:$B$53,0),COLUMN()-COLUMN($CI$5)+1)&gt;0,INDEX($D$6:$CB$53,MATCH($CG34,$B$6:$B$53,0),COLUMN()-COLUMN($CI$5)+1),""))</f>
        <v/>
      </c>
      <c r="EX34" s="1753" t="str" cm="1">
        <f t="array" ref="EX34">IF($CG34="","",IF(INDEX($D$6:$CB$53,MATCH($CG34,$B$6:$B$53,0),COLUMN()-COLUMN($CI$5)+1)&gt;0,INDEX($D$6:$CB$53,MATCH($CG34,$B$6:$B$53,0),COLUMN()-COLUMN($CI$5)+1),""))</f>
        <v/>
      </c>
      <c r="EY34" s="1753" t="str" cm="1">
        <f t="array" ref="EY34">IF($CG34="","",IF(INDEX($D$6:$CB$53,MATCH($CG34,$B$6:$B$53,0),COLUMN()-COLUMN($CI$5)+1)&gt;0,INDEX($D$6:$CB$53,MATCH($CG34,$B$6:$B$53,0),COLUMN()-COLUMN($CI$5)+1),""))</f>
        <v/>
      </c>
      <c r="EZ34" s="1753" t="str" cm="1">
        <f t="array" ref="EZ34">IF($CG34="","",IF(INDEX($D$6:$CB$53,MATCH($CG34,$B$6:$B$53,0),COLUMN()-COLUMN($CI$5)+1)&gt;0,INDEX($D$6:$CB$53,MATCH($CG34,$B$6:$B$53,0),COLUMN()-COLUMN($CI$5)+1),""))</f>
        <v/>
      </c>
      <c r="FA34" s="1753" t="str" cm="1">
        <f t="array" ref="FA34">IF($CG34="","",IF(INDEX($D$6:$CB$53,MATCH($CG34,$B$6:$B$53,0),COLUMN()-COLUMN($CI$5)+1)&gt;0,INDEX($D$6:$CB$53,MATCH($CG34,$B$6:$B$53,0),COLUMN()-COLUMN($CI$5)+1),""))</f>
        <v/>
      </c>
      <c r="FB34" s="1753" t="str" cm="1">
        <f t="array" ref="FB34">IF($CG34="","",IF(INDEX($D$6:$CB$53,MATCH($CG34,$B$6:$B$53,0),COLUMN()-COLUMN($CI$5)+1)&gt;0,INDEX($D$6:$CB$53,MATCH($CG34,$B$6:$B$53,0),COLUMN()-COLUMN($CI$5)+1),""))</f>
        <v/>
      </c>
      <c r="FC34" s="1753" t="str" cm="1">
        <f t="array" ref="FC34">IF($CG34="","",IF(INDEX($D$6:$CB$53,MATCH($CG34,$B$6:$B$53,0),COLUMN()-COLUMN($CI$5)+1)&gt;0,INDEX($D$6:$CB$53,MATCH($CG34,$B$6:$B$53,0),COLUMN()-COLUMN($CI$5)+1),""))</f>
        <v/>
      </c>
      <c r="FD34" s="1753" t="str" cm="1">
        <f t="array" ref="FD34">IF($CG34="","",IF(INDEX($D$6:$CB$53,MATCH($CG34,$B$6:$B$53,0),COLUMN()-COLUMN($CI$5)+1)&gt;0,INDEX($D$6:$CB$53,MATCH($CG34,$B$6:$B$53,0),COLUMN()-COLUMN($CI$5)+1),""))</f>
        <v/>
      </c>
      <c r="FE34" s="1753" t="str" cm="1">
        <f t="array" ref="FE34">IF($CG34="","",IF(INDEX($D$6:$CB$53,MATCH($CG34,$B$6:$B$53,0),COLUMN()-COLUMN($CI$5)+1)&gt;0,INDEX($D$6:$CB$53,MATCH($CG34,$B$6:$B$53,0),COLUMN()-COLUMN($CI$5)+1),""))</f>
        <v/>
      </c>
      <c r="FF34" s="1753" t="str" cm="1">
        <f t="array" ref="FF34">IF($CG34="","",IF(INDEX($D$6:$CB$53,MATCH($CG34,$B$6:$B$53,0),COLUMN()-COLUMN($CI$5)+1)&gt;0,INDEX($D$6:$CB$53,MATCH($CG34,$B$6:$B$53,0),COLUMN()-COLUMN($CI$5)+1),""))</f>
        <v/>
      </c>
      <c r="FG34" s="1753" t="str" cm="1">
        <f t="array" ref="FG34">IF($CG34="","",IF(INDEX($D$6:$CB$53,MATCH($CG34,$B$6:$B$53,0),COLUMN()-COLUMN($CI$5)+1)&gt;0,INDEX($D$6:$CB$53,MATCH($CG34,$B$6:$B$53,0),COLUMN()-COLUMN($CI$5)+1),""))</f>
        <v/>
      </c>
      <c r="FH34" s="1753" t="str">
        <f t="shared" si="4"/>
        <v/>
      </c>
      <c r="FI34" s="1753" t="str">
        <f t="shared" si="5"/>
        <v/>
      </c>
      <c r="FJ34" s="1753" t="str">
        <f t="shared" si="6"/>
        <v/>
      </c>
      <c r="FK34" s="1753"/>
    </row>
    <row r="35" spans="1:167" ht="15.75" customHeight="1" thickBot="1">
      <c r="A35" s="1220"/>
      <c r="B35" s="1278">
        <f>+PP!B53</f>
        <v>30</v>
      </c>
      <c r="C35" s="1280" t="str">
        <f>+PP!C53</f>
        <v>NUCA C/C ABIERTO 1.0 - UP kg/pza</v>
      </c>
      <c r="D35" s="1407"/>
      <c r="E35" s="1408"/>
      <c r="F35" s="1408"/>
      <c r="G35" s="1408"/>
      <c r="H35" s="1408"/>
      <c r="I35" s="1408"/>
      <c r="J35" s="1408"/>
      <c r="K35" s="1408"/>
      <c r="L35" s="1408"/>
      <c r="M35" s="1408"/>
      <c r="N35" s="1408"/>
      <c r="O35" s="1408"/>
      <c r="P35" s="1408"/>
      <c r="Q35" s="1408"/>
      <c r="R35" s="1408"/>
      <c r="S35" s="1408"/>
      <c r="T35" s="1408"/>
      <c r="U35" s="1408"/>
      <c r="V35" s="1408"/>
      <c r="W35" s="1408"/>
      <c r="X35" s="1408"/>
      <c r="Y35" s="1408"/>
      <c r="Z35" s="1408"/>
      <c r="AA35" s="1408"/>
      <c r="AB35" s="1408"/>
      <c r="AC35" s="1408"/>
      <c r="AD35" s="1408"/>
      <c r="AE35" s="1408"/>
      <c r="AF35" s="1408"/>
      <c r="AG35" s="1408"/>
      <c r="AH35" s="1409"/>
      <c r="AI35" s="1247"/>
      <c r="AJ35" s="1247"/>
      <c r="AK35" s="1247"/>
      <c r="AL35" s="1247"/>
      <c r="AM35" s="1247"/>
      <c r="AN35" s="1247"/>
      <c r="AO35" s="1416"/>
      <c r="AP35" s="1246"/>
      <c r="AQ35" s="1247"/>
      <c r="AR35" s="1247"/>
      <c r="AS35" s="1247"/>
      <c r="AT35" s="1247"/>
      <c r="AU35" s="1247"/>
      <c r="AV35" s="1247"/>
      <c r="AW35" s="1247"/>
      <c r="AX35" s="1247"/>
      <c r="AY35" s="1247"/>
      <c r="AZ35" s="1247"/>
      <c r="BA35" s="1247"/>
      <c r="BB35" s="1247"/>
      <c r="BC35" s="1247"/>
      <c r="BD35" s="1247"/>
      <c r="BE35" s="1247"/>
      <c r="BF35" s="1247"/>
      <c r="BG35" s="1247"/>
      <c r="BH35" s="1247"/>
      <c r="BI35" s="1247"/>
      <c r="BJ35" s="1247"/>
      <c r="BK35" s="1247"/>
      <c r="BL35" s="1247"/>
      <c r="BM35" s="1247"/>
      <c r="BN35" s="1247"/>
      <c r="BO35" s="1247"/>
      <c r="BP35" s="1247"/>
      <c r="BQ35" s="1247"/>
      <c r="BR35" s="1565"/>
      <c r="BS35" s="1565"/>
      <c r="BT35" s="1565"/>
      <c r="BU35" s="1565"/>
      <c r="BV35" s="1565"/>
      <c r="BW35" s="1565"/>
      <c r="BX35" s="1565"/>
      <c r="BY35" s="1565"/>
      <c r="BZ35" s="1565"/>
      <c r="CA35" s="1565"/>
      <c r="CB35" s="1566"/>
      <c r="CC35" s="1551">
        <f t="shared" si="0"/>
        <v>0</v>
      </c>
      <c r="CD35" s="1239">
        <f t="shared" si="1"/>
        <v>0</v>
      </c>
      <c r="CE35" s="1240">
        <f t="shared" si="2"/>
        <v>0</v>
      </c>
      <c r="CF35" s="1220"/>
      <c r="CG35" s="1751" t="str" cm="1">
        <f t="array" ref="CG35">IFERROR(INDEX($B$6:$B$53,_xlfn.AGGREGATE(15,6,(ROW($B$6:$B$53)-ROW($B$6)+1)/(MMULT(--($D$6:$CB$53&gt;0),TRANSPOSE(COLUMN($D$6:$CB$6)^0))&gt;0),ROWS($CG$6:CG35))),"")</f>
        <v/>
      </c>
      <c r="CH35" s="1752" t="str">
        <f t="shared" si="3"/>
        <v/>
      </c>
      <c r="CI35" s="1753" t="str" cm="1">
        <f t="array" ref="CI35">IF($CG35="","",IF(INDEX($D$6:$CB$53,MATCH($CG35,$B$6:$B$53,0),COLUMN()-COLUMN($CI$5)+1)&gt;0,INDEX($D$6:$CB$53,MATCH($CG35,$B$6:$B$53,0),COLUMN()-COLUMN($CI$5)+1),""))</f>
        <v/>
      </c>
      <c r="CJ35" s="1753" t="str" cm="1">
        <f t="array" ref="CJ35">IF($CG35="","",IF(INDEX($D$6:$CB$53,MATCH($CG35,$B$6:$B$53,0),COLUMN()-COLUMN($CI$5)+1)&gt;0,INDEX($D$6:$CB$53,MATCH($CG35,$B$6:$B$53,0),COLUMN()-COLUMN($CI$5)+1),""))</f>
        <v/>
      </c>
      <c r="CK35" s="1753" t="str" cm="1">
        <f t="array" ref="CK35">IF($CG35="","",IF(INDEX($D$6:$CB$53,MATCH($CG35,$B$6:$B$53,0),COLUMN()-COLUMN($CI$5)+1)&gt;0,INDEX($D$6:$CB$53,MATCH($CG35,$B$6:$B$53,0),COLUMN()-COLUMN($CI$5)+1),""))</f>
        <v/>
      </c>
      <c r="CL35" s="1753" t="str" cm="1">
        <f t="array" ref="CL35">IF($CG35="","",IF(INDEX($D$6:$CB$53,MATCH($CG35,$B$6:$B$53,0),COLUMN()-COLUMN($CI$5)+1)&gt;0,INDEX($D$6:$CB$53,MATCH($CG35,$B$6:$B$53,0),COLUMN()-COLUMN($CI$5)+1),""))</f>
        <v/>
      </c>
      <c r="CM35" s="1753" t="str" cm="1">
        <f t="array" ref="CM35">IF($CG35="","",IF(INDEX($D$6:$CB$53,MATCH($CG35,$B$6:$B$53,0),COLUMN()-COLUMN($CI$5)+1)&gt;0,INDEX($D$6:$CB$53,MATCH($CG35,$B$6:$B$53,0),COLUMN()-COLUMN($CI$5)+1),""))</f>
        <v/>
      </c>
      <c r="CN35" s="1753" t="str" cm="1">
        <f t="array" ref="CN35">IF($CG35="","",IF(INDEX($D$6:$CB$53,MATCH($CG35,$B$6:$B$53,0),COLUMN()-COLUMN($CI$5)+1)&gt;0,INDEX($D$6:$CB$53,MATCH($CG35,$B$6:$B$53,0),COLUMN()-COLUMN($CI$5)+1),""))</f>
        <v/>
      </c>
      <c r="CO35" s="1753" t="str" cm="1">
        <f t="array" ref="CO35">IF($CG35="","",IF(INDEX($D$6:$CB$53,MATCH($CG35,$B$6:$B$53,0),COLUMN()-COLUMN($CI$5)+1)&gt;0,INDEX($D$6:$CB$53,MATCH($CG35,$B$6:$B$53,0),COLUMN()-COLUMN($CI$5)+1),""))</f>
        <v/>
      </c>
      <c r="CP35" s="1753" t="str" cm="1">
        <f t="array" ref="CP35">IF($CG35="","",IF(INDEX($D$6:$CB$53,MATCH($CG35,$B$6:$B$53,0),COLUMN()-COLUMN($CI$5)+1)&gt;0,INDEX($D$6:$CB$53,MATCH($CG35,$B$6:$B$53,0),COLUMN()-COLUMN($CI$5)+1),""))</f>
        <v/>
      </c>
      <c r="CQ35" s="1753" t="str" cm="1">
        <f t="array" ref="CQ35">IF($CG35="","",IF(INDEX($D$6:$CB$53,MATCH($CG35,$B$6:$B$53,0),COLUMN()-COLUMN($CI$5)+1)&gt;0,INDEX($D$6:$CB$53,MATCH($CG35,$B$6:$B$53,0),COLUMN()-COLUMN($CI$5)+1),""))</f>
        <v/>
      </c>
      <c r="CR35" s="1753" t="str" cm="1">
        <f t="array" ref="CR35">IF($CG35="","",IF(INDEX($D$6:$CB$53,MATCH($CG35,$B$6:$B$53,0),COLUMN()-COLUMN($CI$5)+1)&gt;0,INDEX($D$6:$CB$53,MATCH($CG35,$B$6:$B$53,0),COLUMN()-COLUMN($CI$5)+1),""))</f>
        <v/>
      </c>
      <c r="CS35" s="1753" t="str" cm="1">
        <f t="array" ref="CS35">IF($CG35="","",IF(INDEX($D$6:$CB$53,MATCH($CG35,$B$6:$B$53,0),COLUMN()-COLUMN($CI$5)+1)&gt;0,INDEX($D$6:$CB$53,MATCH($CG35,$B$6:$B$53,0),COLUMN()-COLUMN($CI$5)+1),""))</f>
        <v/>
      </c>
      <c r="CT35" s="1753" t="str" cm="1">
        <f t="array" ref="CT35">IF($CG35="","",IF(INDEX($D$6:$CB$53,MATCH($CG35,$B$6:$B$53,0),COLUMN()-COLUMN($CI$5)+1)&gt;0,INDEX($D$6:$CB$53,MATCH($CG35,$B$6:$B$53,0),COLUMN()-COLUMN($CI$5)+1),""))</f>
        <v/>
      </c>
      <c r="CU35" s="1753" t="str" cm="1">
        <f t="array" ref="CU35">IF($CG35="","",IF(INDEX($D$6:$CB$53,MATCH($CG35,$B$6:$B$53,0),COLUMN()-COLUMN($CI$5)+1)&gt;0,INDEX($D$6:$CB$53,MATCH($CG35,$B$6:$B$53,0),COLUMN()-COLUMN($CI$5)+1),""))</f>
        <v/>
      </c>
      <c r="CV35" s="1753" t="str" cm="1">
        <f t="array" ref="CV35">IF($CG35="","",IF(INDEX($D$6:$CB$53,MATCH($CG35,$B$6:$B$53,0),COLUMN()-COLUMN($CI$5)+1)&gt;0,INDEX($D$6:$CB$53,MATCH($CG35,$B$6:$B$53,0),COLUMN()-COLUMN($CI$5)+1),""))</f>
        <v/>
      </c>
      <c r="CW35" s="1753" t="str" cm="1">
        <f t="array" ref="CW35">IF($CG35="","",IF(INDEX($D$6:$CB$53,MATCH($CG35,$B$6:$B$53,0),COLUMN()-COLUMN($CI$5)+1)&gt;0,INDEX($D$6:$CB$53,MATCH($CG35,$B$6:$B$53,0),COLUMN()-COLUMN($CI$5)+1),""))</f>
        <v/>
      </c>
      <c r="CX35" s="1753" t="str" cm="1">
        <f t="array" ref="CX35">IF($CG35="","",IF(INDEX($D$6:$CB$53,MATCH($CG35,$B$6:$B$53,0),COLUMN()-COLUMN($CI$5)+1)&gt;0,INDEX($D$6:$CB$53,MATCH($CG35,$B$6:$B$53,0),COLUMN()-COLUMN($CI$5)+1),""))</f>
        <v/>
      </c>
      <c r="CY35" s="1753" t="str" cm="1">
        <f t="array" ref="CY35">IF($CG35="","",IF(INDEX($D$6:$CB$53,MATCH($CG35,$B$6:$B$53,0),COLUMN()-COLUMN($CI$5)+1)&gt;0,INDEX($D$6:$CB$53,MATCH($CG35,$B$6:$B$53,0),COLUMN()-COLUMN($CI$5)+1),""))</f>
        <v/>
      </c>
      <c r="CZ35" s="1753" t="str" cm="1">
        <f t="array" ref="CZ35">IF($CG35="","",IF(INDEX($D$6:$CB$53,MATCH($CG35,$B$6:$B$53,0),COLUMN()-COLUMN($CI$5)+1)&gt;0,INDEX($D$6:$CB$53,MATCH($CG35,$B$6:$B$53,0),COLUMN()-COLUMN($CI$5)+1),""))</f>
        <v/>
      </c>
      <c r="DA35" s="1753" t="str" cm="1">
        <f t="array" ref="DA35">IF($CG35="","",IF(INDEX($D$6:$CB$53,MATCH($CG35,$B$6:$B$53,0),COLUMN()-COLUMN($CI$5)+1)&gt;0,INDEX($D$6:$CB$53,MATCH($CG35,$B$6:$B$53,0),COLUMN()-COLUMN($CI$5)+1),""))</f>
        <v/>
      </c>
      <c r="DB35" s="1753" t="str" cm="1">
        <f t="array" ref="DB35">IF($CG35="","",IF(INDEX($D$6:$CB$53,MATCH($CG35,$B$6:$B$53,0),COLUMN()-COLUMN($CI$5)+1)&gt;0,INDEX($D$6:$CB$53,MATCH($CG35,$B$6:$B$53,0),COLUMN()-COLUMN($CI$5)+1),""))</f>
        <v/>
      </c>
      <c r="DC35" s="1753" t="str" cm="1">
        <f t="array" ref="DC35">IF($CG35="","",IF(INDEX($D$6:$CB$53,MATCH($CG35,$B$6:$B$53,0),COLUMN()-COLUMN($CI$5)+1)&gt;0,INDEX($D$6:$CB$53,MATCH($CG35,$B$6:$B$53,0),COLUMN()-COLUMN($CI$5)+1),""))</f>
        <v/>
      </c>
      <c r="DD35" s="1753" t="str" cm="1">
        <f t="array" ref="DD35">IF($CG35="","",IF(INDEX($D$6:$CB$53,MATCH($CG35,$B$6:$B$53,0),COLUMN()-COLUMN($CI$5)+1)&gt;0,INDEX($D$6:$CB$53,MATCH($CG35,$B$6:$B$53,0),COLUMN()-COLUMN($CI$5)+1),""))</f>
        <v/>
      </c>
      <c r="DE35" s="1753" t="str" cm="1">
        <f t="array" ref="DE35">IF($CG35="","",IF(INDEX($D$6:$CB$53,MATCH($CG35,$B$6:$B$53,0),COLUMN()-COLUMN($CI$5)+1)&gt;0,INDEX($D$6:$CB$53,MATCH($CG35,$B$6:$B$53,0),COLUMN()-COLUMN($CI$5)+1),""))</f>
        <v/>
      </c>
      <c r="DF35" s="1753" t="str" cm="1">
        <f t="array" ref="DF35">IF($CG35="","",IF(INDEX($D$6:$CB$53,MATCH($CG35,$B$6:$B$53,0),COLUMN()-COLUMN($CI$5)+1)&gt;0,INDEX($D$6:$CB$53,MATCH($CG35,$B$6:$B$53,0),COLUMN()-COLUMN($CI$5)+1),""))</f>
        <v/>
      </c>
      <c r="DG35" s="1753" t="str" cm="1">
        <f t="array" ref="DG35">IF($CG35="","",IF(INDEX($D$6:$CB$53,MATCH($CG35,$B$6:$B$53,0),COLUMN()-COLUMN($CI$5)+1)&gt;0,INDEX($D$6:$CB$53,MATCH($CG35,$B$6:$B$53,0),COLUMN()-COLUMN($CI$5)+1),""))</f>
        <v/>
      </c>
      <c r="DH35" s="1753" t="str" cm="1">
        <f t="array" ref="DH35">IF($CG35="","",IF(INDEX($D$6:$CB$53,MATCH($CG35,$B$6:$B$53,0),COLUMN()-COLUMN($CI$5)+1)&gt;0,INDEX($D$6:$CB$53,MATCH($CG35,$B$6:$B$53,0),COLUMN()-COLUMN($CI$5)+1),""))</f>
        <v/>
      </c>
      <c r="DI35" s="1753" t="str" cm="1">
        <f t="array" ref="DI35">IF($CG35="","",IF(INDEX($D$6:$CB$53,MATCH($CG35,$B$6:$B$53,0),COLUMN()-COLUMN($CI$5)+1)&gt;0,INDEX($D$6:$CB$53,MATCH($CG35,$B$6:$B$53,0),COLUMN()-COLUMN($CI$5)+1),""))</f>
        <v/>
      </c>
      <c r="DJ35" s="1753" t="str" cm="1">
        <f t="array" ref="DJ35">IF($CG35="","",IF(INDEX($D$6:$CB$53,MATCH($CG35,$B$6:$B$53,0),COLUMN()-COLUMN($CI$5)+1)&gt;0,INDEX($D$6:$CB$53,MATCH($CG35,$B$6:$B$53,0),COLUMN()-COLUMN($CI$5)+1),""))</f>
        <v/>
      </c>
      <c r="DK35" s="1753" t="str" cm="1">
        <f t="array" ref="DK35">IF($CG35="","",IF(INDEX($D$6:$CB$53,MATCH($CG35,$B$6:$B$53,0),COLUMN()-COLUMN($CI$5)+1)&gt;0,INDEX($D$6:$CB$53,MATCH($CG35,$B$6:$B$53,0),COLUMN()-COLUMN($CI$5)+1),""))</f>
        <v/>
      </c>
      <c r="DL35" s="1753" t="str" cm="1">
        <f t="array" ref="DL35">IF($CG35="","",IF(INDEX($D$6:$CB$53,MATCH($CG35,$B$6:$B$53,0),COLUMN()-COLUMN($CI$5)+1)&gt;0,INDEX($D$6:$CB$53,MATCH($CG35,$B$6:$B$53,0),COLUMN()-COLUMN($CI$5)+1),""))</f>
        <v/>
      </c>
      <c r="DM35" s="1753" t="str" cm="1">
        <f t="array" ref="DM35">IF($CG35="","",IF(INDEX($D$6:$CB$53,MATCH($CG35,$B$6:$B$53,0),COLUMN()-COLUMN($CI$5)+1)&gt;0,INDEX($D$6:$CB$53,MATCH($CG35,$B$6:$B$53,0),COLUMN()-COLUMN($CI$5)+1),""))</f>
        <v/>
      </c>
      <c r="DN35" s="1753" t="str" cm="1">
        <f t="array" ref="DN35">IF($CG35="","",IF(INDEX($D$6:$CB$53,MATCH($CG35,$B$6:$B$53,0),COLUMN()-COLUMN($CI$5)+1)&gt;0,INDEX($D$6:$CB$53,MATCH($CG35,$B$6:$B$53,0),COLUMN()-COLUMN($CI$5)+1),""))</f>
        <v/>
      </c>
      <c r="DO35" s="1753" t="str" cm="1">
        <f t="array" ref="DO35">IF($CG35="","",IF(INDEX($D$6:$CB$53,MATCH($CG35,$B$6:$B$53,0),COLUMN()-COLUMN($CI$5)+1)&gt;0,INDEX($D$6:$CB$53,MATCH($CG35,$B$6:$B$53,0),COLUMN()-COLUMN($CI$5)+1),""))</f>
        <v/>
      </c>
      <c r="DP35" s="1753" t="str" cm="1">
        <f t="array" ref="DP35">IF($CG35="","",IF(INDEX($D$6:$CB$53,MATCH($CG35,$B$6:$B$53,0),COLUMN()-COLUMN($CI$5)+1)&gt;0,INDEX($D$6:$CB$53,MATCH($CG35,$B$6:$B$53,0),COLUMN()-COLUMN($CI$5)+1),""))</f>
        <v/>
      </c>
      <c r="DQ35" s="1753" t="str" cm="1">
        <f t="array" ref="DQ35">IF($CG35="","",IF(INDEX($D$6:$CB$53,MATCH($CG35,$B$6:$B$53,0),COLUMN()-COLUMN($CI$5)+1)&gt;0,INDEX($D$6:$CB$53,MATCH($CG35,$B$6:$B$53,0),COLUMN()-COLUMN($CI$5)+1),""))</f>
        <v/>
      </c>
      <c r="DR35" s="1753" t="str" cm="1">
        <f t="array" ref="DR35">IF($CG35="","",IF(INDEX($D$6:$CB$53,MATCH($CG35,$B$6:$B$53,0),COLUMN()-COLUMN($CI$5)+1)&gt;0,INDEX($D$6:$CB$53,MATCH($CG35,$B$6:$B$53,0),COLUMN()-COLUMN($CI$5)+1),""))</f>
        <v/>
      </c>
      <c r="DS35" s="1753" t="str" cm="1">
        <f t="array" ref="DS35">IF($CG35="","",IF(INDEX($D$6:$CB$53,MATCH($CG35,$B$6:$B$53,0),COLUMN()-COLUMN($CI$5)+1)&gt;0,INDEX($D$6:$CB$53,MATCH($CG35,$B$6:$B$53,0),COLUMN()-COLUMN($CI$5)+1),""))</f>
        <v/>
      </c>
      <c r="DT35" s="1753" t="str" cm="1">
        <f t="array" ref="DT35">IF($CG35="","",IF(INDEX($D$6:$CB$53,MATCH($CG35,$B$6:$B$53,0),COLUMN()-COLUMN($CI$5)+1)&gt;0,INDEX($D$6:$CB$53,MATCH($CG35,$B$6:$B$53,0),COLUMN()-COLUMN($CI$5)+1),""))</f>
        <v/>
      </c>
      <c r="DU35" s="1753" t="str" cm="1">
        <f t="array" ref="DU35">IF($CG35="","",IF(INDEX($D$6:$CB$53,MATCH($CG35,$B$6:$B$53,0),COLUMN()-COLUMN($CI$5)+1)&gt;0,INDEX($D$6:$CB$53,MATCH($CG35,$B$6:$B$53,0),COLUMN()-COLUMN($CI$5)+1),""))</f>
        <v/>
      </c>
      <c r="DV35" s="1753" t="str" cm="1">
        <f t="array" ref="DV35">IF($CG35="","",IF(INDEX($D$6:$CB$53,MATCH($CG35,$B$6:$B$53,0),COLUMN()-COLUMN($CI$5)+1)&gt;0,INDEX($D$6:$CB$53,MATCH($CG35,$B$6:$B$53,0),COLUMN()-COLUMN($CI$5)+1),""))</f>
        <v/>
      </c>
      <c r="DW35" s="1753" t="str" cm="1">
        <f t="array" ref="DW35">IF($CG35="","",IF(INDEX($D$6:$CB$53,MATCH($CG35,$B$6:$B$53,0),COLUMN()-COLUMN($CI$5)+1)&gt;0,INDEX($D$6:$CB$53,MATCH($CG35,$B$6:$B$53,0),COLUMN()-COLUMN($CI$5)+1),""))</f>
        <v/>
      </c>
      <c r="DX35" s="1753" t="str" cm="1">
        <f t="array" ref="DX35">IF($CG35="","",IF(INDEX($D$6:$CB$53,MATCH($CG35,$B$6:$B$53,0),COLUMN()-COLUMN($CI$5)+1)&gt;0,INDEX($D$6:$CB$53,MATCH($CG35,$B$6:$B$53,0),COLUMN()-COLUMN($CI$5)+1),""))</f>
        <v/>
      </c>
      <c r="DY35" s="1753" t="str" cm="1">
        <f t="array" ref="DY35">IF($CG35="","",IF(INDEX($D$6:$CB$53,MATCH($CG35,$B$6:$B$53,0),COLUMN()-COLUMN($CI$5)+1)&gt;0,INDEX($D$6:$CB$53,MATCH($CG35,$B$6:$B$53,0),COLUMN()-COLUMN($CI$5)+1),""))</f>
        <v/>
      </c>
      <c r="DZ35" s="1753" t="str" cm="1">
        <f t="array" ref="DZ35">IF($CG35="","",IF(INDEX($D$6:$CB$53,MATCH($CG35,$B$6:$B$53,0),COLUMN()-COLUMN($CI$5)+1)&gt;0,INDEX($D$6:$CB$53,MATCH($CG35,$B$6:$B$53,0),COLUMN()-COLUMN($CI$5)+1),""))</f>
        <v/>
      </c>
      <c r="EA35" s="1753" t="str" cm="1">
        <f t="array" ref="EA35">IF($CG35="","",IF(INDEX($D$6:$CB$53,MATCH($CG35,$B$6:$B$53,0),COLUMN()-COLUMN($CI$5)+1)&gt;0,INDEX($D$6:$CB$53,MATCH($CG35,$B$6:$B$53,0),COLUMN()-COLUMN($CI$5)+1),""))</f>
        <v/>
      </c>
      <c r="EB35" s="1753" t="str" cm="1">
        <f t="array" ref="EB35">IF($CG35="","",IF(INDEX($D$6:$CB$53,MATCH($CG35,$B$6:$B$53,0),COLUMN()-COLUMN($CI$5)+1)&gt;0,INDEX($D$6:$CB$53,MATCH($CG35,$B$6:$B$53,0),COLUMN()-COLUMN($CI$5)+1),""))</f>
        <v/>
      </c>
      <c r="EC35" s="1753" t="str" cm="1">
        <f t="array" ref="EC35">IF($CG35="","",IF(INDEX($D$6:$CB$53,MATCH($CG35,$B$6:$B$53,0),COLUMN()-COLUMN($CI$5)+1)&gt;0,INDEX($D$6:$CB$53,MATCH($CG35,$B$6:$B$53,0),COLUMN()-COLUMN($CI$5)+1),""))</f>
        <v/>
      </c>
      <c r="ED35" s="1753" t="str" cm="1">
        <f t="array" ref="ED35">IF($CG35="","",IF(INDEX($D$6:$CB$53,MATCH($CG35,$B$6:$B$53,0),COLUMN()-COLUMN($CI$5)+1)&gt;0,INDEX($D$6:$CB$53,MATCH($CG35,$B$6:$B$53,0),COLUMN()-COLUMN($CI$5)+1),""))</f>
        <v/>
      </c>
      <c r="EE35" s="1753" t="str" cm="1">
        <f t="array" ref="EE35">IF($CG35="","",IF(INDEX($D$6:$CB$53,MATCH($CG35,$B$6:$B$53,0),COLUMN()-COLUMN($CI$5)+1)&gt;0,INDEX($D$6:$CB$53,MATCH($CG35,$B$6:$B$53,0),COLUMN()-COLUMN($CI$5)+1),""))</f>
        <v/>
      </c>
      <c r="EF35" s="1753" t="str" cm="1">
        <f t="array" ref="EF35">IF($CG35="","",IF(INDEX($D$6:$CB$53,MATCH($CG35,$B$6:$B$53,0),COLUMN()-COLUMN($CI$5)+1)&gt;0,INDEX($D$6:$CB$53,MATCH($CG35,$B$6:$B$53,0),COLUMN()-COLUMN($CI$5)+1),""))</f>
        <v/>
      </c>
      <c r="EG35" s="1753" t="str" cm="1">
        <f t="array" ref="EG35">IF($CG35="","",IF(INDEX($D$6:$CB$53,MATCH($CG35,$B$6:$B$53,0),COLUMN()-COLUMN($CI$5)+1)&gt;0,INDEX($D$6:$CB$53,MATCH($CG35,$B$6:$B$53,0),COLUMN()-COLUMN($CI$5)+1),""))</f>
        <v/>
      </c>
      <c r="EH35" s="1753" t="str" cm="1">
        <f t="array" ref="EH35">IF($CG35="","",IF(INDEX($D$6:$CB$53,MATCH($CG35,$B$6:$B$53,0),COLUMN()-COLUMN($CI$5)+1)&gt;0,INDEX($D$6:$CB$53,MATCH($CG35,$B$6:$B$53,0),COLUMN()-COLUMN($CI$5)+1),""))</f>
        <v/>
      </c>
      <c r="EI35" s="1753" t="str" cm="1">
        <f t="array" ref="EI35">IF($CG35="","",IF(INDEX($D$6:$CB$53,MATCH($CG35,$B$6:$B$53,0),COLUMN()-COLUMN($CI$5)+1)&gt;0,INDEX($D$6:$CB$53,MATCH($CG35,$B$6:$B$53,0),COLUMN()-COLUMN($CI$5)+1),""))</f>
        <v/>
      </c>
      <c r="EJ35" s="1753" t="str" cm="1">
        <f t="array" ref="EJ35">IF($CG35="","",IF(INDEX($D$6:$CB$53,MATCH($CG35,$B$6:$B$53,0),COLUMN()-COLUMN($CI$5)+1)&gt;0,INDEX($D$6:$CB$53,MATCH($CG35,$B$6:$B$53,0),COLUMN()-COLUMN($CI$5)+1),""))</f>
        <v/>
      </c>
      <c r="EK35" s="1753" t="str" cm="1">
        <f t="array" ref="EK35">IF($CG35="","",IF(INDEX($D$6:$CB$53,MATCH($CG35,$B$6:$B$53,0),COLUMN()-COLUMN($CI$5)+1)&gt;0,INDEX($D$6:$CB$53,MATCH($CG35,$B$6:$B$53,0),COLUMN()-COLUMN($CI$5)+1),""))</f>
        <v/>
      </c>
      <c r="EL35" s="1753" t="str" cm="1">
        <f t="array" ref="EL35">IF($CG35="","",IF(INDEX($D$6:$CB$53,MATCH($CG35,$B$6:$B$53,0),COLUMN()-COLUMN($CI$5)+1)&gt;0,INDEX($D$6:$CB$53,MATCH($CG35,$B$6:$B$53,0),COLUMN()-COLUMN($CI$5)+1),""))</f>
        <v/>
      </c>
      <c r="EM35" s="1753" t="str" cm="1">
        <f t="array" ref="EM35">IF($CG35="","",IF(INDEX($D$6:$CB$53,MATCH($CG35,$B$6:$B$53,0),COLUMN()-COLUMN($CI$5)+1)&gt;0,INDEX($D$6:$CB$53,MATCH($CG35,$B$6:$B$53,0),COLUMN()-COLUMN($CI$5)+1),""))</f>
        <v/>
      </c>
      <c r="EN35" s="1753" t="str" cm="1">
        <f t="array" ref="EN35">IF($CG35="","",IF(INDEX($D$6:$CB$53,MATCH($CG35,$B$6:$B$53,0),COLUMN()-COLUMN($CI$5)+1)&gt;0,INDEX($D$6:$CB$53,MATCH($CG35,$B$6:$B$53,0),COLUMN()-COLUMN($CI$5)+1),""))</f>
        <v/>
      </c>
      <c r="EO35" s="1753" t="str" cm="1">
        <f t="array" ref="EO35">IF($CG35="","",IF(INDEX($D$6:$CB$53,MATCH($CG35,$B$6:$B$53,0),COLUMN()-COLUMN($CI$5)+1)&gt;0,INDEX($D$6:$CB$53,MATCH($CG35,$B$6:$B$53,0),COLUMN()-COLUMN($CI$5)+1),""))</f>
        <v/>
      </c>
      <c r="EP35" s="1753" t="str" cm="1">
        <f t="array" ref="EP35">IF($CG35="","",IF(INDEX($D$6:$CB$53,MATCH($CG35,$B$6:$B$53,0),COLUMN()-COLUMN($CI$5)+1)&gt;0,INDEX($D$6:$CB$53,MATCH($CG35,$B$6:$B$53,0),COLUMN()-COLUMN($CI$5)+1),""))</f>
        <v/>
      </c>
      <c r="EQ35" s="1753" t="str" cm="1">
        <f t="array" ref="EQ35">IF($CG35="","",IF(INDEX($D$6:$CB$53,MATCH($CG35,$B$6:$B$53,0),COLUMN()-COLUMN($CI$5)+1)&gt;0,INDEX($D$6:$CB$53,MATCH($CG35,$B$6:$B$53,0),COLUMN()-COLUMN($CI$5)+1),""))</f>
        <v/>
      </c>
      <c r="ER35" s="1753" t="str" cm="1">
        <f t="array" ref="ER35">IF($CG35="","",IF(INDEX($D$6:$CB$53,MATCH($CG35,$B$6:$B$53,0),COLUMN()-COLUMN($CI$5)+1)&gt;0,INDEX($D$6:$CB$53,MATCH($CG35,$B$6:$B$53,0),COLUMN()-COLUMN($CI$5)+1),""))</f>
        <v/>
      </c>
      <c r="ES35" s="1753" t="str" cm="1">
        <f t="array" ref="ES35">IF($CG35="","",IF(INDEX($D$6:$CB$53,MATCH($CG35,$B$6:$B$53,0),COLUMN()-COLUMN($CI$5)+1)&gt;0,INDEX($D$6:$CB$53,MATCH($CG35,$B$6:$B$53,0),COLUMN()-COLUMN($CI$5)+1),""))</f>
        <v/>
      </c>
      <c r="ET35" s="1753" t="str" cm="1">
        <f t="array" ref="ET35">IF($CG35="","",IF(INDEX($D$6:$CB$53,MATCH($CG35,$B$6:$B$53,0),COLUMN()-COLUMN($CI$5)+1)&gt;0,INDEX($D$6:$CB$53,MATCH($CG35,$B$6:$B$53,0),COLUMN()-COLUMN($CI$5)+1),""))</f>
        <v/>
      </c>
      <c r="EU35" s="1753" t="str" cm="1">
        <f t="array" ref="EU35">IF($CG35="","",IF(INDEX($D$6:$CB$53,MATCH($CG35,$B$6:$B$53,0),COLUMN()-COLUMN($CI$5)+1)&gt;0,INDEX($D$6:$CB$53,MATCH($CG35,$B$6:$B$53,0),COLUMN()-COLUMN($CI$5)+1),""))</f>
        <v/>
      </c>
      <c r="EV35" s="1753" t="str" cm="1">
        <f t="array" ref="EV35">IF($CG35="","",IF(INDEX($D$6:$CB$53,MATCH($CG35,$B$6:$B$53,0),COLUMN()-COLUMN($CI$5)+1)&gt;0,INDEX($D$6:$CB$53,MATCH($CG35,$B$6:$B$53,0),COLUMN()-COLUMN($CI$5)+1),""))</f>
        <v/>
      </c>
      <c r="EW35" s="1753" t="str" cm="1">
        <f t="array" ref="EW35">IF($CG35="","",IF(INDEX($D$6:$CB$53,MATCH($CG35,$B$6:$B$53,0),COLUMN()-COLUMN($CI$5)+1)&gt;0,INDEX($D$6:$CB$53,MATCH($CG35,$B$6:$B$53,0),COLUMN()-COLUMN($CI$5)+1),""))</f>
        <v/>
      </c>
      <c r="EX35" s="1753" t="str" cm="1">
        <f t="array" ref="EX35">IF($CG35="","",IF(INDEX($D$6:$CB$53,MATCH($CG35,$B$6:$B$53,0),COLUMN()-COLUMN($CI$5)+1)&gt;0,INDEX($D$6:$CB$53,MATCH($CG35,$B$6:$B$53,0),COLUMN()-COLUMN($CI$5)+1),""))</f>
        <v/>
      </c>
      <c r="EY35" s="1753" t="str" cm="1">
        <f t="array" ref="EY35">IF($CG35="","",IF(INDEX($D$6:$CB$53,MATCH($CG35,$B$6:$B$53,0),COLUMN()-COLUMN($CI$5)+1)&gt;0,INDEX($D$6:$CB$53,MATCH($CG35,$B$6:$B$53,0),COLUMN()-COLUMN($CI$5)+1),""))</f>
        <v/>
      </c>
      <c r="EZ35" s="1753" t="str" cm="1">
        <f t="array" ref="EZ35">IF($CG35="","",IF(INDEX($D$6:$CB$53,MATCH($CG35,$B$6:$B$53,0),COLUMN()-COLUMN($CI$5)+1)&gt;0,INDEX($D$6:$CB$53,MATCH($CG35,$B$6:$B$53,0),COLUMN()-COLUMN($CI$5)+1),""))</f>
        <v/>
      </c>
      <c r="FA35" s="1753" t="str" cm="1">
        <f t="array" ref="FA35">IF($CG35="","",IF(INDEX($D$6:$CB$53,MATCH($CG35,$B$6:$B$53,0),COLUMN()-COLUMN($CI$5)+1)&gt;0,INDEX($D$6:$CB$53,MATCH($CG35,$B$6:$B$53,0),COLUMN()-COLUMN($CI$5)+1),""))</f>
        <v/>
      </c>
      <c r="FB35" s="1753" t="str" cm="1">
        <f t="array" ref="FB35">IF($CG35="","",IF(INDEX($D$6:$CB$53,MATCH($CG35,$B$6:$B$53,0),COLUMN()-COLUMN($CI$5)+1)&gt;0,INDEX($D$6:$CB$53,MATCH($CG35,$B$6:$B$53,0),COLUMN()-COLUMN($CI$5)+1),""))</f>
        <v/>
      </c>
      <c r="FC35" s="1753" t="str" cm="1">
        <f t="array" ref="FC35">IF($CG35="","",IF(INDEX($D$6:$CB$53,MATCH($CG35,$B$6:$B$53,0),COLUMN()-COLUMN($CI$5)+1)&gt;0,INDEX($D$6:$CB$53,MATCH($CG35,$B$6:$B$53,0),COLUMN()-COLUMN($CI$5)+1),""))</f>
        <v/>
      </c>
      <c r="FD35" s="1753" t="str" cm="1">
        <f t="array" ref="FD35">IF($CG35="","",IF(INDEX($D$6:$CB$53,MATCH($CG35,$B$6:$B$53,0),COLUMN()-COLUMN($CI$5)+1)&gt;0,INDEX($D$6:$CB$53,MATCH($CG35,$B$6:$B$53,0),COLUMN()-COLUMN($CI$5)+1),""))</f>
        <v/>
      </c>
      <c r="FE35" s="1753" t="str" cm="1">
        <f t="array" ref="FE35">IF($CG35="","",IF(INDEX($D$6:$CB$53,MATCH($CG35,$B$6:$B$53,0),COLUMN()-COLUMN($CI$5)+1)&gt;0,INDEX($D$6:$CB$53,MATCH($CG35,$B$6:$B$53,0),COLUMN()-COLUMN($CI$5)+1),""))</f>
        <v/>
      </c>
      <c r="FF35" s="1753" t="str" cm="1">
        <f t="array" ref="FF35">IF($CG35="","",IF(INDEX($D$6:$CB$53,MATCH($CG35,$B$6:$B$53,0),COLUMN()-COLUMN($CI$5)+1)&gt;0,INDEX($D$6:$CB$53,MATCH($CG35,$B$6:$B$53,0),COLUMN()-COLUMN($CI$5)+1),""))</f>
        <v/>
      </c>
      <c r="FG35" s="1753" t="str" cm="1">
        <f t="array" ref="FG35">IF($CG35="","",IF(INDEX($D$6:$CB$53,MATCH($CG35,$B$6:$B$53,0),COLUMN()-COLUMN($CI$5)+1)&gt;0,INDEX($D$6:$CB$53,MATCH($CG35,$B$6:$B$53,0),COLUMN()-COLUMN($CI$5)+1),""))</f>
        <v/>
      </c>
      <c r="FH35" s="1753" t="str">
        <f t="shared" si="4"/>
        <v/>
      </c>
      <c r="FI35" s="1753" t="str">
        <f t="shared" si="5"/>
        <v/>
      </c>
      <c r="FJ35" s="1753" t="str">
        <f t="shared" si="6"/>
        <v/>
      </c>
      <c r="FK35" s="1753"/>
    </row>
    <row r="36" spans="1:167" ht="15.75" customHeight="1">
      <c r="A36" s="1220"/>
      <c r="B36" s="1278">
        <f>+PP!B54</f>
        <v>31</v>
      </c>
      <c r="C36" s="1277" t="str">
        <f>+PP!C54</f>
        <v>RECORTE BLANCO SM ST</v>
      </c>
      <c r="D36" s="1401"/>
      <c r="E36" s="1402"/>
      <c r="F36" s="1402"/>
      <c r="G36" s="1402"/>
      <c r="H36" s="1402"/>
      <c r="I36" s="1402"/>
      <c r="J36" s="1402"/>
      <c r="K36" s="1402"/>
      <c r="L36" s="1402"/>
      <c r="M36" s="1402"/>
      <c r="N36" s="1402"/>
      <c r="O36" s="1402"/>
      <c r="P36" s="1402"/>
      <c r="Q36" s="1402"/>
      <c r="R36" s="1402"/>
      <c r="S36" s="1402"/>
      <c r="T36" s="1402"/>
      <c r="U36" s="1402"/>
      <c r="V36" s="1402"/>
      <c r="W36" s="1402"/>
      <c r="X36" s="1402"/>
      <c r="Y36" s="1402"/>
      <c r="Z36" s="1402"/>
      <c r="AA36" s="1402"/>
      <c r="AB36" s="1402"/>
      <c r="AC36" s="1402"/>
      <c r="AD36" s="1402"/>
      <c r="AE36" s="1402"/>
      <c r="AF36" s="1402"/>
      <c r="AG36" s="1402"/>
      <c r="AH36" s="1403"/>
      <c r="AI36" s="1232"/>
      <c r="AJ36" s="1232"/>
      <c r="AK36" s="1232"/>
      <c r="AL36" s="1232"/>
      <c r="AM36" s="1232"/>
      <c r="AN36" s="1232"/>
      <c r="AO36" s="1232"/>
      <c r="AP36" s="1217"/>
      <c r="AQ36" s="1217"/>
      <c r="AR36" s="1217"/>
      <c r="AS36" s="1217"/>
      <c r="AT36" s="1217"/>
      <c r="AU36" s="1217"/>
      <c r="AV36" s="1217"/>
      <c r="AW36" s="1217"/>
      <c r="AX36" s="1217"/>
      <c r="AY36" s="1217"/>
      <c r="AZ36" s="1217"/>
      <c r="BA36" s="1217"/>
      <c r="BB36" s="1217"/>
      <c r="BC36" s="1217"/>
      <c r="BD36" s="1217"/>
      <c r="BE36" s="1217"/>
      <c r="BF36" s="1217"/>
      <c r="BG36" s="1217"/>
      <c r="BH36" s="1217"/>
      <c r="BI36" s="1217"/>
      <c r="BJ36" s="1217"/>
      <c r="BK36" s="1217"/>
      <c r="BL36" s="1217"/>
      <c r="BM36" s="1217"/>
      <c r="BN36" s="1217"/>
      <c r="BO36" s="1217"/>
      <c r="BP36" s="1217"/>
      <c r="BQ36" s="1217"/>
      <c r="BR36" s="1562"/>
      <c r="BS36" s="1562"/>
      <c r="BT36" s="1562"/>
      <c r="BU36" s="1562"/>
      <c r="BV36" s="1562"/>
      <c r="BW36" s="1562"/>
      <c r="BX36" s="1562"/>
      <c r="BY36" s="1562"/>
      <c r="BZ36" s="1562"/>
      <c r="CA36" s="1562"/>
      <c r="CB36" s="1563"/>
      <c r="CC36" s="1549">
        <f t="shared" si="0"/>
        <v>0</v>
      </c>
      <c r="CD36" s="1233">
        <f t="shared" si="1"/>
        <v>0</v>
      </c>
      <c r="CE36" s="1234">
        <f t="shared" si="2"/>
        <v>0</v>
      </c>
      <c r="CF36" s="1220"/>
      <c r="CG36" s="1751" t="str" cm="1">
        <f t="array" ref="CG36">IFERROR(INDEX($B$6:$B$53,_xlfn.AGGREGATE(15,6,(ROW($B$6:$B$53)-ROW($B$6)+1)/(MMULT(--($D$6:$CB$53&gt;0),TRANSPOSE(COLUMN($D$6:$CB$6)^0))&gt;0),ROWS($CG$6:CG36))),"")</f>
        <v/>
      </c>
      <c r="CH36" s="1752" t="str">
        <f t="shared" si="3"/>
        <v/>
      </c>
      <c r="CI36" s="1753" t="str" cm="1">
        <f t="array" ref="CI36">IF($CG36="","",IF(INDEX($D$6:$CB$53,MATCH($CG36,$B$6:$B$53,0),COLUMN()-COLUMN($CI$5)+1)&gt;0,INDEX($D$6:$CB$53,MATCH($CG36,$B$6:$B$53,0),COLUMN()-COLUMN($CI$5)+1),""))</f>
        <v/>
      </c>
      <c r="CJ36" s="1753" t="str" cm="1">
        <f t="array" ref="CJ36">IF($CG36="","",IF(INDEX($D$6:$CB$53,MATCH($CG36,$B$6:$B$53,0),COLUMN()-COLUMN($CI$5)+1)&gt;0,INDEX($D$6:$CB$53,MATCH($CG36,$B$6:$B$53,0),COLUMN()-COLUMN($CI$5)+1),""))</f>
        <v/>
      </c>
      <c r="CK36" s="1753" t="str" cm="1">
        <f t="array" ref="CK36">IF($CG36="","",IF(INDEX($D$6:$CB$53,MATCH($CG36,$B$6:$B$53,0),COLUMN()-COLUMN($CI$5)+1)&gt;0,INDEX($D$6:$CB$53,MATCH($CG36,$B$6:$B$53,0),COLUMN()-COLUMN($CI$5)+1),""))</f>
        <v/>
      </c>
      <c r="CL36" s="1753" t="str" cm="1">
        <f t="array" ref="CL36">IF($CG36="","",IF(INDEX($D$6:$CB$53,MATCH($CG36,$B$6:$B$53,0),COLUMN()-COLUMN($CI$5)+1)&gt;0,INDEX($D$6:$CB$53,MATCH($CG36,$B$6:$B$53,0),COLUMN()-COLUMN($CI$5)+1),""))</f>
        <v/>
      </c>
      <c r="CM36" s="1753" t="str" cm="1">
        <f t="array" ref="CM36">IF($CG36="","",IF(INDEX($D$6:$CB$53,MATCH($CG36,$B$6:$B$53,0),COLUMN()-COLUMN($CI$5)+1)&gt;0,INDEX($D$6:$CB$53,MATCH($CG36,$B$6:$B$53,0),COLUMN()-COLUMN($CI$5)+1),""))</f>
        <v/>
      </c>
      <c r="CN36" s="1753" t="str" cm="1">
        <f t="array" ref="CN36">IF($CG36="","",IF(INDEX($D$6:$CB$53,MATCH($CG36,$B$6:$B$53,0),COLUMN()-COLUMN($CI$5)+1)&gt;0,INDEX($D$6:$CB$53,MATCH($CG36,$B$6:$B$53,0),COLUMN()-COLUMN($CI$5)+1),""))</f>
        <v/>
      </c>
      <c r="CO36" s="1753" t="str" cm="1">
        <f t="array" ref="CO36">IF($CG36="","",IF(INDEX($D$6:$CB$53,MATCH($CG36,$B$6:$B$53,0),COLUMN()-COLUMN($CI$5)+1)&gt;0,INDEX($D$6:$CB$53,MATCH($CG36,$B$6:$B$53,0),COLUMN()-COLUMN($CI$5)+1),""))</f>
        <v/>
      </c>
      <c r="CP36" s="1753" t="str" cm="1">
        <f t="array" ref="CP36">IF($CG36="","",IF(INDEX($D$6:$CB$53,MATCH($CG36,$B$6:$B$53,0),COLUMN()-COLUMN($CI$5)+1)&gt;0,INDEX($D$6:$CB$53,MATCH($CG36,$B$6:$B$53,0),COLUMN()-COLUMN($CI$5)+1),""))</f>
        <v/>
      </c>
      <c r="CQ36" s="1753" t="str" cm="1">
        <f t="array" ref="CQ36">IF($CG36="","",IF(INDEX($D$6:$CB$53,MATCH($CG36,$B$6:$B$53,0),COLUMN()-COLUMN($CI$5)+1)&gt;0,INDEX($D$6:$CB$53,MATCH($CG36,$B$6:$B$53,0),COLUMN()-COLUMN($CI$5)+1),""))</f>
        <v/>
      </c>
      <c r="CR36" s="1753" t="str" cm="1">
        <f t="array" ref="CR36">IF($CG36="","",IF(INDEX($D$6:$CB$53,MATCH($CG36,$B$6:$B$53,0),COLUMN()-COLUMN($CI$5)+1)&gt;0,INDEX($D$6:$CB$53,MATCH($CG36,$B$6:$B$53,0),COLUMN()-COLUMN($CI$5)+1),""))</f>
        <v/>
      </c>
      <c r="CS36" s="1753" t="str" cm="1">
        <f t="array" ref="CS36">IF($CG36="","",IF(INDEX($D$6:$CB$53,MATCH($CG36,$B$6:$B$53,0),COLUMN()-COLUMN($CI$5)+1)&gt;0,INDEX($D$6:$CB$53,MATCH($CG36,$B$6:$B$53,0),COLUMN()-COLUMN($CI$5)+1),""))</f>
        <v/>
      </c>
      <c r="CT36" s="1753" t="str" cm="1">
        <f t="array" ref="CT36">IF($CG36="","",IF(INDEX($D$6:$CB$53,MATCH($CG36,$B$6:$B$53,0),COLUMN()-COLUMN($CI$5)+1)&gt;0,INDEX($D$6:$CB$53,MATCH($CG36,$B$6:$B$53,0),COLUMN()-COLUMN($CI$5)+1),""))</f>
        <v/>
      </c>
      <c r="CU36" s="1753" t="str" cm="1">
        <f t="array" ref="CU36">IF($CG36="","",IF(INDEX($D$6:$CB$53,MATCH($CG36,$B$6:$B$53,0),COLUMN()-COLUMN($CI$5)+1)&gt;0,INDEX($D$6:$CB$53,MATCH($CG36,$B$6:$B$53,0),COLUMN()-COLUMN($CI$5)+1),""))</f>
        <v/>
      </c>
      <c r="CV36" s="1753" t="str" cm="1">
        <f t="array" ref="CV36">IF($CG36="","",IF(INDEX($D$6:$CB$53,MATCH($CG36,$B$6:$B$53,0),COLUMN()-COLUMN($CI$5)+1)&gt;0,INDEX($D$6:$CB$53,MATCH($CG36,$B$6:$B$53,0),COLUMN()-COLUMN($CI$5)+1),""))</f>
        <v/>
      </c>
      <c r="CW36" s="1753" t="str" cm="1">
        <f t="array" ref="CW36">IF($CG36="","",IF(INDEX($D$6:$CB$53,MATCH($CG36,$B$6:$B$53,0),COLUMN()-COLUMN($CI$5)+1)&gt;0,INDEX($D$6:$CB$53,MATCH($CG36,$B$6:$B$53,0),COLUMN()-COLUMN($CI$5)+1),""))</f>
        <v/>
      </c>
      <c r="CX36" s="1753" t="str" cm="1">
        <f t="array" ref="CX36">IF($CG36="","",IF(INDEX($D$6:$CB$53,MATCH($CG36,$B$6:$B$53,0),COLUMN()-COLUMN($CI$5)+1)&gt;0,INDEX($D$6:$CB$53,MATCH($CG36,$B$6:$B$53,0),COLUMN()-COLUMN($CI$5)+1),""))</f>
        <v/>
      </c>
      <c r="CY36" s="1753" t="str" cm="1">
        <f t="array" ref="CY36">IF($CG36="","",IF(INDEX($D$6:$CB$53,MATCH($CG36,$B$6:$B$53,0),COLUMN()-COLUMN($CI$5)+1)&gt;0,INDEX($D$6:$CB$53,MATCH($CG36,$B$6:$B$53,0),COLUMN()-COLUMN($CI$5)+1),""))</f>
        <v/>
      </c>
      <c r="CZ36" s="1753" t="str" cm="1">
        <f t="array" ref="CZ36">IF($CG36="","",IF(INDEX($D$6:$CB$53,MATCH($CG36,$B$6:$B$53,0),COLUMN()-COLUMN($CI$5)+1)&gt;0,INDEX($D$6:$CB$53,MATCH($CG36,$B$6:$B$53,0),COLUMN()-COLUMN($CI$5)+1),""))</f>
        <v/>
      </c>
      <c r="DA36" s="1753" t="str" cm="1">
        <f t="array" ref="DA36">IF($CG36="","",IF(INDEX($D$6:$CB$53,MATCH($CG36,$B$6:$B$53,0),COLUMN()-COLUMN($CI$5)+1)&gt;0,INDEX($D$6:$CB$53,MATCH($CG36,$B$6:$B$53,0),COLUMN()-COLUMN($CI$5)+1),""))</f>
        <v/>
      </c>
      <c r="DB36" s="1753" t="str" cm="1">
        <f t="array" ref="DB36">IF($CG36="","",IF(INDEX($D$6:$CB$53,MATCH($CG36,$B$6:$B$53,0),COLUMN()-COLUMN($CI$5)+1)&gt;0,INDEX($D$6:$CB$53,MATCH($CG36,$B$6:$B$53,0),COLUMN()-COLUMN($CI$5)+1),""))</f>
        <v/>
      </c>
      <c r="DC36" s="1753" t="str" cm="1">
        <f t="array" ref="DC36">IF($CG36="","",IF(INDEX($D$6:$CB$53,MATCH($CG36,$B$6:$B$53,0),COLUMN()-COLUMN($CI$5)+1)&gt;0,INDEX($D$6:$CB$53,MATCH($CG36,$B$6:$B$53,0),COLUMN()-COLUMN($CI$5)+1),""))</f>
        <v/>
      </c>
      <c r="DD36" s="1753" t="str" cm="1">
        <f t="array" ref="DD36">IF($CG36="","",IF(INDEX($D$6:$CB$53,MATCH($CG36,$B$6:$B$53,0),COLUMN()-COLUMN($CI$5)+1)&gt;0,INDEX($D$6:$CB$53,MATCH($CG36,$B$6:$B$53,0),COLUMN()-COLUMN($CI$5)+1),""))</f>
        <v/>
      </c>
      <c r="DE36" s="1753" t="str" cm="1">
        <f t="array" ref="DE36">IF($CG36="","",IF(INDEX($D$6:$CB$53,MATCH($CG36,$B$6:$B$53,0),COLUMN()-COLUMN($CI$5)+1)&gt;0,INDEX($D$6:$CB$53,MATCH($CG36,$B$6:$B$53,0),COLUMN()-COLUMN($CI$5)+1),""))</f>
        <v/>
      </c>
      <c r="DF36" s="1753" t="str" cm="1">
        <f t="array" ref="DF36">IF($CG36="","",IF(INDEX($D$6:$CB$53,MATCH($CG36,$B$6:$B$53,0),COLUMN()-COLUMN($CI$5)+1)&gt;0,INDEX($D$6:$CB$53,MATCH($CG36,$B$6:$B$53,0),COLUMN()-COLUMN($CI$5)+1),""))</f>
        <v/>
      </c>
      <c r="DG36" s="1753" t="str" cm="1">
        <f t="array" ref="DG36">IF($CG36="","",IF(INDEX($D$6:$CB$53,MATCH($CG36,$B$6:$B$53,0),COLUMN()-COLUMN($CI$5)+1)&gt;0,INDEX($D$6:$CB$53,MATCH($CG36,$B$6:$B$53,0),COLUMN()-COLUMN($CI$5)+1),""))</f>
        <v/>
      </c>
      <c r="DH36" s="1753" t="str" cm="1">
        <f t="array" ref="DH36">IF($CG36="","",IF(INDEX($D$6:$CB$53,MATCH($CG36,$B$6:$B$53,0),COLUMN()-COLUMN($CI$5)+1)&gt;0,INDEX($D$6:$CB$53,MATCH($CG36,$B$6:$B$53,0),COLUMN()-COLUMN($CI$5)+1),""))</f>
        <v/>
      </c>
      <c r="DI36" s="1753" t="str" cm="1">
        <f t="array" ref="DI36">IF($CG36="","",IF(INDEX($D$6:$CB$53,MATCH($CG36,$B$6:$B$53,0),COLUMN()-COLUMN($CI$5)+1)&gt;0,INDEX($D$6:$CB$53,MATCH($CG36,$B$6:$B$53,0),COLUMN()-COLUMN($CI$5)+1),""))</f>
        <v/>
      </c>
      <c r="DJ36" s="1753" t="str" cm="1">
        <f t="array" ref="DJ36">IF($CG36="","",IF(INDEX($D$6:$CB$53,MATCH($CG36,$B$6:$B$53,0),COLUMN()-COLUMN($CI$5)+1)&gt;0,INDEX($D$6:$CB$53,MATCH($CG36,$B$6:$B$53,0),COLUMN()-COLUMN($CI$5)+1),""))</f>
        <v/>
      </c>
      <c r="DK36" s="1753" t="str" cm="1">
        <f t="array" ref="DK36">IF($CG36="","",IF(INDEX($D$6:$CB$53,MATCH($CG36,$B$6:$B$53,0),COLUMN()-COLUMN($CI$5)+1)&gt;0,INDEX($D$6:$CB$53,MATCH($CG36,$B$6:$B$53,0),COLUMN()-COLUMN($CI$5)+1),""))</f>
        <v/>
      </c>
      <c r="DL36" s="1753" t="str" cm="1">
        <f t="array" ref="DL36">IF($CG36="","",IF(INDEX($D$6:$CB$53,MATCH($CG36,$B$6:$B$53,0),COLUMN()-COLUMN($CI$5)+1)&gt;0,INDEX($D$6:$CB$53,MATCH($CG36,$B$6:$B$53,0),COLUMN()-COLUMN($CI$5)+1),""))</f>
        <v/>
      </c>
      <c r="DM36" s="1753" t="str" cm="1">
        <f t="array" ref="DM36">IF($CG36="","",IF(INDEX($D$6:$CB$53,MATCH($CG36,$B$6:$B$53,0),COLUMN()-COLUMN($CI$5)+1)&gt;0,INDEX($D$6:$CB$53,MATCH($CG36,$B$6:$B$53,0),COLUMN()-COLUMN($CI$5)+1),""))</f>
        <v/>
      </c>
      <c r="DN36" s="1753" t="str" cm="1">
        <f t="array" ref="DN36">IF($CG36="","",IF(INDEX($D$6:$CB$53,MATCH($CG36,$B$6:$B$53,0),COLUMN()-COLUMN($CI$5)+1)&gt;0,INDEX($D$6:$CB$53,MATCH($CG36,$B$6:$B$53,0),COLUMN()-COLUMN($CI$5)+1),""))</f>
        <v/>
      </c>
      <c r="DO36" s="1753" t="str" cm="1">
        <f t="array" ref="DO36">IF($CG36="","",IF(INDEX($D$6:$CB$53,MATCH($CG36,$B$6:$B$53,0),COLUMN()-COLUMN($CI$5)+1)&gt;0,INDEX($D$6:$CB$53,MATCH($CG36,$B$6:$B$53,0),COLUMN()-COLUMN($CI$5)+1),""))</f>
        <v/>
      </c>
      <c r="DP36" s="1753" t="str" cm="1">
        <f t="array" ref="DP36">IF($CG36="","",IF(INDEX($D$6:$CB$53,MATCH($CG36,$B$6:$B$53,0),COLUMN()-COLUMN($CI$5)+1)&gt;0,INDEX($D$6:$CB$53,MATCH($CG36,$B$6:$B$53,0),COLUMN()-COLUMN($CI$5)+1),""))</f>
        <v/>
      </c>
      <c r="DQ36" s="1753" t="str" cm="1">
        <f t="array" ref="DQ36">IF($CG36="","",IF(INDEX($D$6:$CB$53,MATCH($CG36,$B$6:$B$53,0),COLUMN()-COLUMN($CI$5)+1)&gt;0,INDEX($D$6:$CB$53,MATCH($CG36,$B$6:$B$53,0),COLUMN()-COLUMN($CI$5)+1),""))</f>
        <v/>
      </c>
      <c r="DR36" s="1753" t="str" cm="1">
        <f t="array" ref="DR36">IF($CG36="","",IF(INDEX($D$6:$CB$53,MATCH($CG36,$B$6:$B$53,0),COLUMN()-COLUMN($CI$5)+1)&gt;0,INDEX($D$6:$CB$53,MATCH($CG36,$B$6:$B$53,0),COLUMN()-COLUMN($CI$5)+1),""))</f>
        <v/>
      </c>
      <c r="DS36" s="1753" t="str" cm="1">
        <f t="array" ref="DS36">IF($CG36="","",IF(INDEX($D$6:$CB$53,MATCH($CG36,$B$6:$B$53,0),COLUMN()-COLUMN($CI$5)+1)&gt;0,INDEX($D$6:$CB$53,MATCH($CG36,$B$6:$B$53,0),COLUMN()-COLUMN($CI$5)+1),""))</f>
        <v/>
      </c>
      <c r="DT36" s="1753" t="str" cm="1">
        <f t="array" ref="DT36">IF($CG36="","",IF(INDEX($D$6:$CB$53,MATCH($CG36,$B$6:$B$53,0),COLUMN()-COLUMN($CI$5)+1)&gt;0,INDEX($D$6:$CB$53,MATCH($CG36,$B$6:$B$53,0),COLUMN()-COLUMN($CI$5)+1),""))</f>
        <v/>
      </c>
      <c r="DU36" s="1753" t="str" cm="1">
        <f t="array" ref="DU36">IF($CG36="","",IF(INDEX($D$6:$CB$53,MATCH($CG36,$B$6:$B$53,0),COLUMN()-COLUMN($CI$5)+1)&gt;0,INDEX($D$6:$CB$53,MATCH($CG36,$B$6:$B$53,0),COLUMN()-COLUMN($CI$5)+1),""))</f>
        <v/>
      </c>
      <c r="DV36" s="1753" t="str" cm="1">
        <f t="array" ref="DV36">IF($CG36="","",IF(INDEX($D$6:$CB$53,MATCH($CG36,$B$6:$B$53,0),COLUMN()-COLUMN($CI$5)+1)&gt;0,INDEX($D$6:$CB$53,MATCH($CG36,$B$6:$B$53,0),COLUMN()-COLUMN($CI$5)+1),""))</f>
        <v/>
      </c>
      <c r="DW36" s="1753" t="str" cm="1">
        <f t="array" ref="DW36">IF($CG36="","",IF(INDEX($D$6:$CB$53,MATCH($CG36,$B$6:$B$53,0),COLUMN()-COLUMN($CI$5)+1)&gt;0,INDEX($D$6:$CB$53,MATCH($CG36,$B$6:$B$53,0),COLUMN()-COLUMN($CI$5)+1),""))</f>
        <v/>
      </c>
      <c r="DX36" s="1753" t="str" cm="1">
        <f t="array" ref="DX36">IF($CG36="","",IF(INDEX($D$6:$CB$53,MATCH($CG36,$B$6:$B$53,0),COLUMN()-COLUMN($CI$5)+1)&gt;0,INDEX($D$6:$CB$53,MATCH($CG36,$B$6:$B$53,0),COLUMN()-COLUMN($CI$5)+1),""))</f>
        <v/>
      </c>
      <c r="DY36" s="1753" t="str" cm="1">
        <f t="array" ref="DY36">IF($CG36="","",IF(INDEX($D$6:$CB$53,MATCH($CG36,$B$6:$B$53,0),COLUMN()-COLUMN($CI$5)+1)&gt;0,INDEX($D$6:$CB$53,MATCH($CG36,$B$6:$B$53,0),COLUMN()-COLUMN($CI$5)+1),""))</f>
        <v/>
      </c>
      <c r="DZ36" s="1753" t="str" cm="1">
        <f t="array" ref="DZ36">IF($CG36="","",IF(INDEX($D$6:$CB$53,MATCH($CG36,$B$6:$B$53,0),COLUMN()-COLUMN($CI$5)+1)&gt;0,INDEX($D$6:$CB$53,MATCH($CG36,$B$6:$B$53,0),COLUMN()-COLUMN($CI$5)+1),""))</f>
        <v/>
      </c>
      <c r="EA36" s="1753" t="str" cm="1">
        <f t="array" ref="EA36">IF($CG36="","",IF(INDEX($D$6:$CB$53,MATCH($CG36,$B$6:$B$53,0),COLUMN()-COLUMN($CI$5)+1)&gt;0,INDEX($D$6:$CB$53,MATCH($CG36,$B$6:$B$53,0),COLUMN()-COLUMN($CI$5)+1),""))</f>
        <v/>
      </c>
      <c r="EB36" s="1753" t="str" cm="1">
        <f t="array" ref="EB36">IF($CG36="","",IF(INDEX($D$6:$CB$53,MATCH($CG36,$B$6:$B$53,0),COLUMN()-COLUMN($CI$5)+1)&gt;0,INDEX($D$6:$CB$53,MATCH($CG36,$B$6:$B$53,0),COLUMN()-COLUMN($CI$5)+1),""))</f>
        <v/>
      </c>
      <c r="EC36" s="1753" t="str" cm="1">
        <f t="array" ref="EC36">IF($CG36="","",IF(INDEX($D$6:$CB$53,MATCH($CG36,$B$6:$B$53,0),COLUMN()-COLUMN($CI$5)+1)&gt;0,INDEX($D$6:$CB$53,MATCH($CG36,$B$6:$B$53,0),COLUMN()-COLUMN($CI$5)+1),""))</f>
        <v/>
      </c>
      <c r="ED36" s="1753" t="str" cm="1">
        <f t="array" ref="ED36">IF($CG36="","",IF(INDEX($D$6:$CB$53,MATCH($CG36,$B$6:$B$53,0),COLUMN()-COLUMN($CI$5)+1)&gt;0,INDEX($D$6:$CB$53,MATCH($CG36,$B$6:$B$53,0),COLUMN()-COLUMN($CI$5)+1),""))</f>
        <v/>
      </c>
      <c r="EE36" s="1753" t="str" cm="1">
        <f t="array" ref="EE36">IF($CG36="","",IF(INDEX($D$6:$CB$53,MATCH($CG36,$B$6:$B$53,0),COLUMN()-COLUMN($CI$5)+1)&gt;0,INDEX($D$6:$CB$53,MATCH($CG36,$B$6:$B$53,0),COLUMN()-COLUMN($CI$5)+1),""))</f>
        <v/>
      </c>
      <c r="EF36" s="1753" t="str" cm="1">
        <f t="array" ref="EF36">IF($CG36="","",IF(INDEX($D$6:$CB$53,MATCH($CG36,$B$6:$B$53,0),COLUMN()-COLUMN($CI$5)+1)&gt;0,INDEX($D$6:$CB$53,MATCH($CG36,$B$6:$B$53,0),COLUMN()-COLUMN($CI$5)+1),""))</f>
        <v/>
      </c>
      <c r="EG36" s="1753" t="str" cm="1">
        <f t="array" ref="EG36">IF($CG36="","",IF(INDEX($D$6:$CB$53,MATCH($CG36,$B$6:$B$53,0),COLUMN()-COLUMN($CI$5)+1)&gt;0,INDEX($D$6:$CB$53,MATCH($CG36,$B$6:$B$53,0),COLUMN()-COLUMN($CI$5)+1),""))</f>
        <v/>
      </c>
      <c r="EH36" s="1753" t="str" cm="1">
        <f t="array" ref="EH36">IF($CG36="","",IF(INDEX($D$6:$CB$53,MATCH($CG36,$B$6:$B$53,0),COLUMN()-COLUMN($CI$5)+1)&gt;0,INDEX($D$6:$CB$53,MATCH($CG36,$B$6:$B$53,0),COLUMN()-COLUMN($CI$5)+1),""))</f>
        <v/>
      </c>
      <c r="EI36" s="1753" t="str" cm="1">
        <f t="array" ref="EI36">IF($CG36="","",IF(INDEX($D$6:$CB$53,MATCH($CG36,$B$6:$B$53,0),COLUMN()-COLUMN($CI$5)+1)&gt;0,INDEX($D$6:$CB$53,MATCH($CG36,$B$6:$B$53,0),COLUMN()-COLUMN($CI$5)+1),""))</f>
        <v/>
      </c>
      <c r="EJ36" s="1753" t="str" cm="1">
        <f t="array" ref="EJ36">IF($CG36="","",IF(INDEX($D$6:$CB$53,MATCH($CG36,$B$6:$B$53,0),COLUMN()-COLUMN($CI$5)+1)&gt;0,INDEX($D$6:$CB$53,MATCH($CG36,$B$6:$B$53,0),COLUMN()-COLUMN($CI$5)+1),""))</f>
        <v/>
      </c>
      <c r="EK36" s="1753" t="str" cm="1">
        <f t="array" ref="EK36">IF($CG36="","",IF(INDEX($D$6:$CB$53,MATCH($CG36,$B$6:$B$53,0),COLUMN()-COLUMN($CI$5)+1)&gt;0,INDEX($D$6:$CB$53,MATCH($CG36,$B$6:$B$53,0),COLUMN()-COLUMN($CI$5)+1),""))</f>
        <v/>
      </c>
      <c r="EL36" s="1753" t="str" cm="1">
        <f t="array" ref="EL36">IF($CG36="","",IF(INDEX($D$6:$CB$53,MATCH($CG36,$B$6:$B$53,0),COLUMN()-COLUMN($CI$5)+1)&gt;0,INDEX($D$6:$CB$53,MATCH($CG36,$B$6:$B$53,0),COLUMN()-COLUMN($CI$5)+1),""))</f>
        <v/>
      </c>
      <c r="EM36" s="1753" t="str" cm="1">
        <f t="array" ref="EM36">IF($CG36="","",IF(INDEX($D$6:$CB$53,MATCH($CG36,$B$6:$B$53,0),COLUMN()-COLUMN($CI$5)+1)&gt;0,INDEX($D$6:$CB$53,MATCH($CG36,$B$6:$B$53,0),COLUMN()-COLUMN($CI$5)+1),""))</f>
        <v/>
      </c>
      <c r="EN36" s="1753" t="str" cm="1">
        <f t="array" ref="EN36">IF($CG36="","",IF(INDEX($D$6:$CB$53,MATCH($CG36,$B$6:$B$53,0),COLUMN()-COLUMN($CI$5)+1)&gt;0,INDEX($D$6:$CB$53,MATCH($CG36,$B$6:$B$53,0),COLUMN()-COLUMN($CI$5)+1),""))</f>
        <v/>
      </c>
      <c r="EO36" s="1753" t="str" cm="1">
        <f t="array" ref="EO36">IF($CG36="","",IF(INDEX($D$6:$CB$53,MATCH($CG36,$B$6:$B$53,0),COLUMN()-COLUMN($CI$5)+1)&gt;0,INDEX($D$6:$CB$53,MATCH($CG36,$B$6:$B$53,0),COLUMN()-COLUMN($CI$5)+1),""))</f>
        <v/>
      </c>
      <c r="EP36" s="1753" t="str" cm="1">
        <f t="array" ref="EP36">IF($CG36="","",IF(INDEX($D$6:$CB$53,MATCH($CG36,$B$6:$B$53,0),COLUMN()-COLUMN($CI$5)+1)&gt;0,INDEX($D$6:$CB$53,MATCH($CG36,$B$6:$B$53,0),COLUMN()-COLUMN($CI$5)+1),""))</f>
        <v/>
      </c>
      <c r="EQ36" s="1753" t="str" cm="1">
        <f t="array" ref="EQ36">IF($CG36="","",IF(INDEX($D$6:$CB$53,MATCH($CG36,$B$6:$B$53,0),COLUMN()-COLUMN($CI$5)+1)&gt;0,INDEX($D$6:$CB$53,MATCH($CG36,$B$6:$B$53,0),COLUMN()-COLUMN($CI$5)+1),""))</f>
        <v/>
      </c>
      <c r="ER36" s="1753" t="str" cm="1">
        <f t="array" ref="ER36">IF($CG36="","",IF(INDEX($D$6:$CB$53,MATCH($CG36,$B$6:$B$53,0),COLUMN()-COLUMN($CI$5)+1)&gt;0,INDEX($D$6:$CB$53,MATCH($CG36,$B$6:$B$53,0),COLUMN()-COLUMN($CI$5)+1),""))</f>
        <v/>
      </c>
      <c r="ES36" s="1753" t="str" cm="1">
        <f t="array" ref="ES36">IF($CG36="","",IF(INDEX($D$6:$CB$53,MATCH($CG36,$B$6:$B$53,0),COLUMN()-COLUMN($CI$5)+1)&gt;0,INDEX($D$6:$CB$53,MATCH($CG36,$B$6:$B$53,0),COLUMN()-COLUMN($CI$5)+1),""))</f>
        <v/>
      </c>
      <c r="ET36" s="1753" t="str" cm="1">
        <f t="array" ref="ET36">IF($CG36="","",IF(INDEX($D$6:$CB$53,MATCH($CG36,$B$6:$B$53,0),COLUMN()-COLUMN($CI$5)+1)&gt;0,INDEX($D$6:$CB$53,MATCH($CG36,$B$6:$B$53,0),COLUMN()-COLUMN($CI$5)+1),""))</f>
        <v/>
      </c>
      <c r="EU36" s="1753" t="str" cm="1">
        <f t="array" ref="EU36">IF($CG36="","",IF(INDEX($D$6:$CB$53,MATCH($CG36,$B$6:$B$53,0),COLUMN()-COLUMN($CI$5)+1)&gt;0,INDEX($D$6:$CB$53,MATCH($CG36,$B$6:$B$53,0),COLUMN()-COLUMN($CI$5)+1),""))</f>
        <v/>
      </c>
      <c r="EV36" s="1753" t="str" cm="1">
        <f t="array" ref="EV36">IF($CG36="","",IF(INDEX($D$6:$CB$53,MATCH($CG36,$B$6:$B$53,0),COLUMN()-COLUMN($CI$5)+1)&gt;0,INDEX($D$6:$CB$53,MATCH($CG36,$B$6:$B$53,0),COLUMN()-COLUMN($CI$5)+1),""))</f>
        <v/>
      </c>
      <c r="EW36" s="1753" t="str" cm="1">
        <f t="array" ref="EW36">IF($CG36="","",IF(INDEX($D$6:$CB$53,MATCH($CG36,$B$6:$B$53,0),COLUMN()-COLUMN($CI$5)+1)&gt;0,INDEX($D$6:$CB$53,MATCH($CG36,$B$6:$B$53,0),COLUMN()-COLUMN($CI$5)+1),""))</f>
        <v/>
      </c>
      <c r="EX36" s="1753" t="str" cm="1">
        <f t="array" ref="EX36">IF($CG36="","",IF(INDEX($D$6:$CB$53,MATCH($CG36,$B$6:$B$53,0),COLUMN()-COLUMN($CI$5)+1)&gt;0,INDEX($D$6:$CB$53,MATCH($CG36,$B$6:$B$53,0),COLUMN()-COLUMN($CI$5)+1),""))</f>
        <v/>
      </c>
      <c r="EY36" s="1753" t="str" cm="1">
        <f t="array" ref="EY36">IF($CG36="","",IF(INDEX($D$6:$CB$53,MATCH($CG36,$B$6:$B$53,0),COLUMN()-COLUMN($CI$5)+1)&gt;0,INDEX($D$6:$CB$53,MATCH($CG36,$B$6:$B$53,0),COLUMN()-COLUMN($CI$5)+1),""))</f>
        <v/>
      </c>
      <c r="EZ36" s="1753" t="str" cm="1">
        <f t="array" ref="EZ36">IF($CG36="","",IF(INDEX($D$6:$CB$53,MATCH($CG36,$B$6:$B$53,0),COLUMN()-COLUMN($CI$5)+1)&gt;0,INDEX($D$6:$CB$53,MATCH($CG36,$B$6:$B$53,0),COLUMN()-COLUMN($CI$5)+1),""))</f>
        <v/>
      </c>
      <c r="FA36" s="1753" t="str" cm="1">
        <f t="array" ref="FA36">IF($CG36="","",IF(INDEX($D$6:$CB$53,MATCH($CG36,$B$6:$B$53,0),COLUMN()-COLUMN($CI$5)+1)&gt;0,INDEX($D$6:$CB$53,MATCH($CG36,$B$6:$B$53,0),COLUMN()-COLUMN($CI$5)+1),""))</f>
        <v/>
      </c>
      <c r="FB36" s="1753" t="str" cm="1">
        <f t="array" ref="FB36">IF($CG36="","",IF(INDEX($D$6:$CB$53,MATCH($CG36,$B$6:$B$53,0),COLUMN()-COLUMN($CI$5)+1)&gt;0,INDEX($D$6:$CB$53,MATCH($CG36,$B$6:$B$53,0),COLUMN()-COLUMN($CI$5)+1),""))</f>
        <v/>
      </c>
      <c r="FC36" s="1753" t="str" cm="1">
        <f t="array" ref="FC36">IF($CG36="","",IF(INDEX($D$6:$CB$53,MATCH($CG36,$B$6:$B$53,0),COLUMN()-COLUMN($CI$5)+1)&gt;0,INDEX($D$6:$CB$53,MATCH($CG36,$B$6:$B$53,0),COLUMN()-COLUMN($CI$5)+1),""))</f>
        <v/>
      </c>
      <c r="FD36" s="1753" t="str" cm="1">
        <f t="array" ref="FD36">IF($CG36="","",IF(INDEX($D$6:$CB$53,MATCH($CG36,$B$6:$B$53,0),COLUMN()-COLUMN($CI$5)+1)&gt;0,INDEX($D$6:$CB$53,MATCH($CG36,$B$6:$B$53,0),COLUMN()-COLUMN($CI$5)+1),""))</f>
        <v/>
      </c>
      <c r="FE36" s="1753" t="str" cm="1">
        <f t="array" ref="FE36">IF($CG36="","",IF(INDEX($D$6:$CB$53,MATCH($CG36,$B$6:$B$53,0),COLUMN()-COLUMN($CI$5)+1)&gt;0,INDEX($D$6:$CB$53,MATCH($CG36,$B$6:$B$53,0),COLUMN()-COLUMN($CI$5)+1),""))</f>
        <v/>
      </c>
      <c r="FF36" s="1753" t="str" cm="1">
        <f t="array" ref="FF36">IF($CG36="","",IF(INDEX($D$6:$CB$53,MATCH($CG36,$B$6:$B$53,0),COLUMN()-COLUMN($CI$5)+1)&gt;0,INDEX($D$6:$CB$53,MATCH($CG36,$B$6:$B$53,0),COLUMN()-COLUMN($CI$5)+1),""))</f>
        <v/>
      </c>
      <c r="FG36" s="1753" t="str" cm="1">
        <f t="array" ref="FG36">IF($CG36="","",IF(INDEX($D$6:$CB$53,MATCH($CG36,$B$6:$B$53,0),COLUMN()-COLUMN($CI$5)+1)&gt;0,INDEX($D$6:$CB$53,MATCH($CG36,$B$6:$B$53,0),COLUMN()-COLUMN($CI$5)+1),""))</f>
        <v/>
      </c>
      <c r="FH36" s="1753" t="str">
        <f t="shared" si="4"/>
        <v/>
      </c>
      <c r="FI36" s="1753" t="str">
        <f t="shared" si="5"/>
        <v/>
      </c>
      <c r="FJ36" s="1753" t="str">
        <f t="shared" si="6"/>
        <v/>
      </c>
      <c r="FK36" s="1753"/>
    </row>
    <row r="37" spans="1:167" ht="15.75" customHeight="1">
      <c r="A37" s="1220"/>
      <c r="B37" s="1278">
        <f>+PP!B55</f>
        <v>32</v>
      </c>
      <c r="C37" s="1279" t="str">
        <f>+PP!C55</f>
        <v>RECORTE AMARILLO SM ST</v>
      </c>
      <c r="D37" s="1404"/>
      <c r="E37" s="1405"/>
      <c r="F37" s="1405"/>
      <c r="G37" s="1405"/>
      <c r="H37" s="1405"/>
      <c r="I37" s="1405"/>
      <c r="J37" s="1405"/>
      <c r="K37" s="1405"/>
      <c r="L37" s="1405"/>
      <c r="M37" s="1405"/>
      <c r="N37" s="1405"/>
      <c r="O37" s="1405"/>
      <c r="P37" s="1405"/>
      <c r="Q37" s="1405"/>
      <c r="R37" s="1405"/>
      <c r="S37" s="1405"/>
      <c r="T37" s="1405"/>
      <c r="U37" s="1405"/>
      <c r="V37" s="1405"/>
      <c r="W37" s="1405"/>
      <c r="X37" s="1405"/>
      <c r="Y37" s="1405"/>
      <c r="Z37" s="1405"/>
      <c r="AA37" s="1405"/>
      <c r="AB37" s="1405"/>
      <c r="AC37" s="1405"/>
      <c r="AD37" s="1405"/>
      <c r="AE37" s="1405"/>
      <c r="AF37" s="1405"/>
      <c r="AG37" s="1405"/>
      <c r="AH37" s="1406"/>
      <c r="AI37" s="1235"/>
      <c r="AJ37" s="1235"/>
      <c r="AK37" s="1235"/>
      <c r="AL37" s="1235"/>
      <c r="AM37" s="1235"/>
      <c r="AN37" s="1235"/>
      <c r="AO37" s="1235"/>
      <c r="AP37" s="1218"/>
      <c r="AQ37" s="1218"/>
      <c r="AR37" s="1218"/>
      <c r="AS37" s="1218"/>
      <c r="AT37" s="1218"/>
      <c r="AU37" s="1218"/>
      <c r="AV37" s="1218"/>
      <c r="AW37" s="1218"/>
      <c r="AX37" s="1218"/>
      <c r="AY37" s="1218"/>
      <c r="AZ37" s="1218"/>
      <c r="BA37" s="1218"/>
      <c r="BB37" s="1218"/>
      <c r="BC37" s="1218"/>
      <c r="BD37" s="1218"/>
      <c r="BE37" s="1218"/>
      <c r="BF37" s="1218"/>
      <c r="BG37" s="1218"/>
      <c r="BH37" s="1218"/>
      <c r="BI37" s="1218"/>
      <c r="BJ37" s="1218"/>
      <c r="BK37" s="1218"/>
      <c r="BL37" s="1218"/>
      <c r="BM37" s="1218"/>
      <c r="BN37" s="1218"/>
      <c r="BO37" s="1218"/>
      <c r="BP37" s="1218"/>
      <c r="BQ37" s="1218"/>
      <c r="BR37" s="1557"/>
      <c r="BS37" s="1557"/>
      <c r="BT37" s="1557"/>
      <c r="BU37" s="1557"/>
      <c r="BV37" s="1557"/>
      <c r="BW37" s="1557"/>
      <c r="BX37" s="1557"/>
      <c r="BY37" s="1557"/>
      <c r="BZ37" s="1557"/>
      <c r="CA37" s="1557"/>
      <c r="CB37" s="1564"/>
      <c r="CC37" s="1550">
        <f t="shared" si="0"/>
        <v>0</v>
      </c>
      <c r="CD37" s="1236">
        <f t="shared" si="1"/>
        <v>0</v>
      </c>
      <c r="CE37" s="1237">
        <f t="shared" si="2"/>
        <v>0</v>
      </c>
      <c r="CF37" s="1220"/>
      <c r="CG37" s="1751" t="str" cm="1">
        <f t="array" ref="CG37">IFERROR(INDEX($B$6:$B$53,_xlfn.AGGREGATE(15,6,(ROW($B$6:$B$53)-ROW($B$6)+1)/(MMULT(--($D$6:$CB$53&gt;0),TRANSPOSE(COLUMN($D$6:$CB$6)^0))&gt;0),ROWS($CG$6:CG37))),"")</f>
        <v/>
      </c>
      <c r="CH37" s="1752" t="str">
        <f t="shared" si="3"/>
        <v/>
      </c>
      <c r="CI37" s="1753" t="str" cm="1">
        <f t="array" ref="CI37">IF($CG37="","",IF(INDEX($D$6:$CB$53,MATCH($CG37,$B$6:$B$53,0),COLUMN()-COLUMN($CI$5)+1)&gt;0,INDEX($D$6:$CB$53,MATCH($CG37,$B$6:$B$53,0),COLUMN()-COLUMN($CI$5)+1),""))</f>
        <v/>
      </c>
      <c r="CJ37" s="1753" t="str" cm="1">
        <f t="array" ref="CJ37">IF($CG37="","",IF(INDEX($D$6:$CB$53,MATCH($CG37,$B$6:$B$53,0),COLUMN()-COLUMN($CI$5)+1)&gt;0,INDEX($D$6:$CB$53,MATCH($CG37,$B$6:$B$53,0),COLUMN()-COLUMN($CI$5)+1),""))</f>
        <v/>
      </c>
      <c r="CK37" s="1753" t="str" cm="1">
        <f t="array" ref="CK37">IF($CG37="","",IF(INDEX($D$6:$CB$53,MATCH($CG37,$B$6:$B$53,0),COLUMN()-COLUMN($CI$5)+1)&gt;0,INDEX($D$6:$CB$53,MATCH($CG37,$B$6:$B$53,0),COLUMN()-COLUMN($CI$5)+1),""))</f>
        <v/>
      </c>
      <c r="CL37" s="1753" t="str" cm="1">
        <f t="array" ref="CL37">IF($CG37="","",IF(INDEX($D$6:$CB$53,MATCH($CG37,$B$6:$B$53,0),COLUMN()-COLUMN($CI$5)+1)&gt;0,INDEX($D$6:$CB$53,MATCH($CG37,$B$6:$B$53,0),COLUMN()-COLUMN($CI$5)+1),""))</f>
        <v/>
      </c>
      <c r="CM37" s="1753" t="str" cm="1">
        <f t="array" ref="CM37">IF($CG37="","",IF(INDEX($D$6:$CB$53,MATCH($CG37,$B$6:$B$53,0),COLUMN()-COLUMN($CI$5)+1)&gt;0,INDEX($D$6:$CB$53,MATCH($CG37,$B$6:$B$53,0),COLUMN()-COLUMN($CI$5)+1),""))</f>
        <v/>
      </c>
      <c r="CN37" s="1753" t="str" cm="1">
        <f t="array" ref="CN37">IF($CG37="","",IF(INDEX($D$6:$CB$53,MATCH($CG37,$B$6:$B$53,0),COLUMN()-COLUMN($CI$5)+1)&gt;0,INDEX($D$6:$CB$53,MATCH($CG37,$B$6:$B$53,0),COLUMN()-COLUMN($CI$5)+1),""))</f>
        <v/>
      </c>
      <c r="CO37" s="1753" t="str" cm="1">
        <f t="array" ref="CO37">IF($CG37="","",IF(INDEX($D$6:$CB$53,MATCH($CG37,$B$6:$B$53,0),COLUMN()-COLUMN($CI$5)+1)&gt;0,INDEX($D$6:$CB$53,MATCH($CG37,$B$6:$B$53,0),COLUMN()-COLUMN($CI$5)+1),""))</f>
        <v/>
      </c>
      <c r="CP37" s="1753" t="str" cm="1">
        <f t="array" ref="CP37">IF($CG37="","",IF(INDEX($D$6:$CB$53,MATCH($CG37,$B$6:$B$53,0),COLUMN()-COLUMN($CI$5)+1)&gt;0,INDEX($D$6:$CB$53,MATCH($CG37,$B$6:$B$53,0),COLUMN()-COLUMN($CI$5)+1),""))</f>
        <v/>
      </c>
      <c r="CQ37" s="1753" t="str" cm="1">
        <f t="array" ref="CQ37">IF($CG37="","",IF(INDEX($D$6:$CB$53,MATCH($CG37,$B$6:$B$53,0),COLUMN()-COLUMN($CI$5)+1)&gt;0,INDEX($D$6:$CB$53,MATCH($CG37,$B$6:$B$53,0),COLUMN()-COLUMN($CI$5)+1),""))</f>
        <v/>
      </c>
      <c r="CR37" s="1753" t="str" cm="1">
        <f t="array" ref="CR37">IF($CG37="","",IF(INDEX($D$6:$CB$53,MATCH($CG37,$B$6:$B$53,0),COLUMN()-COLUMN($CI$5)+1)&gt;0,INDEX($D$6:$CB$53,MATCH($CG37,$B$6:$B$53,0),COLUMN()-COLUMN($CI$5)+1),""))</f>
        <v/>
      </c>
      <c r="CS37" s="1753" t="str" cm="1">
        <f t="array" ref="CS37">IF($CG37="","",IF(INDEX($D$6:$CB$53,MATCH($CG37,$B$6:$B$53,0),COLUMN()-COLUMN($CI$5)+1)&gt;0,INDEX($D$6:$CB$53,MATCH($CG37,$B$6:$B$53,0),COLUMN()-COLUMN($CI$5)+1),""))</f>
        <v/>
      </c>
      <c r="CT37" s="1753" t="str" cm="1">
        <f t="array" ref="CT37">IF($CG37="","",IF(INDEX($D$6:$CB$53,MATCH($CG37,$B$6:$B$53,0),COLUMN()-COLUMN($CI$5)+1)&gt;0,INDEX($D$6:$CB$53,MATCH($CG37,$B$6:$B$53,0),COLUMN()-COLUMN($CI$5)+1),""))</f>
        <v/>
      </c>
      <c r="CU37" s="1753" t="str" cm="1">
        <f t="array" ref="CU37">IF($CG37="","",IF(INDEX($D$6:$CB$53,MATCH($CG37,$B$6:$B$53,0),COLUMN()-COLUMN($CI$5)+1)&gt;0,INDEX($D$6:$CB$53,MATCH($CG37,$B$6:$B$53,0),COLUMN()-COLUMN($CI$5)+1),""))</f>
        <v/>
      </c>
      <c r="CV37" s="1753" t="str" cm="1">
        <f t="array" ref="CV37">IF($CG37="","",IF(INDEX($D$6:$CB$53,MATCH($CG37,$B$6:$B$53,0),COLUMN()-COLUMN($CI$5)+1)&gt;0,INDEX($D$6:$CB$53,MATCH($CG37,$B$6:$B$53,0),COLUMN()-COLUMN($CI$5)+1),""))</f>
        <v/>
      </c>
      <c r="CW37" s="1753" t="str" cm="1">
        <f t="array" ref="CW37">IF($CG37="","",IF(INDEX($D$6:$CB$53,MATCH($CG37,$B$6:$B$53,0),COLUMN()-COLUMN($CI$5)+1)&gt;0,INDEX($D$6:$CB$53,MATCH($CG37,$B$6:$B$53,0),COLUMN()-COLUMN($CI$5)+1),""))</f>
        <v/>
      </c>
      <c r="CX37" s="1753" t="str" cm="1">
        <f t="array" ref="CX37">IF($CG37="","",IF(INDEX($D$6:$CB$53,MATCH($CG37,$B$6:$B$53,0),COLUMN()-COLUMN($CI$5)+1)&gt;0,INDEX($D$6:$CB$53,MATCH($CG37,$B$6:$B$53,0),COLUMN()-COLUMN($CI$5)+1),""))</f>
        <v/>
      </c>
      <c r="CY37" s="1753" t="str" cm="1">
        <f t="array" ref="CY37">IF($CG37="","",IF(INDEX($D$6:$CB$53,MATCH($CG37,$B$6:$B$53,0),COLUMN()-COLUMN($CI$5)+1)&gt;0,INDEX($D$6:$CB$53,MATCH($CG37,$B$6:$B$53,0),COLUMN()-COLUMN($CI$5)+1),""))</f>
        <v/>
      </c>
      <c r="CZ37" s="1753" t="str" cm="1">
        <f t="array" ref="CZ37">IF($CG37="","",IF(INDEX($D$6:$CB$53,MATCH($CG37,$B$6:$B$53,0),COLUMN()-COLUMN($CI$5)+1)&gt;0,INDEX($D$6:$CB$53,MATCH($CG37,$B$6:$B$53,0),COLUMN()-COLUMN($CI$5)+1),""))</f>
        <v/>
      </c>
      <c r="DA37" s="1753" t="str" cm="1">
        <f t="array" ref="DA37">IF($CG37="","",IF(INDEX($D$6:$CB$53,MATCH($CG37,$B$6:$B$53,0),COLUMN()-COLUMN($CI$5)+1)&gt;0,INDEX($D$6:$CB$53,MATCH($CG37,$B$6:$B$53,0),COLUMN()-COLUMN($CI$5)+1),""))</f>
        <v/>
      </c>
      <c r="DB37" s="1753" t="str" cm="1">
        <f t="array" ref="DB37">IF($CG37="","",IF(INDEX($D$6:$CB$53,MATCH($CG37,$B$6:$B$53,0),COLUMN()-COLUMN($CI$5)+1)&gt;0,INDEX($D$6:$CB$53,MATCH($CG37,$B$6:$B$53,0),COLUMN()-COLUMN($CI$5)+1),""))</f>
        <v/>
      </c>
      <c r="DC37" s="1753" t="str" cm="1">
        <f t="array" ref="DC37">IF($CG37="","",IF(INDEX($D$6:$CB$53,MATCH($CG37,$B$6:$B$53,0),COLUMN()-COLUMN($CI$5)+1)&gt;0,INDEX($D$6:$CB$53,MATCH($CG37,$B$6:$B$53,0),COLUMN()-COLUMN($CI$5)+1),""))</f>
        <v/>
      </c>
      <c r="DD37" s="1753" t="str" cm="1">
        <f t="array" ref="DD37">IF($CG37="","",IF(INDEX($D$6:$CB$53,MATCH($CG37,$B$6:$B$53,0),COLUMN()-COLUMN($CI$5)+1)&gt;0,INDEX($D$6:$CB$53,MATCH($CG37,$B$6:$B$53,0),COLUMN()-COLUMN($CI$5)+1),""))</f>
        <v/>
      </c>
      <c r="DE37" s="1753" t="str" cm="1">
        <f t="array" ref="DE37">IF($CG37="","",IF(INDEX($D$6:$CB$53,MATCH($CG37,$B$6:$B$53,0),COLUMN()-COLUMN($CI$5)+1)&gt;0,INDEX($D$6:$CB$53,MATCH($CG37,$B$6:$B$53,0),COLUMN()-COLUMN($CI$5)+1),""))</f>
        <v/>
      </c>
      <c r="DF37" s="1753" t="str" cm="1">
        <f t="array" ref="DF37">IF($CG37="","",IF(INDEX($D$6:$CB$53,MATCH($CG37,$B$6:$B$53,0),COLUMN()-COLUMN($CI$5)+1)&gt;0,INDEX($D$6:$CB$53,MATCH($CG37,$B$6:$B$53,0),COLUMN()-COLUMN($CI$5)+1),""))</f>
        <v/>
      </c>
      <c r="DG37" s="1753" t="str" cm="1">
        <f t="array" ref="DG37">IF($CG37="","",IF(INDEX($D$6:$CB$53,MATCH($CG37,$B$6:$B$53,0),COLUMN()-COLUMN($CI$5)+1)&gt;0,INDEX($D$6:$CB$53,MATCH($CG37,$B$6:$B$53,0),COLUMN()-COLUMN($CI$5)+1),""))</f>
        <v/>
      </c>
      <c r="DH37" s="1753" t="str" cm="1">
        <f t="array" ref="DH37">IF($CG37="","",IF(INDEX($D$6:$CB$53,MATCH($CG37,$B$6:$B$53,0),COLUMN()-COLUMN($CI$5)+1)&gt;0,INDEX($D$6:$CB$53,MATCH($CG37,$B$6:$B$53,0),COLUMN()-COLUMN($CI$5)+1),""))</f>
        <v/>
      </c>
      <c r="DI37" s="1753" t="str" cm="1">
        <f t="array" ref="DI37">IF($CG37="","",IF(INDEX($D$6:$CB$53,MATCH($CG37,$B$6:$B$53,0),COLUMN()-COLUMN($CI$5)+1)&gt;0,INDEX($D$6:$CB$53,MATCH($CG37,$B$6:$B$53,0),COLUMN()-COLUMN($CI$5)+1),""))</f>
        <v/>
      </c>
      <c r="DJ37" s="1753" t="str" cm="1">
        <f t="array" ref="DJ37">IF($CG37="","",IF(INDEX($D$6:$CB$53,MATCH($CG37,$B$6:$B$53,0),COLUMN()-COLUMN($CI$5)+1)&gt;0,INDEX($D$6:$CB$53,MATCH($CG37,$B$6:$B$53,0),COLUMN()-COLUMN($CI$5)+1),""))</f>
        <v/>
      </c>
      <c r="DK37" s="1753" t="str" cm="1">
        <f t="array" ref="DK37">IF($CG37="","",IF(INDEX($D$6:$CB$53,MATCH($CG37,$B$6:$B$53,0),COLUMN()-COLUMN($CI$5)+1)&gt;0,INDEX($D$6:$CB$53,MATCH($CG37,$B$6:$B$53,0),COLUMN()-COLUMN($CI$5)+1),""))</f>
        <v/>
      </c>
      <c r="DL37" s="1753" t="str" cm="1">
        <f t="array" ref="DL37">IF($CG37="","",IF(INDEX($D$6:$CB$53,MATCH($CG37,$B$6:$B$53,0),COLUMN()-COLUMN($CI$5)+1)&gt;0,INDEX($D$6:$CB$53,MATCH($CG37,$B$6:$B$53,0),COLUMN()-COLUMN($CI$5)+1),""))</f>
        <v/>
      </c>
      <c r="DM37" s="1753" t="str" cm="1">
        <f t="array" ref="DM37">IF($CG37="","",IF(INDEX($D$6:$CB$53,MATCH($CG37,$B$6:$B$53,0),COLUMN()-COLUMN($CI$5)+1)&gt;0,INDEX($D$6:$CB$53,MATCH($CG37,$B$6:$B$53,0),COLUMN()-COLUMN($CI$5)+1),""))</f>
        <v/>
      </c>
      <c r="DN37" s="1753" t="str" cm="1">
        <f t="array" ref="DN37">IF($CG37="","",IF(INDEX($D$6:$CB$53,MATCH($CG37,$B$6:$B$53,0),COLUMN()-COLUMN($CI$5)+1)&gt;0,INDEX($D$6:$CB$53,MATCH($CG37,$B$6:$B$53,0),COLUMN()-COLUMN($CI$5)+1),""))</f>
        <v/>
      </c>
      <c r="DO37" s="1753" t="str" cm="1">
        <f t="array" ref="DO37">IF($CG37="","",IF(INDEX($D$6:$CB$53,MATCH($CG37,$B$6:$B$53,0),COLUMN()-COLUMN($CI$5)+1)&gt;0,INDEX($D$6:$CB$53,MATCH($CG37,$B$6:$B$53,0),COLUMN()-COLUMN($CI$5)+1),""))</f>
        <v/>
      </c>
      <c r="DP37" s="1753" t="str" cm="1">
        <f t="array" ref="DP37">IF($CG37="","",IF(INDEX($D$6:$CB$53,MATCH($CG37,$B$6:$B$53,0),COLUMN()-COLUMN($CI$5)+1)&gt;0,INDEX($D$6:$CB$53,MATCH($CG37,$B$6:$B$53,0),COLUMN()-COLUMN($CI$5)+1),""))</f>
        <v/>
      </c>
      <c r="DQ37" s="1753" t="str" cm="1">
        <f t="array" ref="DQ37">IF($CG37="","",IF(INDEX($D$6:$CB$53,MATCH($CG37,$B$6:$B$53,0),COLUMN()-COLUMN($CI$5)+1)&gt;0,INDEX($D$6:$CB$53,MATCH($CG37,$B$6:$B$53,0),COLUMN()-COLUMN($CI$5)+1),""))</f>
        <v/>
      </c>
      <c r="DR37" s="1753" t="str" cm="1">
        <f t="array" ref="DR37">IF($CG37="","",IF(INDEX($D$6:$CB$53,MATCH($CG37,$B$6:$B$53,0),COLUMN()-COLUMN($CI$5)+1)&gt;0,INDEX($D$6:$CB$53,MATCH($CG37,$B$6:$B$53,0),COLUMN()-COLUMN($CI$5)+1),""))</f>
        <v/>
      </c>
      <c r="DS37" s="1753" t="str" cm="1">
        <f t="array" ref="DS37">IF($CG37="","",IF(INDEX($D$6:$CB$53,MATCH($CG37,$B$6:$B$53,0),COLUMN()-COLUMN($CI$5)+1)&gt;0,INDEX($D$6:$CB$53,MATCH($CG37,$B$6:$B$53,0),COLUMN()-COLUMN($CI$5)+1),""))</f>
        <v/>
      </c>
      <c r="DT37" s="1753" t="str" cm="1">
        <f t="array" ref="DT37">IF($CG37="","",IF(INDEX($D$6:$CB$53,MATCH($CG37,$B$6:$B$53,0),COLUMN()-COLUMN($CI$5)+1)&gt;0,INDEX($D$6:$CB$53,MATCH($CG37,$B$6:$B$53,0),COLUMN()-COLUMN($CI$5)+1),""))</f>
        <v/>
      </c>
      <c r="DU37" s="1753" t="str" cm="1">
        <f t="array" ref="DU37">IF($CG37="","",IF(INDEX($D$6:$CB$53,MATCH($CG37,$B$6:$B$53,0),COLUMN()-COLUMN($CI$5)+1)&gt;0,INDEX($D$6:$CB$53,MATCH($CG37,$B$6:$B$53,0),COLUMN()-COLUMN($CI$5)+1),""))</f>
        <v/>
      </c>
      <c r="DV37" s="1753" t="str" cm="1">
        <f t="array" ref="DV37">IF($CG37="","",IF(INDEX($D$6:$CB$53,MATCH($CG37,$B$6:$B$53,0),COLUMN()-COLUMN($CI$5)+1)&gt;0,INDEX($D$6:$CB$53,MATCH($CG37,$B$6:$B$53,0),COLUMN()-COLUMN($CI$5)+1),""))</f>
        <v/>
      </c>
      <c r="DW37" s="1753" t="str" cm="1">
        <f t="array" ref="DW37">IF($CG37="","",IF(INDEX($D$6:$CB$53,MATCH($CG37,$B$6:$B$53,0),COLUMN()-COLUMN($CI$5)+1)&gt;0,INDEX($D$6:$CB$53,MATCH($CG37,$B$6:$B$53,0),COLUMN()-COLUMN($CI$5)+1),""))</f>
        <v/>
      </c>
      <c r="DX37" s="1753" t="str" cm="1">
        <f t="array" ref="DX37">IF($CG37="","",IF(INDEX($D$6:$CB$53,MATCH($CG37,$B$6:$B$53,0),COLUMN()-COLUMN($CI$5)+1)&gt;0,INDEX($D$6:$CB$53,MATCH($CG37,$B$6:$B$53,0),COLUMN()-COLUMN($CI$5)+1),""))</f>
        <v/>
      </c>
      <c r="DY37" s="1753" t="str" cm="1">
        <f t="array" ref="DY37">IF($CG37="","",IF(INDEX($D$6:$CB$53,MATCH($CG37,$B$6:$B$53,0),COLUMN()-COLUMN($CI$5)+1)&gt;0,INDEX($D$6:$CB$53,MATCH($CG37,$B$6:$B$53,0),COLUMN()-COLUMN($CI$5)+1),""))</f>
        <v/>
      </c>
      <c r="DZ37" s="1753" t="str" cm="1">
        <f t="array" ref="DZ37">IF($CG37="","",IF(INDEX($D$6:$CB$53,MATCH($CG37,$B$6:$B$53,0),COLUMN()-COLUMN($CI$5)+1)&gt;0,INDEX($D$6:$CB$53,MATCH($CG37,$B$6:$B$53,0),COLUMN()-COLUMN($CI$5)+1),""))</f>
        <v/>
      </c>
      <c r="EA37" s="1753" t="str" cm="1">
        <f t="array" ref="EA37">IF($CG37="","",IF(INDEX($D$6:$CB$53,MATCH($CG37,$B$6:$B$53,0),COLUMN()-COLUMN($CI$5)+1)&gt;0,INDEX($D$6:$CB$53,MATCH($CG37,$B$6:$B$53,0),COLUMN()-COLUMN($CI$5)+1),""))</f>
        <v/>
      </c>
      <c r="EB37" s="1753" t="str" cm="1">
        <f t="array" ref="EB37">IF($CG37="","",IF(INDEX($D$6:$CB$53,MATCH($CG37,$B$6:$B$53,0),COLUMN()-COLUMN($CI$5)+1)&gt;0,INDEX($D$6:$CB$53,MATCH($CG37,$B$6:$B$53,0),COLUMN()-COLUMN($CI$5)+1),""))</f>
        <v/>
      </c>
      <c r="EC37" s="1753" t="str" cm="1">
        <f t="array" ref="EC37">IF($CG37="","",IF(INDEX($D$6:$CB$53,MATCH($CG37,$B$6:$B$53,0),COLUMN()-COLUMN($CI$5)+1)&gt;0,INDEX($D$6:$CB$53,MATCH($CG37,$B$6:$B$53,0),COLUMN()-COLUMN($CI$5)+1),""))</f>
        <v/>
      </c>
      <c r="ED37" s="1753" t="str" cm="1">
        <f t="array" ref="ED37">IF($CG37="","",IF(INDEX($D$6:$CB$53,MATCH($CG37,$B$6:$B$53,0),COLUMN()-COLUMN($CI$5)+1)&gt;0,INDEX($D$6:$CB$53,MATCH($CG37,$B$6:$B$53,0),COLUMN()-COLUMN($CI$5)+1),""))</f>
        <v/>
      </c>
      <c r="EE37" s="1753" t="str" cm="1">
        <f t="array" ref="EE37">IF($CG37="","",IF(INDEX($D$6:$CB$53,MATCH($CG37,$B$6:$B$53,0),COLUMN()-COLUMN($CI$5)+1)&gt;0,INDEX($D$6:$CB$53,MATCH($CG37,$B$6:$B$53,0),COLUMN()-COLUMN($CI$5)+1),""))</f>
        <v/>
      </c>
      <c r="EF37" s="1753" t="str" cm="1">
        <f t="array" ref="EF37">IF($CG37="","",IF(INDEX($D$6:$CB$53,MATCH($CG37,$B$6:$B$53,0),COLUMN()-COLUMN($CI$5)+1)&gt;0,INDEX($D$6:$CB$53,MATCH($CG37,$B$6:$B$53,0),COLUMN()-COLUMN($CI$5)+1),""))</f>
        <v/>
      </c>
      <c r="EG37" s="1753" t="str" cm="1">
        <f t="array" ref="EG37">IF($CG37="","",IF(INDEX($D$6:$CB$53,MATCH($CG37,$B$6:$B$53,0),COLUMN()-COLUMN($CI$5)+1)&gt;0,INDEX($D$6:$CB$53,MATCH($CG37,$B$6:$B$53,0),COLUMN()-COLUMN($CI$5)+1),""))</f>
        <v/>
      </c>
      <c r="EH37" s="1753" t="str" cm="1">
        <f t="array" ref="EH37">IF($CG37="","",IF(INDEX($D$6:$CB$53,MATCH($CG37,$B$6:$B$53,0),COLUMN()-COLUMN($CI$5)+1)&gt;0,INDEX($D$6:$CB$53,MATCH($CG37,$B$6:$B$53,0),COLUMN()-COLUMN($CI$5)+1),""))</f>
        <v/>
      </c>
      <c r="EI37" s="1753" t="str" cm="1">
        <f t="array" ref="EI37">IF($CG37="","",IF(INDEX($D$6:$CB$53,MATCH($CG37,$B$6:$B$53,0),COLUMN()-COLUMN($CI$5)+1)&gt;0,INDEX($D$6:$CB$53,MATCH($CG37,$B$6:$B$53,0),COLUMN()-COLUMN($CI$5)+1),""))</f>
        <v/>
      </c>
      <c r="EJ37" s="1753" t="str" cm="1">
        <f t="array" ref="EJ37">IF($CG37="","",IF(INDEX($D$6:$CB$53,MATCH($CG37,$B$6:$B$53,0),COLUMN()-COLUMN($CI$5)+1)&gt;0,INDEX($D$6:$CB$53,MATCH($CG37,$B$6:$B$53,0),COLUMN()-COLUMN($CI$5)+1),""))</f>
        <v/>
      </c>
      <c r="EK37" s="1753" t="str" cm="1">
        <f t="array" ref="EK37">IF($CG37="","",IF(INDEX($D$6:$CB$53,MATCH($CG37,$B$6:$B$53,0),COLUMN()-COLUMN($CI$5)+1)&gt;0,INDEX($D$6:$CB$53,MATCH($CG37,$B$6:$B$53,0),COLUMN()-COLUMN($CI$5)+1),""))</f>
        <v/>
      </c>
      <c r="EL37" s="1753" t="str" cm="1">
        <f t="array" ref="EL37">IF($CG37="","",IF(INDEX($D$6:$CB$53,MATCH($CG37,$B$6:$B$53,0),COLUMN()-COLUMN($CI$5)+1)&gt;0,INDEX($D$6:$CB$53,MATCH($CG37,$B$6:$B$53,0),COLUMN()-COLUMN($CI$5)+1),""))</f>
        <v/>
      </c>
      <c r="EM37" s="1753" t="str" cm="1">
        <f t="array" ref="EM37">IF($CG37="","",IF(INDEX($D$6:$CB$53,MATCH($CG37,$B$6:$B$53,0),COLUMN()-COLUMN($CI$5)+1)&gt;0,INDEX($D$6:$CB$53,MATCH($CG37,$B$6:$B$53,0),COLUMN()-COLUMN($CI$5)+1),""))</f>
        <v/>
      </c>
      <c r="EN37" s="1753" t="str" cm="1">
        <f t="array" ref="EN37">IF($CG37="","",IF(INDEX($D$6:$CB$53,MATCH($CG37,$B$6:$B$53,0),COLUMN()-COLUMN($CI$5)+1)&gt;0,INDEX($D$6:$CB$53,MATCH($CG37,$B$6:$B$53,0),COLUMN()-COLUMN($CI$5)+1),""))</f>
        <v/>
      </c>
      <c r="EO37" s="1753" t="str" cm="1">
        <f t="array" ref="EO37">IF($CG37="","",IF(INDEX($D$6:$CB$53,MATCH($CG37,$B$6:$B$53,0),COLUMN()-COLUMN($CI$5)+1)&gt;0,INDEX($D$6:$CB$53,MATCH($CG37,$B$6:$B$53,0),COLUMN()-COLUMN($CI$5)+1),""))</f>
        <v/>
      </c>
      <c r="EP37" s="1753" t="str" cm="1">
        <f t="array" ref="EP37">IF($CG37="","",IF(INDEX($D$6:$CB$53,MATCH($CG37,$B$6:$B$53,0),COLUMN()-COLUMN($CI$5)+1)&gt;0,INDEX($D$6:$CB$53,MATCH($CG37,$B$6:$B$53,0),COLUMN()-COLUMN($CI$5)+1),""))</f>
        <v/>
      </c>
      <c r="EQ37" s="1753" t="str" cm="1">
        <f t="array" ref="EQ37">IF($CG37="","",IF(INDEX($D$6:$CB$53,MATCH($CG37,$B$6:$B$53,0),COLUMN()-COLUMN($CI$5)+1)&gt;0,INDEX($D$6:$CB$53,MATCH($CG37,$B$6:$B$53,0),COLUMN()-COLUMN($CI$5)+1),""))</f>
        <v/>
      </c>
      <c r="ER37" s="1753" t="str" cm="1">
        <f t="array" ref="ER37">IF($CG37="","",IF(INDEX($D$6:$CB$53,MATCH($CG37,$B$6:$B$53,0),COLUMN()-COLUMN($CI$5)+1)&gt;0,INDEX($D$6:$CB$53,MATCH($CG37,$B$6:$B$53,0),COLUMN()-COLUMN($CI$5)+1),""))</f>
        <v/>
      </c>
      <c r="ES37" s="1753" t="str" cm="1">
        <f t="array" ref="ES37">IF($CG37="","",IF(INDEX($D$6:$CB$53,MATCH($CG37,$B$6:$B$53,0),COLUMN()-COLUMN($CI$5)+1)&gt;0,INDEX($D$6:$CB$53,MATCH($CG37,$B$6:$B$53,0),COLUMN()-COLUMN($CI$5)+1),""))</f>
        <v/>
      </c>
      <c r="ET37" s="1753" t="str" cm="1">
        <f t="array" ref="ET37">IF($CG37="","",IF(INDEX($D$6:$CB$53,MATCH($CG37,$B$6:$B$53,0),COLUMN()-COLUMN($CI$5)+1)&gt;0,INDEX($D$6:$CB$53,MATCH($CG37,$B$6:$B$53,0),COLUMN()-COLUMN($CI$5)+1),""))</f>
        <v/>
      </c>
      <c r="EU37" s="1753" t="str" cm="1">
        <f t="array" ref="EU37">IF($CG37="","",IF(INDEX($D$6:$CB$53,MATCH($CG37,$B$6:$B$53,0),COLUMN()-COLUMN($CI$5)+1)&gt;0,INDEX($D$6:$CB$53,MATCH($CG37,$B$6:$B$53,0),COLUMN()-COLUMN($CI$5)+1),""))</f>
        <v/>
      </c>
      <c r="EV37" s="1753" t="str" cm="1">
        <f t="array" ref="EV37">IF($CG37="","",IF(INDEX($D$6:$CB$53,MATCH($CG37,$B$6:$B$53,0),COLUMN()-COLUMN($CI$5)+1)&gt;0,INDEX($D$6:$CB$53,MATCH($CG37,$B$6:$B$53,0),COLUMN()-COLUMN($CI$5)+1),""))</f>
        <v/>
      </c>
      <c r="EW37" s="1753" t="str" cm="1">
        <f t="array" ref="EW37">IF($CG37="","",IF(INDEX($D$6:$CB$53,MATCH($CG37,$B$6:$B$53,0),COLUMN()-COLUMN($CI$5)+1)&gt;0,INDEX($D$6:$CB$53,MATCH($CG37,$B$6:$B$53,0),COLUMN()-COLUMN($CI$5)+1),""))</f>
        <v/>
      </c>
      <c r="EX37" s="1753" t="str" cm="1">
        <f t="array" ref="EX37">IF($CG37="","",IF(INDEX($D$6:$CB$53,MATCH($CG37,$B$6:$B$53,0),COLUMN()-COLUMN($CI$5)+1)&gt;0,INDEX($D$6:$CB$53,MATCH($CG37,$B$6:$B$53,0),COLUMN()-COLUMN($CI$5)+1),""))</f>
        <v/>
      </c>
      <c r="EY37" s="1753" t="str" cm="1">
        <f t="array" ref="EY37">IF($CG37="","",IF(INDEX($D$6:$CB$53,MATCH($CG37,$B$6:$B$53,0),COLUMN()-COLUMN($CI$5)+1)&gt;0,INDEX($D$6:$CB$53,MATCH($CG37,$B$6:$B$53,0),COLUMN()-COLUMN($CI$5)+1),""))</f>
        <v/>
      </c>
      <c r="EZ37" s="1753" t="str" cm="1">
        <f t="array" ref="EZ37">IF($CG37="","",IF(INDEX($D$6:$CB$53,MATCH($CG37,$B$6:$B$53,0),COLUMN()-COLUMN($CI$5)+1)&gt;0,INDEX($D$6:$CB$53,MATCH($CG37,$B$6:$B$53,0),COLUMN()-COLUMN($CI$5)+1),""))</f>
        <v/>
      </c>
      <c r="FA37" s="1753" t="str" cm="1">
        <f t="array" ref="FA37">IF($CG37="","",IF(INDEX($D$6:$CB$53,MATCH($CG37,$B$6:$B$53,0),COLUMN()-COLUMN($CI$5)+1)&gt;0,INDEX($D$6:$CB$53,MATCH($CG37,$B$6:$B$53,0),COLUMN()-COLUMN($CI$5)+1),""))</f>
        <v/>
      </c>
      <c r="FB37" s="1753" t="str" cm="1">
        <f t="array" ref="FB37">IF($CG37="","",IF(INDEX($D$6:$CB$53,MATCH($CG37,$B$6:$B$53,0),COLUMN()-COLUMN($CI$5)+1)&gt;0,INDEX($D$6:$CB$53,MATCH($CG37,$B$6:$B$53,0),COLUMN()-COLUMN($CI$5)+1),""))</f>
        <v/>
      </c>
      <c r="FC37" s="1753" t="str" cm="1">
        <f t="array" ref="FC37">IF($CG37="","",IF(INDEX($D$6:$CB$53,MATCH($CG37,$B$6:$B$53,0),COLUMN()-COLUMN($CI$5)+1)&gt;0,INDEX($D$6:$CB$53,MATCH($CG37,$B$6:$B$53,0),COLUMN()-COLUMN($CI$5)+1),""))</f>
        <v/>
      </c>
      <c r="FD37" s="1753" t="str" cm="1">
        <f t="array" ref="FD37">IF($CG37="","",IF(INDEX($D$6:$CB$53,MATCH($CG37,$B$6:$B$53,0),COLUMN()-COLUMN($CI$5)+1)&gt;0,INDEX($D$6:$CB$53,MATCH($CG37,$B$6:$B$53,0),COLUMN()-COLUMN($CI$5)+1),""))</f>
        <v/>
      </c>
      <c r="FE37" s="1753" t="str" cm="1">
        <f t="array" ref="FE37">IF($CG37="","",IF(INDEX($D$6:$CB$53,MATCH($CG37,$B$6:$B$53,0),COLUMN()-COLUMN($CI$5)+1)&gt;0,INDEX($D$6:$CB$53,MATCH($CG37,$B$6:$B$53,0),COLUMN()-COLUMN($CI$5)+1),""))</f>
        <v/>
      </c>
      <c r="FF37" s="1753" t="str" cm="1">
        <f t="array" ref="FF37">IF($CG37="","",IF(INDEX($D$6:$CB$53,MATCH($CG37,$B$6:$B$53,0),COLUMN()-COLUMN($CI$5)+1)&gt;0,INDEX($D$6:$CB$53,MATCH($CG37,$B$6:$B$53,0),COLUMN()-COLUMN($CI$5)+1),""))</f>
        <v/>
      </c>
      <c r="FG37" s="1753" t="str" cm="1">
        <f t="array" ref="FG37">IF($CG37="","",IF(INDEX($D$6:$CB$53,MATCH($CG37,$B$6:$B$53,0),COLUMN()-COLUMN($CI$5)+1)&gt;0,INDEX($D$6:$CB$53,MATCH($CG37,$B$6:$B$53,0),COLUMN()-COLUMN($CI$5)+1),""))</f>
        <v/>
      </c>
      <c r="FH37" s="1753" t="str">
        <f t="shared" si="4"/>
        <v/>
      </c>
      <c r="FI37" s="1753" t="str">
        <f t="shared" si="5"/>
        <v/>
      </c>
      <c r="FJ37" s="1753" t="str">
        <f t="shared" si="6"/>
        <v/>
      </c>
      <c r="FK37" s="1753"/>
    </row>
    <row r="38" spans="1:167" ht="15.75" customHeight="1" thickBot="1">
      <c r="A38" s="1220"/>
      <c r="B38" s="1278">
        <f>+PP!B56</f>
        <v>33</v>
      </c>
      <c r="C38" s="1280" t="str">
        <f>+PP!C56</f>
        <v>RECORTE PRECOCIDO</v>
      </c>
      <c r="D38" s="1407"/>
      <c r="E38" s="1408"/>
      <c r="F38" s="1408"/>
      <c r="G38" s="1408"/>
      <c r="H38" s="1408"/>
      <c r="I38" s="1408"/>
      <c r="J38" s="1408"/>
      <c r="K38" s="1408"/>
      <c r="L38" s="1408"/>
      <c r="M38" s="1408"/>
      <c r="N38" s="1408"/>
      <c r="O38" s="1408"/>
      <c r="P38" s="1408"/>
      <c r="Q38" s="1408"/>
      <c r="R38" s="1408"/>
      <c r="S38" s="1408"/>
      <c r="T38" s="1408"/>
      <c r="U38" s="1408"/>
      <c r="V38" s="1408"/>
      <c r="W38" s="1408"/>
      <c r="X38" s="1408"/>
      <c r="Y38" s="1408"/>
      <c r="Z38" s="1408"/>
      <c r="AA38" s="1408"/>
      <c r="AB38" s="1408"/>
      <c r="AC38" s="1408"/>
      <c r="AD38" s="1408"/>
      <c r="AE38" s="1408"/>
      <c r="AF38" s="1408"/>
      <c r="AG38" s="1408"/>
      <c r="AH38" s="1409"/>
      <c r="AI38" s="1238"/>
      <c r="AJ38" s="1238"/>
      <c r="AK38" s="1238"/>
      <c r="AL38" s="1238"/>
      <c r="AM38" s="1238"/>
      <c r="AN38" s="1238"/>
      <c r="AO38" s="1238"/>
      <c r="AP38" s="1219"/>
      <c r="AQ38" s="1219"/>
      <c r="AR38" s="1219"/>
      <c r="AS38" s="1219"/>
      <c r="AT38" s="1219"/>
      <c r="AU38" s="1219"/>
      <c r="AV38" s="1219"/>
      <c r="AW38" s="1219"/>
      <c r="AX38" s="1219"/>
      <c r="AY38" s="1219"/>
      <c r="AZ38" s="1219"/>
      <c r="BA38" s="1219"/>
      <c r="BB38" s="1219"/>
      <c r="BC38" s="1219"/>
      <c r="BD38" s="1219"/>
      <c r="BE38" s="1219"/>
      <c r="BF38" s="1219"/>
      <c r="BG38" s="1219"/>
      <c r="BH38" s="1219"/>
      <c r="BI38" s="1219"/>
      <c r="BJ38" s="1219"/>
      <c r="BK38" s="1219"/>
      <c r="BL38" s="1219"/>
      <c r="BM38" s="1219"/>
      <c r="BN38" s="1219"/>
      <c r="BO38" s="1219"/>
      <c r="BP38" s="1219"/>
      <c r="BQ38" s="1219"/>
      <c r="BR38" s="1565"/>
      <c r="BS38" s="1565"/>
      <c r="BT38" s="1565"/>
      <c r="BU38" s="1565"/>
      <c r="BV38" s="1565"/>
      <c r="BW38" s="1565"/>
      <c r="BX38" s="1565"/>
      <c r="BY38" s="1565"/>
      <c r="BZ38" s="1565"/>
      <c r="CA38" s="1565"/>
      <c r="CB38" s="1566"/>
      <c r="CC38" s="1551">
        <f t="shared" si="0"/>
        <v>0</v>
      </c>
      <c r="CD38" s="1239">
        <f t="shared" si="1"/>
        <v>0</v>
      </c>
      <c r="CE38" s="1240">
        <f t="shared" si="2"/>
        <v>0</v>
      </c>
      <c r="CF38" s="1220"/>
      <c r="CG38" s="1751" t="str" cm="1">
        <f t="array" ref="CG38">IFERROR(INDEX($B$6:$B$53,_xlfn.AGGREGATE(15,6,(ROW($B$6:$B$53)-ROW($B$6)+1)/(MMULT(--($D$6:$CB$53&gt;0),TRANSPOSE(COLUMN($D$6:$CB$6)^0))&gt;0),ROWS($CG$6:CG38))),"")</f>
        <v/>
      </c>
      <c r="CH38" s="1752" t="str">
        <f t="shared" si="3"/>
        <v/>
      </c>
      <c r="CI38" s="1753" t="str" cm="1">
        <f t="array" ref="CI38">IF($CG38="","",IF(INDEX($D$6:$CB$53,MATCH($CG38,$B$6:$B$53,0),COLUMN()-COLUMN($CI$5)+1)&gt;0,INDEX($D$6:$CB$53,MATCH($CG38,$B$6:$B$53,0),COLUMN()-COLUMN($CI$5)+1),""))</f>
        <v/>
      </c>
      <c r="CJ38" s="1753" t="str" cm="1">
        <f t="array" ref="CJ38">IF($CG38="","",IF(INDEX($D$6:$CB$53,MATCH($CG38,$B$6:$B$53,0),COLUMN()-COLUMN($CI$5)+1)&gt;0,INDEX($D$6:$CB$53,MATCH($CG38,$B$6:$B$53,0),COLUMN()-COLUMN($CI$5)+1),""))</f>
        <v/>
      </c>
      <c r="CK38" s="1753" t="str" cm="1">
        <f t="array" ref="CK38">IF($CG38="","",IF(INDEX($D$6:$CB$53,MATCH($CG38,$B$6:$B$53,0),COLUMN()-COLUMN($CI$5)+1)&gt;0,INDEX($D$6:$CB$53,MATCH($CG38,$B$6:$B$53,0),COLUMN()-COLUMN($CI$5)+1),""))</f>
        <v/>
      </c>
      <c r="CL38" s="1753" t="str" cm="1">
        <f t="array" ref="CL38">IF($CG38="","",IF(INDEX($D$6:$CB$53,MATCH($CG38,$B$6:$B$53,0),COLUMN()-COLUMN($CI$5)+1)&gt;0,INDEX($D$6:$CB$53,MATCH($CG38,$B$6:$B$53,0),COLUMN()-COLUMN($CI$5)+1),""))</f>
        <v/>
      </c>
      <c r="CM38" s="1753" t="str" cm="1">
        <f t="array" ref="CM38">IF($CG38="","",IF(INDEX($D$6:$CB$53,MATCH($CG38,$B$6:$B$53,0),COLUMN()-COLUMN($CI$5)+1)&gt;0,INDEX($D$6:$CB$53,MATCH($CG38,$B$6:$B$53,0),COLUMN()-COLUMN($CI$5)+1),""))</f>
        <v/>
      </c>
      <c r="CN38" s="1753" t="str" cm="1">
        <f t="array" ref="CN38">IF($CG38="","",IF(INDEX($D$6:$CB$53,MATCH($CG38,$B$6:$B$53,0),COLUMN()-COLUMN($CI$5)+1)&gt;0,INDEX($D$6:$CB$53,MATCH($CG38,$B$6:$B$53,0),COLUMN()-COLUMN($CI$5)+1),""))</f>
        <v/>
      </c>
      <c r="CO38" s="1753" t="str" cm="1">
        <f t="array" ref="CO38">IF($CG38="","",IF(INDEX($D$6:$CB$53,MATCH($CG38,$B$6:$B$53,0),COLUMN()-COLUMN($CI$5)+1)&gt;0,INDEX($D$6:$CB$53,MATCH($CG38,$B$6:$B$53,0),COLUMN()-COLUMN($CI$5)+1),""))</f>
        <v/>
      </c>
      <c r="CP38" s="1753" t="str" cm="1">
        <f t="array" ref="CP38">IF($CG38="","",IF(INDEX($D$6:$CB$53,MATCH($CG38,$B$6:$B$53,0),COLUMN()-COLUMN($CI$5)+1)&gt;0,INDEX($D$6:$CB$53,MATCH($CG38,$B$6:$B$53,0),COLUMN()-COLUMN($CI$5)+1),""))</f>
        <v/>
      </c>
      <c r="CQ38" s="1753" t="str" cm="1">
        <f t="array" ref="CQ38">IF($CG38="","",IF(INDEX($D$6:$CB$53,MATCH($CG38,$B$6:$B$53,0),COLUMN()-COLUMN($CI$5)+1)&gt;0,INDEX($D$6:$CB$53,MATCH($CG38,$B$6:$B$53,0),COLUMN()-COLUMN($CI$5)+1),""))</f>
        <v/>
      </c>
      <c r="CR38" s="1753" t="str" cm="1">
        <f t="array" ref="CR38">IF($CG38="","",IF(INDEX($D$6:$CB$53,MATCH($CG38,$B$6:$B$53,0),COLUMN()-COLUMN($CI$5)+1)&gt;0,INDEX($D$6:$CB$53,MATCH($CG38,$B$6:$B$53,0),COLUMN()-COLUMN($CI$5)+1),""))</f>
        <v/>
      </c>
      <c r="CS38" s="1753" t="str" cm="1">
        <f t="array" ref="CS38">IF($CG38="","",IF(INDEX($D$6:$CB$53,MATCH($CG38,$B$6:$B$53,0),COLUMN()-COLUMN($CI$5)+1)&gt;0,INDEX($D$6:$CB$53,MATCH($CG38,$B$6:$B$53,0),COLUMN()-COLUMN($CI$5)+1),""))</f>
        <v/>
      </c>
      <c r="CT38" s="1753" t="str" cm="1">
        <f t="array" ref="CT38">IF($CG38="","",IF(INDEX($D$6:$CB$53,MATCH($CG38,$B$6:$B$53,0),COLUMN()-COLUMN($CI$5)+1)&gt;0,INDEX($D$6:$CB$53,MATCH($CG38,$B$6:$B$53,0),COLUMN()-COLUMN($CI$5)+1),""))</f>
        <v/>
      </c>
      <c r="CU38" s="1753" t="str" cm="1">
        <f t="array" ref="CU38">IF($CG38="","",IF(INDEX($D$6:$CB$53,MATCH($CG38,$B$6:$B$53,0),COLUMN()-COLUMN($CI$5)+1)&gt;0,INDEX($D$6:$CB$53,MATCH($CG38,$B$6:$B$53,0),COLUMN()-COLUMN($CI$5)+1),""))</f>
        <v/>
      </c>
      <c r="CV38" s="1753" t="str" cm="1">
        <f t="array" ref="CV38">IF($CG38="","",IF(INDEX($D$6:$CB$53,MATCH($CG38,$B$6:$B$53,0),COLUMN()-COLUMN($CI$5)+1)&gt;0,INDEX($D$6:$CB$53,MATCH($CG38,$B$6:$B$53,0),COLUMN()-COLUMN($CI$5)+1),""))</f>
        <v/>
      </c>
      <c r="CW38" s="1753" t="str" cm="1">
        <f t="array" ref="CW38">IF($CG38="","",IF(INDEX($D$6:$CB$53,MATCH($CG38,$B$6:$B$53,0),COLUMN()-COLUMN($CI$5)+1)&gt;0,INDEX($D$6:$CB$53,MATCH($CG38,$B$6:$B$53,0),COLUMN()-COLUMN($CI$5)+1),""))</f>
        <v/>
      </c>
      <c r="CX38" s="1753" t="str" cm="1">
        <f t="array" ref="CX38">IF($CG38="","",IF(INDEX($D$6:$CB$53,MATCH($CG38,$B$6:$B$53,0),COLUMN()-COLUMN($CI$5)+1)&gt;0,INDEX($D$6:$CB$53,MATCH($CG38,$B$6:$B$53,0),COLUMN()-COLUMN($CI$5)+1),""))</f>
        <v/>
      </c>
      <c r="CY38" s="1753" t="str" cm="1">
        <f t="array" ref="CY38">IF($CG38="","",IF(INDEX($D$6:$CB$53,MATCH($CG38,$B$6:$B$53,0),COLUMN()-COLUMN($CI$5)+1)&gt;0,INDEX($D$6:$CB$53,MATCH($CG38,$B$6:$B$53,0),COLUMN()-COLUMN($CI$5)+1),""))</f>
        <v/>
      </c>
      <c r="CZ38" s="1753" t="str" cm="1">
        <f t="array" ref="CZ38">IF($CG38="","",IF(INDEX($D$6:$CB$53,MATCH($CG38,$B$6:$B$53,0),COLUMN()-COLUMN($CI$5)+1)&gt;0,INDEX($D$6:$CB$53,MATCH($CG38,$B$6:$B$53,0),COLUMN()-COLUMN($CI$5)+1),""))</f>
        <v/>
      </c>
      <c r="DA38" s="1753" t="str" cm="1">
        <f t="array" ref="DA38">IF($CG38="","",IF(INDEX($D$6:$CB$53,MATCH($CG38,$B$6:$B$53,0),COLUMN()-COLUMN($CI$5)+1)&gt;0,INDEX($D$6:$CB$53,MATCH($CG38,$B$6:$B$53,0),COLUMN()-COLUMN($CI$5)+1),""))</f>
        <v/>
      </c>
      <c r="DB38" s="1753" t="str" cm="1">
        <f t="array" ref="DB38">IF($CG38="","",IF(INDEX($D$6:$CB$53,MATCH($CG38,$B$6:$B$53,0),COLUMN()-COLUMN($CI$5)+1)&gt;0,INDEX($D$6:$CB$53,MATCH($CG38,$B$6:$B$53,0),COLUMN()-COLUMN($CI$5)+1),""))</f>
        <v/>
      </c>
      <c r="DC38" s="1753" t="str" cm="1">
        <f t="array" ref="DC38">IF($CG38="","",IF(INDEX($D$6:$CB$53,MATCH($CG38,$B$6:$B$53,0),COLUMN()-COLUMN($CI$5)+1)&gt;0,INDEX($D$6:$CB$53,MATCH($CG38,$B$6:$B$53,0),COLUMN()-COLUMN($CI$5)+1),""))</f>
        <v/>
      </c>
      <c r="DD38" s="1753" t="str" cm="1">
        <f t="array" ref="DD38">IF($CG38="","",IF(INDEX($D$6:$CB$53,MATCH($CG38,$B$6:$B$53,0),COLUMN()-COLUMN($CI$5)+1)&gt;0,INDEX($D$6:$CB$53,MATCH($CG38,$B$6:$B$53,0),COLUMN()-COLUMN($CI$5)+1),""))</f>
        <v/>
      </c>
      <c r="DE38" s="1753" t="str" cm="1">
        <f t="array" ref="DE38">IF($CG38="","",IF(INDEX($D$6:$CB$53,MATCH($CG38,$B$6:$B$53,0),COLUMN()-COLUMN($CI$5)+1)&gt;0,INDEX($D$6:$CB$53,MATCH($CG38,$B$6:$B$53,0),COLUMN()-COLUMN($CI$5)+1),""))</f>
        <v/>
      </c>
      <c r="DF38" s="1753" t="str" cm="1">
        <f t="array" ref="DF38">IF($CG38="","",IF(INDEX($D$6:$CB$53,MATCH($CG38,$B$6:$B$53,0),COLUMN()-COLUMN($CI$5)+1)&gt;0,INDEX($D$6:$CB$53,MATCH($CG38,$B$6:$B$53,0),COLUMN()-COLUMN($CI$5)+1),""))</f>
        <v/>
      </c>
      <c r="DG38" s="1753" t="str" cm="1">
        <f t="array" ref="DG38">IF($CG38="","",IF(INDEX($D$6:$CB$53,MATCH($CG38,$B$6:$B$53,0),COLUMN()-COLUMN($CI$5)+1)&gt;0,INDEX($D$6:$CB$53,MATCH($CG38,$B$6:$B$53,0),COLUMN()-COLUMN($CI$5)+1),""))</f>
        <v/>
      </c>
      <c r="DH38" s="1753" t="str" cm="1">
        <f t="array" ref="DH38">IF($CG38="","",IF(INDEX($D$6:$CB$53,MATCH($CG38,$B$6:$B$53,0),COLUMN()-COLUMN($CI$5)+1)&gt;0,INDEX($D$6:$CB$53,MATCH($CG38,$B$6:$B$53,0),COLUMN()-COLUMN($CI$5)+1),""))</f>
        <v/>
      </c>
      <c r="DI38" s="1753" t="str" cm="1">
        <f t="array" ref="DI38">IF($CG38="","",IF(INDEX($D$6:$CB$53,MATCH($CG38,$B$6:$B$53,0),COLUMN()-COLUMN($CI$5)+1)&gt;0,INDEX($D$6:$CB$53,MATCH($CG38,$B$6:$B$53,0),COLUMN()-COLUMN($CI$5)+1),""))</f>
        <v/>
      </c>
      <c r="DJ38" s="1753" t="str" cm="1">
        <f t="array" ref="DJ38">IF($CG38="","",IF(INDEX($D$6:$CB$53,MATCH($CG38,$B$6:$B$53,0),COLUMN()-COLUMN($CI$5)+1)&gt;0,INDEX($D$6:$CB$53,MATCH($CG38,$B$6:$B$53,0),COLUMN()-COLUMN($CI$5)+1),""))</f>
        <v/>
      </c>
      <c r="DK38" s="1753" t="str" cm="1">
        <f t="array" ref="DK38">IF($CG38="","",IF(INDEX($D$6:$CB$53,MATCH($CG38,$B$6:$B$53,0),COLUMN()-COLUMN($CI$5)+1)&gt;0,INDEX($D$6:$CB$53,MATCH($CG38,$B$6:$B$53,0),COLUMN()-COLUMN($CI$5)+1),""))</f>
        <v/>
      </c>
      <c r="DL38" s="1753" t="str" cm="1">
        <f t="array" ref="DL38">IF($CG38="","",IF(INDEX($D$6:$CB$53,MATCH($CG38,$B$6:$B$53,0),COLUMN()-COLUMN($CI$5)+1)&gt;0,INDEX($D$6:$CB$53,MATCH($CG38,$B$6:$B$53,0),COLUMN()-COLUMN($CI$5)+1),""))</f>
        <v/>
      </c>
      <c r="DM38" s="1753" t="str" cm="1">
        <f t="array" ref="DM38">IF($CG38="","",IF(INDEX($D$6:$CB$53,MATCH($CG38,$B$6:$B$53,0),COLUMN()-COLUMN($CI$5)+1)&gt;0,INDEX($D$6:$CB$53,MATCH($CG38,$B$6:$B$53,0),COLUMN()-COLUMN($CI$5)+1),""))</f>
        <v/>
      </c>
      <c r="DN38" s="1753" t="str" cm="1">
        <f t="array" ref="DN38">IF($CG38="","",IF(INDEX($D$6:$CB$53,MATCH($CG38,$B$6:$B$53,0),COLUMN()-COLUMN($CI$5)+1)&gt;0,INDEX($D$6:$CB$53,MATCH($CG38,$B$6:$B$53,0),COLUMN()-COLUMN($CI$5)+1),""))</f>
        <v/>
      </c>
      <c r="DO38" s="1753" t="str" cm="1">
        <f t="array" ref="DO38">IF($CG38="","",IF(INDEX($D$6:$CB$53,MATCH($CG38,$B$6:$B$53,0),COLUMN()-COLUMN($CI$5)+1)&gt;0,INDEX($D$6:$CB$53,MATCH($CG38,$B$6:$B$53,0),COLUMN()-COLUMN($CI$5)+1),""))</f>
        <v/>
      </c>
      <c r="DP38" s="1753" t="str" cm="1">
        <f t="array" ref="DP38">IF($CG38="","",IF(INDEX($D$6:$CB$53,MATCH($CG38,$B$6:$B$53,0),COLUMN()-COLUMN($CI$5)+1)&gt;0,INDEX($D$6:$CB$53,MATCH($CG38,$B$6:$B$53,0),COLUMN()-COLUMN($CI$5)+1),""))</f>
        <v/>
      </c>
      <c r="DQ38" s="1753" t="str" cm="1">
        <f t="array" ref="DQ38">IF($CG38="","",IF(INDEX($D$6:$CB$53,MATCH($CG38,$B$6:$B$53,0),COLUMN()-COLUMN($CI$5)+1)&gt;0,INDEX($D$6:$CB$53,MATCH($CG38,$B$6:$B$53,0),COLUMN()-COLUMN($CI$5)+1),""))</f>
        <v/>
      </c>
      <c r="DR38" s="1753" t="str" cm="1">
        <f t="array" ref="DR38">IF($CG38="","",IF(INDEX($D$6:$CB$53,MATCH($CG38,$B$6:$B$53,0),COLUMN()-COLUMN($CI$5)+1)&gt;0,INDEX($D$6:$CB$53,MATCH($CG38,$B$6:$B$53,0),COLUMN()-COLUMN($CI$5)+1),""))</f>
        <v/>
      </c>
      <c r="DS38" s="1753" t="str" cm="1">
        <f t="array" ref="DS38">IF($CG38="","",IF(INDEX($D$6:$CB$53,MATCH($CG38,$B$6:$B$53,0),COLUMN()-COLUMN($CI$5)+1)&gt;0,INDEX($D$6:$CB$53,MATCH($CG38,$B$6:$B$53,0),COLUMN()-COLUMN($CI$5)+1),""))</f>
        <v/>
      </c>
      <c r="DT38" s="1753" t="str" cm="1">
        <f t="array" ref="DT38">IF($CG38="","",IF(INDEX($D$6:$CB$53,MATCH($CG38,$B$6:$B$53,0),COLUMN()-COLUMN($CI$5)+1)&gt;0,INDEX($D$6:$CB$53,MATCH($CG38,$B$6:$B$53,0),COLUMN()-COLUMN($CI$5)+1),""))</f>
        <v/>
      </c>
      <c r="DU38" s="1753" t="str" cm="1">
        <f t="array" ref="DU38">IF($CG38="","",IF(INDEX($D$6:$CB$53,MATCH($CG38,$B$6:$B$53,0),COLUMN()-COLUMN($CI$5)+1)&gt;0,INDEX($D$6:$CB$53,MATCH($CG38,$B$6:$B$53,0),COLUMN()-COLUMN($CI$5)+1),""))</f>
        <v/>
      </c>
      <c r="DV38" s="1753" t="str" cm="1">
        <f t="array" ref="DV38">IF($CG38="","",IF(INDEX($D$6:$CB$53,MATCH($CG38,$B$6:$B$53,0),COLUMN()-COLUMN($CI$5)+1)&gt;0,INDEX($D$6:$CB$53,MATCH($CG38,$B$6:$B$53,0),COLUMN()-COLUMN($CI$5)+1),""))</f>
        <v/>
      </c>
      <c r="DW38" s="1753" t="str" cm="1">
        <f t="array" ref="DW38">IF($CG38="","",IF(INDEX($D$6:$CB$53,MATCH($CG38,$B$6:$B$53,0),COLUMN()-COLUMN($CI$5)+1)&gt;0,INDEX($D$6:$CB$53,MATCH($CG38,$B$6:$B$53,0),COLUMN()-COLUMN($CI$5)+1),""))</f>
        <v/>
      </c>
      <c r="DX38" s="1753" t="str" cm="1">
        <f t="array" ref="DX38">IF($CG38="","",IF(INDEX($D$6:$CB$53,MATCH($CG38,$B$6:$B$53,0),COLUMN()-COLUMN($CI$5)+1)&gt;0,INDEX($D$6:$CB$53,MATCH($CG38,$B$6:$B$53,0),COLUMN()-COLUMN($CI$5)+1),""))</f>
        <v/>
      </c>
      <c r="DY38" s="1753" t="str" cm="1">
        <f t="array" ref="DY38">IF($CG38="","",IF(INDEX($D$6:$CB$53,MATCH($CG38,$B$6:$B$53,0),COLUMN()-COLUMN($CI$5)+1)&gt;0,INDEX($D$6:$CB$53,MATCH($CG38,$B$6:$B$53,0),COLUMN()-COLUMN($CI$5)+1),""))</f>
        <v/>
      </c>
      <c r="DZ38" s="1753" t="str" cm="1">
        <f t="array" ref="DZ38">IF($CG38="","",IF(INDEX($D$6:$CB$53,MATCH($CG38,$B$6:$B$53,0),COLUMN()-COLUMN($CI$5)+1)&gt;0,INDEX($D$6:$CB$53,MATCH($CG38,$B$6:$B$53,0),COLUMN()-COLUMN($CI$5)+1),""))</f>
        <v/>
      </c>
      <c r="EA38" s="1753" t="str" cm="1">
        <f t="array" ref="EA38">IF($CG38="","",IF(INDEX($D$6:$CB$53,MATCH($CG38,$B$6:$B$53,0),COLUMN()-COLUMN($CI$5)+1)&gt;0,INDEX($D$6:$CB$53,MATCH($CG38,$B$6:$B$53,0),COLUMN()-COLUMN($CI$5)+1),""))</f>
        <v/>
      </c>
      <c r="EB38" s="1753" t="str" cm="1">
        <f t="array" ref="EB38">IF($CG38="","",IF(INDEX($D$6:$CB$53,MATCH($CG38,$B$6:$B$53,0),COLUMN()-COLUMN($CI$5)+1)&gt;0,INDEX($D$6:$CB$53,MATCH($CG38,$B$6:$B$53,0),COLUMN()-COLUMN($CI$5)+1),""))</f>
        <v/>
      </c>
      <c r="EC38" s="1753" t="str" cm="1">
        <f t="array" ref="EC38">IF($CG38="","",IF(INDEX($D$6:$CB$53,MATCH($CG38,$B$6:$B$53,0),COLUMN()-COLUMN($CI$5)+1)&gt;0,INDEX($D$6:$CB$53,MATCH($CG38,$B$6:$B$53,0),COLUMN()-COLUMN($CI$5)+1),""))</f>
        <v/>
      </c>
      <c r="ED38" s="1753" t="str" cm="1">
        <f t="array" ref="ED38">IF($CG38="","",IF(INDEX($D$6:$CB$53,MATCH($CG38,$B$6:$B$53,0),COLUMN()-COLUMN($CI$5)+1)&gt;0,INDEX($D$6:$CB$53,MATCH($CG38,$B$6:$B$53,0),COLUMN()-COLUMN($CI$5)+1),""))</f>
        <v/>
      </c>
      <c r="EE38" s="1753" t="str" cm="1">
        <f t="array" ref="EE38">IF($CG38="","",IF(INDEX($D$6:$CB$53,MATCH($CG38,$B$6:$B$53,0),COLUMN()-COLUMN($CI$5)+1)&gt;0,INDEX($D$6:$CB$53,MATCH($CG38,$B$6:$B$53,0),COLUMN()-COLUMN($CI$5)+1),""))</f>
        <v/>
      </c>
      <c r="EF38" s="1753" t="str" cm="1">
        <f t="array" ref="EF38">IF($CG38="","",IF(INDEX($D$6:$CB$53,MATCH($CG38,$B$6:$B$53,0),COLUMN()-COLUMN($CI$5)+1)&gt;0,INDEX($D$6:$CB$53,MATCH($CG38,$B$6:$B$53,0),COLUMN()-COLUMN($CI$5)+1),""))</f>
        <v/>
      </c>
      <c r="EG38" s="1753" t="str" cm="1">
        <f t="array" ref="EG38">IF($CG38="","",IF(INDEX($D$6:$CB$53,MATCH($CG38,$B$6:$B$53,0),COLUMN()-COLUMN($CI$5)+1)&gt;0,INDEX($D$6:$CB$53,MATCH($CG38,$B$6:$B$53,0),COLUMN()-COLUMN($CI$5)+1),""))</f>
        <v/>
      </c>
      <c r="EH38" s="1753" t="str" cm="1">
        <f t="array" ref="EH38">IF($CG38="","",IF(INDEX($D$6:$CB$53,MATCH($CG38,$B$6:$B$53,0),COLUMN()-COLUMN($CI$5)+1)&gt;0,INDEX($D$6:$CB$53,MATCH($CG38,$B$6:$B$53,0),COLUMN()-COLUMN($CI$5)+1),""))</f>
        <v/>
      </c>
      <c r="EI38" s="1753" t="str" cm="1">
        <f t="array" ref="EI38">IF($CG38="","",IF(INDEX($D$6:$CB$53,MATCH($CG38,$B$6:$B$53,0),COLUMN()-COLUMN($CI$5)+1)&gt;0,INDEX($D$6:$CB$53,MATCH($CG38,$B$6:$B$53,0),COLUMN()-COLUMN($CI$5)+1),""))</f>
        <v/>
      </c>
      <c r="EJ38" s="1753" t="str" cm="1">
        <f t="array" ref="EJ38">IF($CG38="","",IF(INDEX($D$6:$CB$53,MATCH($CG38,$B$6:$B$53,0),COLUMN()-COLUMN($CI$5)+1)&gt;0,INDEX($D$6:$CB$53,MATCH($CG38,$B$6:$B$53,0),COLUMN()-COLUMN($CI$5)+1),""))</f>
        <v/>
      </c>
      <c r="EK38" s="1753" t="str" cm="1">
        <f t="array" ref="EK38">IF($CG38="","",IF(INDEX($D$6:$CB$53,MATCH($CG38,$B$6:$B$53,0),COLUMN()-COLUMN($CI$5)+1)&gt;0,INDEX($D$6:$CB$53,MATCH($CG38,$B$6:$B$53,0),COLUMN()-COLUMN($CI$5)+1),""))</f>
        <v/>
      </c>
      <c r="EL38" s="1753" t="str" cm="1">
        <f t="array" ref="EL38">IF($CG38="","",IF(INDEX($D$6:$CB$53,MATCH($CG38,$B$6:$B$53,0),COLUMN()-COLUMN($CI$5)+1)&gt;0,INDEX($D$6:$CB$53,MATCH($CG38,$B$6:$B$53,0),COLUMN()-COLUMN($CI$5)+1),""))</f>
        <v/>
      </c>
      <c r="EM38" s="1753" t="str" cm="1">
        <f t="array" ref="EM38">IF($CG38="","",IF(INDEX($D$6:$CB$53,MATCH($CG38,$B$6:$B$53,0),COLUMN()-COLUMN($CI$5)+1)&gt;0,INDEX($D$6:$CB$53,MATCH($CG38,$B$6:$B$53,0),COLUMN()-COLUMN($CI$5)+1),""))</f>
        <v/>
      </c>
      <c r="EN38" s="1753" t="str" cm="1">
        <f t="array" ref="EN38">IF($CG38="","",IF(INDEX($D$6:$CB$53,MATCH($CG38,$B$6:$B$53,0),COLUMN()-COLUMN($CI$5)+1)&gt;0,INDEX($D$6:$CB$53,MATCH($CG38,$B$6:$B$53,0),COLUMN()-COLUMN($CI$5)+1),""))</f>
        <v/>
      </c>
      <c r="EO38" s="1753" t="str" cm="1">
        <f t="array" ref="EO38">IF($CG38="","",IF(INDEX($D$6:$CB$53,MATCH($CG38,$B$6:$B$53,0),COLUMN()-COLUMN($CI$5)+1)&gt;0,INDEX($D$6:$CB$53,MATCH($CG38,$B$6:$B$53,0),COLUMN()-COLUMN($CI$5)+1),""))</f>
        <v/>
      </c>
      <c r="EP38" s="1753" t="str" cm="1">
        <f t="array" ref="EP38">IF($CG38="","",IF(INDEX($D$6:$CB$53,MATCH($CG38,$B$6:$B$53,0),COLUMN()-COLUMN($CI$5)+1)&gt;0,INDEX($D$6:$CB$53,MATCH($CG38,$B$6:$B$53,0),COLUMN()-COLUMN($CI$5)+1),""))</f>
        <v/>
      </c>
      <c r="EQ38" s="1753" t="str" cm="1">
        <f t="array" ref="EQ38">IF($CG38="","",IF(INDEX($D$6:$CB$53,MATCH($CG38,$B$6:$B$53,0),COLUMN()-COLUMN($CI$5)+1)&gt;0,INDEX($D$6:$CB$53,MATCH($CG38,$B$6:$B$53,0),COLUMN()-COLUMN($CI$5)+1),""))</f>
        <v/>
      </c>
      <c r="ER38" s="1753" t="str" cm="1">
        <f t="array" ref="ER38">IF($CG38="","",IF(INDEX($D$6:$CB$53,MATCH($CG38,$B$6:$B$53,0),COLUMN()-COLUMN($CI$5)+1)&gt;0,INDEX($D$6:$CB$53,MATCH($CG38,$B$6:$B$53,0),COLUMN()-COLUMN($CI$5)+1),""))</f>
        <v/>
      </c>
      <c r="ES38" s="1753" t="str" cm="1">
        <f t="array" ref="ES38">IF($CG38="","",IF(INDEX($D$6:$CB$53,MATCH($CG38,$B$6:$B$53,0),COLUMN()-COLUMN($CI$5)+1)&gt;0,INDEX($D$6:$CB$53,MATCH($CG38,$B$6:$B$53,0),COLUMN()-COLUMN($CI$5)+1),""))</f>
        <v/>
      </c>
      <c r="ET38" s="1753" t="str" cm="1">
        <f t="array" ref="ET38">IF($CG38="","",IF(INDEX($D$6:$CB$53,MATCH($CG38,$B$6:$B$53,0),COLUMN()-COLUMN($CI$5)+1)&gt;0,INDEX($D$6:$CB$53,MATCH($CG38,$B$6:$B$53,0),COLUMN()-COLUMN($CI$5)+1),""))</f>
        <v/>
      </c>
      <c r="EU38" s="1753" t="str" cm="1">
        <f t="array" ref="EU38">IF($CG38="","",IF(INDEX($D$6:$CB$53,MATCH($CG38,$B$6:$B$53,0),COLUMN()-COLUMN($CI$5)+1)&gt;0,INDEX($D$6:$CB$53,MATCH($CG38,$B$6:$B$53,0),COLUMN()-COLUMN($CI$5)+1),""))</f>
        <v/>
      </c>
      <c r="EV38" s="1753" t="str" cm="1">
        <f t="array" ref="EV38">IF($CG38="","",IF(INDEX($D$6:$CB$53,MATCH($CG38,$B$6:$B$53,0),COLUMN()-COLUMN($CI$5)+1)&gt;0,INDEX($D$6:$CB$53,MATCH($CG38,$B$6:$B$53,0),COLUMN()-COLUMN($CI$5)+1),""))</f>
        <v/>
      </c>
      <c r="EW38" s="1753" t="str" cm="1">
        <f t="array" ref="EW38">IF($CG38="","",IF(INDEX($D$6:$CB$53,MATCH($CG38,$B$6:$B$53,0),COLUMN()-COLUMN($CI$5)+1)&gt;0,INDEX($D$6:$CB$53,MATCH($CG38,$B$6:$B$53,0),COLUMN()-COLUMN($CI$5)+1),""))</f>
        <v/>
      </c>
      <c r="EX38" s="1753" t="str" cm="1">
        <f t="array" ref="EX38">IF($CG38="","",IF(INDEX($D$6:$CB$53,MATCH($CG38,$B$6:$B$53,0),COLUMN()-COLUMN($CI$5)+1)&gt;0,INDEX($D$6:$CB$53,MATCH($CG38,$B$6:$B$53,0),COLUMN()-COLUMN($CI$5)+1),""))</f>
        <v/>
      </c>
      <c r="EY38" s="1753" t="str" cm="1">
        <f t="array" ref="EY38">IF($CG38="","",IF(INDEX($D$6:$CB$53,MATCH($CG38,$B$6:$B$53,0),COLUMN()-COLUMN($CI$5)+1)&gt;0,INDEX($D$6:$CB$53,MATCH($CG38,$B$6:$B$53,0),COLUMN()-COLUMN($CI$5)+1),""))</f>
        <v/>
      </c>
      <c r="EZ38" s="1753" t="str" cm="1">
        <f t="array" ref="EZ38">IF($CG38="","",IF(INDEX($D$6:$CB$53,MATCH($CG38,$B$6:$B$53,0),COLUMN()-COLUMN($CI$5)+1)&gt;0,INDEX($D$6:$CB$53,MATCH($CG38,$B$6:$B$53,0),COLUMN()-COLUMN($CI$5)+1),""))</f>
        <v/>
      </c>
      <c r="FA38" s="1753" t="str" cm="1">
        <f t="array" ref="FA38">IF($CG38="","",IF(INDEX($D$6:$CB$53,MATCH($CG38,$B$6:$B$53,0),COLUMN()-COLUMN($CI$5)+1)&gt;0,INDEX($D$6:$CB$53,MATCH($CG38,$B$6:$B$53,0),COLUMN()-COLUMN($CI$5)+1),""))</f>
        <v/>
      </c>
      <c r="FB38" s="1753" t="str" cm="1">
        <f t="array" ref="FB38">IF($CG38="","",IF(INDEX($D$6:$CB$53,MATCH($CG38,$B$6:$B$53,0),COLUMN()-COLUMN($CI$5)+1)&gt;0,INDEX($D$6:$CB$53,MATCH($CG38,$B$6:$B$53,0),COLUMN()-COLUMN($CI$5)+1),""))</f>
        <v/>
      </c>
      <c r="FC38" s="1753" t="str" cm="1">
        <f t="array" ref="FC38">IF($CG38="","",IF(INDEX($D$6:$CB$53,MATCH($CG38,$B$6:$B$53,0),COLUMN()-COLUMN($CI$5)+1)&gt;0,INDEX($D$6:$CB$53,MATCH($CG38,$B$6:$B$53,0),COLUMN()-COLUMN($CI$5)+1),""))</f>
        <v/>
      </c>
      <c r="FD38" s="1753" t="str" cm="1">
        <f t="array" ref="FD38">IF($CG38="","",IF(INDEX($D$6:$CB$53,MATCH($CG38,$B$6:$B$53,0),COLUMN()-COLUMN($CI$5)+1)&gt;0,INDEX($D$6:$CB$53,MATCH($CG38,$B$6:$B$53,0),COLUMN()-COLUMN($CI$5)+1),""))</f>
        <v/>
      </c>
      <c r="FE38" s="1753" t="str" cm="1">
        <f t="array" ref="FE38">IF($CG38="","",IF(INDEX($D$6:$CB$53,MATCH($CG38,$B$6:$B$53,0),COLUMN()-COLUMN($CI$5)+1)&gt;0,INDEX($D$6:$CB$53,MATCH($CG38,$B$6:$B$53,0),COLUMN()-COLUMN($CI$5)+1),""))</f>
        <v/>
      </c>
      <c r="FF38" s="1753" t="str" cm="1">
        <f t="array" ref="FF38">IF($CG38="","",IF(INDEX($D$6:$CB$53,MATCH($CG38,$B$6:$B$53,0),COLUMN()-COLUMN($CI$5)+1)&gt;0,INDEX($D$6:$CB$53,MATCH($CG38,$B$6:$B$53,0),COLUMN()-COLUMN($CI$5)+1),""))</f>
        <v/>
      </c>
      <c r="FG38" s="1753" t="str" cm="1">
        <f t="array" ref="FG38">IF($CG38="","",IF(INDEX($D$6:$CB$53,MATCH($CG38,$B$6:$B$53,0),COLUMN()-COLUMN($CI$5)+1)&gt;0,INDEX($D$6:$CB$53,MATCH($CG38,$B$6:$B$53,0),COLUMN()-COLUMN($CI$5)+1),""))</f>
        <v/>
      </c>
      <c r="FH38" s="1753" t="str">
        <f t="shared" ref="FH38:FH53" si="7">IF($CG38="","",SUM(CI38:DZ38))</f>
        <v/>
      </c>
      <c r="FI38" s="1753" t="str">
        <f t="shared" ref="FI38:FI53" si="8">IF($CG38="","",FH38*2)</f>
        <v/>
      </c>
      <c r="FJ38" s="1753" t="str">
        <f t="shared" ref="FJ38:FJ53" si="9">IF($CG38="","",FH38*20)</f>
        <v/>
      </c>
      <c r="FK38" s="1753"/>
    </row>
    <row r="39" spans="1:167" ht="15.75" customHeight="1">
      <c r="A39" s="1220"/>
      <c r="B39" s="1278">
        <f>+PP!B57</f>
        <v>34</v>
      </c>
      <c r="C39" s="1277" t="str">
        <f>+PP!C57</f>
        <v>REPRODUCTORES SV, PEQUEÑO</v>
      </c>
      <c r="D39" s="1401"/>
      <c r="E39" s="1402"/>
      <c r="F39" s="1402"/>
      <c r="G39" s="1402"/>
      <c r="H39" s="1402"/>
      <c r="I39" s="1402"/>
      <c r="J39" s="1402"/>
      <c r="K39" s="1402"/>
      <c r="L39" s="1402"/>
      <c r="M39" s="1402"/>
      <c r="N39" s="1402"/>
      <c r="O39" s="1402"/>
      <c r="P39" s="1402"/>
      <c r="Q39" s="1402"/>
      <c r="R39" s="1402"/>
      <c r="S39" s="1402"/>
      <c r="T39" s="1402"/>
      <c r="U39" s="1402"/>
      <c r="V39" s="1402"/>
      <c r="W39" s="1402"/>
      <c r="X39" s="1402"/>
      <c r="Y39" s="1402"/>
      <c r="Z39" s="1402"/>
      <c r="AA39" s="1402"/>
      <c r="AB39" s="1402"/>
      <c r="AC39" s="1402"/>
      <c r="AD39" s="1402"/>
      <c r="AE39" s="1402"/>
      <c r="AF39" s="1402"/>
      <c r="AG39" s="1402"/>
      <c r="AH39" s="1403"/>
      <c r="AI39" s="1232"/>
      <c r="AJ39" s="1232"/>
      <c r="AK39" s="1232"/>
      <c r="AL39" s="1232"/>
      <c r="AM39" s="1232"/>
      <c r="AN39" s="1232"/>
      <c r="AO39" s="1232"/>
      <c r="AP39" s="1217"/>
      <c r="AQ39" s="1217"/>
      <c r="AR39" s="1217"/>
      <c r="AS39" s="1217"/>
      <c r="AT39" s="1217"/>
      <c r="AU39" s="1217"/>
      <c r="AV39" s="1217"/>
      <c r="AW39" s="1217"/>
      <c r="AX39" s="1217"/>
      <c r="AY39" s="1217"/>
      <c r="AZ39" s="1217"/>
      <c r="BA39" s="1217"/>
      <c r="BB39" s="1217"/>
      <c r="BC39" s="1217"/>
      <c r="BD39" s="1217"/>
      <c r="BE39" s="1217"/>
      <c r="BF39" s="1217"/>
      <c r="BG39" s="1217"/>
      <c r="BH39" s="1217"/>
      <c r="BI39" s="1217"/>
      <c r="BJ39" s="1217"/>
      <c r="BK39" s="1217"/>
      <c r="BL39" s="1217"/>
      <c r="BM39" s="1217"/>
      <c r="BN39" s="1217"/>
      <c r="BO39" s="1217"/>
      <c r="BP39" s="1217"/>
      <c r="BQ39" s="1217"/>
      <c r="BR39" s="1562"/>
      <c r="BS39" s="1562"/>
      <c r="BT39" s="1562"/>
      <c r="BU39" s="1562"/>
      <c r="BV39" s="1562"/>
      <c r="BW39" s="1562"/>
      <c r="BX39" s="1562"/>
      <c r="BY39" s="1562"/>
      <c r="BZ39" s="1562"/>
      <c r="CA39" s="1562"/>
      <c r="CB39" s="1563"/>
      <c r="CC39" s="1549">
        <f t="shared" si="0"/>
        <v>0</v>
      </c>
      <c r="CD39" s="1233">
        <f t="shared" si="1"/>
        <v>0</v>
      </c>
      <c r="CE39" s="1234">
        <f t="shared" si="2"/>
        <v>0</v>
      </c>
      <c r="CF39" s="1220"/>
      <c r="CG39" s="1751" t="str" cm="1">
        <f t="array" ref="CG39">IFERROR(INDEX($B$6:$B$53,_xlfn.AGGREGATE(15,6,(ROW($B$6:$B$53)-ROW($B$6)+1)/(MMULT(--($D$6:$CB$53&gt;0),TRANSPOSE(COLUMN($D$6:$CB$6)^0))&gt;0),ROWS($CG$6:CG39))),"")</f>
        <v/>
      </c>
      <c r="CH39" s="1752" t="str">
        <f t="shared" si="3"/>
        <v/>
      </c>
      <c r="CI39" s="1753" t="str" cm="1">
        <f t="array" ref="CI39">IF($CG39="","",IF(INDEX($D$6:$CB$53,MATCH($CG39,$B$6:$B$53,0),COLUMN()-COLUMN($CI$5)+1)&gt;0,INDEX($D$6:$CB$53,MATCH($CG39,$B$6:$B$53,0),COLUMN()-COLUMN($CI$5)+1),""))</f>
        <v/>
      </c>
      <c r="CJ39" s="1753" t="str" cm="1">
        <f t="array" ref="CJ39">IF($CG39="","",IF(INDEX($D$6:$CB$53,MATCH($CG39,$B$6:$B$53,0),COLUMN()-COLUMN($CI$5)+1)&gt;0,INDEX($D$6:$CB$53,MATCH($CG39,$B$6:$B$53,0),COLUMN()-COLUMN($CI$5)+1),""))</f>
        <v/>
      </c>
      <c r="CK39" s="1753" t="str" cm="1">
        <f t="array" ref="CK39">IF($CG39="","",IF(INDEX($D$6:$CB$53,MATCH($CG39,$B$6:$B$53,0),COLUMN()-COLUMN($CI$5)+1)&gt;0,INDEX($D$6:$CB$53,MATCH($CG39,$B$6:$B$53,0),COLUMN()-COLUMN($CI$5)+1),""))</f>
        <v/>
      </c>
      <c r="CL39" s="1753" t="str" cm="1">
        <f t="array" ref="CL39">IF($CG39="","",IF(INDEX($D$6:$CB$53,MATCH($CG39,$B$6:$B$53,0),COLUMN()-COLUMN($CI$5)+1)&gt;0,INDEX($D$6:$CB$53,MATCH($CG39,$B$6:$B$53,0),COLUMN()-COLUMN($CI$5)+1),""))</f>
        <v/>
      </c>
      <c r="CM39" s="1753" t="str" cm="1">
        <f t="array" ref="CM39">IF($CG39="","",IF(INDEX($D$6:$CB$53,MATCH($CG39,$B$6:$B$53,0),COLUMN()-COLUMN($CI$5)+1)&gt;0,INDEX($D$6:$CB$53,MATCH($CG39,$B$6:$B$53,0),COLUMN()-COLUMN($CI$5)+1),""))</f>
        <v/>
      </c>
      <c r="CN39" s="1753" t="str" cm="1">
        <f t="array" ref="CN39">IF($CG39="","",IF(INDEX($D$6:$CB$53,MATCH($CG39,$B$6:$B$53,0),COLUMN()-COLUMN($CI$5)+1)&gt;0,INDEX($D$6:$CB$53,MATCH($CG39,$B$6:$B$53,0),COLUMN()-COLUMN($CI$5)+1),""))</f>
        <v/>
      </c>
      <c r="CO39" s="1753" t="str" cm="1">
        <f t="array" ref="CO39">IF($CG39="","",IF(INDEX($D$6:$CB$53,MATCH($CG39,$B$6:$B$53,0),COLUMN()-COLUMN($CI$5)+1)&gt;0,INDEX($D$6:$CB$53,MATCH($CG39,$B$6:$B$53,0),COLUMN()-COLUMN($CI$5)+1),""))</f>
        <v/>
      </c>
      <c r="CP39" s="1753" t="str" cm="1">
        <f t="array" ref="CP39">IF($CG39="","",IF(INDEX($D$6:$CB$53,MATCH($CG39,$B$6:$B$53,0),COLUMN()-COLUMN($CI$5)+1)&gt;0,INDEX($D$6:$CB$53,MATCH($CG39,$B$6:$B$53,0),COLUMN()-COLUMN($CI$5)+1),""))</f>
        <v/>
      </c>
      <c r="CQ39" s="1753" t="str" cm="1">
        <f t="array" ref="CQ39">IF($CG39="","",IF(INDEX($D$6:$CB$53,MATCH($CG39,$B$6:$B$53,0),COLUMN()-COLUMN($CI$5)+1)&gt;0,INDEX($D$6:$CB$53,MATCH($CG39,$B$6:$B$53,0),COLUMN()-COLUMN($CI$5)+1),""))</f>
        <v/>
      </c>
      <c r="CR39" s="1753" t="str" cm="1">
        <f t="array" ref="CR39">IF($CG39="","",IF(INDEX($D$6:$CB$53,MATCH($CG39,$B$6:$B$53,0),COLUMN()-COLUMN($CI$5)+1)&gt;0,INDEX($D$6:$CB$53,MATCH($CG39,$B$6:$B$53,0),COLUMN()-COLUMN($CI$5)+1),""))</f>
        <v/>
      </c>
      <c r="CS39" s="1753" t="str" cm="1">
        <f t="array" ref="CS39">IF($CG39="","",IF(INDEX($D$6:$CB$53,MATCH($CG39,$B$6:$B$53,0),COLUMN()-COLUMN($CI$5)+1)&gt;0,INDEX($D$6:$CB$53,MATCH($CG39,$B$6:$B$53,0),COLUMN()-COLUMN($CI$5)+1),""))</f>
        <v/>
      </c>
      <c r="CT39" s="1753" t="str" cm="1">
        <f t="array" ref="CT39">IF($CG39="","",IF(INDEX($D$6:$CB$53,MATCH($CG39,$B$6:$B$53,0),COLUMN()-COLUMN($CI$5)+1)&gt;0,INDEX($D$6:$CB$53,MATCH($CG39,$B$6:$B$53,0),COLUMN()-COLUMN($CI$5)+1),""))</f>
        <v/>
      </c>
      <c r="CU39" s="1753" t="str" cm="1">
        <f t="array" ref="CU39">IF($CG39="","",IF(INDEX($D$6:$CB$53,MATCH($CG39,$B$6:$B$53,0),COLUMN()-COLUMN($CI$5)+1)&gt;0,INDEX($D$6:$CB$53,MATCH($CG39,$B$6:$B$53,0),COLUMN()-COLUMN($CI$5)+1),""))</f>
        <v/>
      </c>
      <c r="CV39" s="1753" t="str" cm="1">
        <f t="array" ref="CV39">IF($CG39="","",IF(INDEX($D$6:$CB$53,MATCH($CG39,$B$6:$B$53,0),COLUMN()-COLUMN($CI$5)+1)&gt;0,INDEX($D$6:$CB$53,MATCH($CG39,$B$6:$B$53,0),COLUMN()-COLUMN($CI$5)+1),""))</f>
        <v/>
      </c>
      <c r="CW39" s="1753" t="str" cm="1">
        <f t="array" ref="CW39">IF($CG39="","",IF(INDEX($D$6:$CB$53,MATCH($CG39,$B$6:$B$53,0),COLUMN()-COLUMN($CI$5)+1)&gt;0,INDEX($D$6:$CB$53,MATCH($CG39,$B$6:$B$53,0),COLUMN()-COLUMN($CI$5)+1),""))</f>
        <v/>
      </c>
      <c r="CX39" s="1753" t="str" cm="1">
        <f t="array" ref="CX39">IF($CG39="","",IF(INDEX($D$6:$CB$53,MATCH($CG39,$B$6:$B$53,0),COLUMN()-COLUMN($CI$5)+1)&gt;0,INDEX($D$6:$CB$53,MATCH($CG39,$B$6:$B$53,0),COLUMN()-COLUMN($CI$5)+1),""))</f>
        <v/>
      </c>
      <c r="CY39" s="1753" t="str" cm="1">
        <f t="array" ref="CY39">IF($CG39="","",IF(INDEX($D$6:$CB$53,MATCH($CG39,$B$6:$B$53,0),COLUMN()-COLUMN($CI$5)+1)&gt;0,INDEX($D$6:$CB$53,MATCH($CG39,$B$6:$B$53,0),COLUMN()-COLUMN($CI$5)+1),""))</f>
        <v/>
      </c>
      <c r="CZ39" s="1753" t="str" cm="1">
        <f t="array" ref="CZ39">IF($CG39="","",IF(INDEX($D$6:$CB$53,MATCH($CG39,$B$6:$B$53,0),COLUMN()-COLUMN($CI$5)+1)&gt;0,INDEX($D$6:$CB$53,MATCH($CG39,$B$6:$B$53,0),COLUMN()-COLUMN($CI$5)+1),""))</f>
        <v/>
      </c>
      <c r="DA39" s="1753" t="str" cm="1">
        <f t="array" ref="DA39">IF($CG39="","",IF(INDEX($D$6:$CB$53,MATCH($CG39,$B$6:$B$53,0),COLUMN()-COLUMN($CI$5)+1)&gt;0,INDEX($D$6:$CB$53,MATCH($CG39,$B$6:$B$53,0),COLUMN()-COLUMN($CI$5)+1),""))</f>
        <v/>
      </c>
      <c r="DB39" s="1753" t="str" cm="1">
        <f t="array" ref="DB39">IF($CG39="","",IF(INDEX($D$6:$CB$53,MATCH($CG39,$B$6:$B$53,0),COLUMN()-COLUMN($CI$5)+1)&gt;0,INDEX($D$6:$CB$53,MATCH($CG39,$B$6:$B$53,0),COLUMN()-COLUMN($CI$5)+1),""))</f>
        <v/>
      </c>
      <c r="DC39" s="1753" t="str" cm="1">
        <f t="array" ref="DC39">IF($CG39="","",IF(INDEX($D$6:$CB$53,MATCH($CG39,$B$6:$B$53,0),COLUMN()-COLUMN($CI$5)+1)&gt;0,INDEX($D$6:$CB$53,MATCH($CG39,$B$6:$B$53,0),COLUMN()-COLUMN($CI$5)+1),""))</f>
        <v/>
      </c>
      <c r="DD39" s="1753" t="str" cm="1">
        <f t="array" ref="DD39">IF($CG39="","",IF(INDEX($D$6:$CB$53,MATCH($CG39,$B$6:$B$53,0),COLUMN()-COLUMN($CI$5)+1)&gt;0,INDEX($D$6:$CB$53,MATCH($CG39,$B$6:$B$53,0),COLUMN()-COLUMN($CI$5)+1),""))</f>
        <v/>
      </c>
      <c r="DE39" s="1753" t="str" cm="1">
        <f t="array" ref="DE39">IF($CG39="","",IF(INDEX($D$6:$CB$53,MATCH($CG39,$B$6:$B$53,0),COLUMN()-COLUMN($CI$5)+1)&gt;0,INDEX($D$6:$CB$53,MATCH($CG39,$B$6:$B$53,0),COLUMN()-COLUMN($CI$5)+1),""))</f>
        <v/>
      </c>
      <c r="DF39" s="1753" t="str" cm="1">
        <f t="array" ref="DF39">IF($CG39="","",IF(INDEX($D$6:$CB$53,MATCH($CG39,$B$6:$B$53,0),COLUMN()-COLUMN($CI$5)+1)&gt;0,INDEX($D$6:$CB$53,MATCH($CG39,$B$6:$B$53,0),COLUMN()-COLUMN($CI$5)+1),""))</f>
        <v/>
      </c>
      <c r="DG39" s="1753" t="str" cm="1">
        <f t="array" ref="DG39">IF($CG39="","",IF(INDEX($D$6:$CB$53,MATCH($CG39,$B$6:$B$53,0),COLUMN()-COLUMN($CI$5)+1)&gt;0,INDEX($D$6:$CB$53,MATCH($CG39,$B$6:$B$53,0),COLUMN()-COLUMN($CI$5)+1),""))</f>
        <v/>
      </c>
      <c r="DH39" s="1753" t="str" cm="1">
        <f t="array" ref="DH39">IF($CG39="","",IF(INDEX($D$6:$CB$53,MATCH($CG39,$B$6:$B$53,0),COLUMN()-COLUMN($CI$5)+1)&gt;0,INDEX($D$6:$CB$53,MATCH($CG39,$B$6:$B$53,0),COLUMN()-COLUMN($CI$5)+1),""))</f>
        <v/>
      </c>
      <c r="DI39" s="1753" t="str" cm="1">
        <f t="array" ref="DI39">IF($CG39="","",IF(INDEX($D$6:$CB$53,MATCH($CG39,$B$6:$B$53,0),COLUMN()-COLUMN($CI$5)+1)&gt;0,INDEX($D$6:$CB$53,MATCH($CG39,$B$6:$B$53,0),COLUMN()-COLUMN($CI$5)+1),""))</f>
        <v/>
      </c>
      <c r="DJ39" s="1753" t="str" cm="1">
        <f t="array" ref="DJ39">IF($CG39="","",IF(INDEX($D$6:$CB$53,MATCH($CG39,$B$6:$B$53,0),COLUMN()-COLUMN($CI$5)+1)&gt;0,INDEX($D$6:$CB$53,MATCH($CG39,$B$6:$B$53,0),COLUMN()-COLUMN($CI$5)+1),""))</f>
        <v/>
      </c>
      <c r="DK39" s="1753" t="str" cm="1">
        <f t="array" ref="DK39">IF($CG39="","",IF(INDEX($D$6:$CB$53,MATCH($CG39,$B$6:$B$53,0),COLUMN()-COLUMN($CI$5)+1)&gt;0,INDEX($D$6:$CB$53,MATCH($CG39,$B$6:$B$53,0),COLUMN()-COLUMN($CI$5)+1),""))</f>
        <v/>
      </c>
      <c r="DL39" s="1753" t="str" cm="1">
        <f t="array" ref="DL39">IF($CG39="","",IF(INDEX($D$6:$CB$53,MATCH($CG39,$B$6:$B$53,0),COLUMN()-COLUMN($CI$5)+1)&gt;0,INDEX($D$6:$CB$53,MATCH($CG39,$B$6:$B$53,0),COLUMN()-COLUMN($CI$5)+1),""))</f>
        <v/>
      </c>
      <c r="DM39" s="1753" t="str" cm="1">
        <f t="array" ref="DM39">IF($CG39="","",IF(INDEX($D$6:$CB$53,MATCH($CG39,$B$6:$B$53,0),COLUMN()-COLUMN($CI$5)+1)&gt;0,INDEX($D$6:$CB$53,MATCH($CG39,$B$6:$B$53,0),COLUMN()-COLUMN($CI$5)+1),""))</f>
        <v/>
      </c>
      <c r="DN39" s="1753" t="str" cm="1">
        <f t="array" ref="DN39">IF($CG39="","",IF(INDEX($D$6:$CB$53,MATCH($CG39,$B$6:$B$53,0),COLUMN()-COLUMN($CI$5)+1)&gt;0,INDEX($D$6:$CB$53,MATCH($CG39,$B$6:$B$53,0),COLUMN()-COLUMN($CI$5)+1),""))</f>
        <v/>
      </c>
      <c r="DO39" s="1753" t="str" cm="1">
        <f t="array" ref="DO39">IF($CG39="","",IF(INDEX($D$6:$CB$53,MATCH($CG39,$B$6:$B$53,0),COLUMN()-COLUMN($CI$5)+1)&gt;0,INDEX($D$6:$CB$53,MATCH($CG39,$B$6:$B$53,0),COLUMN()-COLUMN($CI$5)+1),""))</f>
        <v/>
      </c>
      <c r="DP39" s="1753" t="str" cm="1">
        <f t="array" ref="DP39">IF($CG39="","",IF(INDEX($D$6:$CB$53,MATCH($CG39,$B$6:$B$53,0),COLUMN()-COLUMN($CI$5)+1)&gt;0,INDEX($D$6:$CB$53,MATCH($CG39,$B$6:$B$53,0),COLUMN()-COLUMN($CI$5)+1),""))</f>
        <v/>
      </c>
      <c r="DQ39" s="1753" t="str" cm="1">
        <f t="array" ref="DQ39">IF($CG39="","",IF(INDEX($D$6:$CB$53,MATCH($CG39,$B$6:$B$53,0),COLUMN()-COLUMN($CI$5)+1)&gt;0,INDEX($D$6:$CB$53,MATCH($CG39,$B$6:$B$53,0),COLUMN()-COLUMN($CI$5)+1),""))</f>
        <v/>
      </c>
      <c r="DR39" s="1753" t="str" cm="1">
        <f t="array" ref="DR39">IF($CG39="","",IF(INDEX($D$6:$CB$53,MATCH($CG39,$B$6:$B$53,0),COLUMN()-COLUMN($CI$5)+1)&gt;0,INDEX($D$6:$CB$53,MATCH($CG39,$B$6:$B$53,0),COLUMN()-COLUMN($CI$5)+1),""))</f>
        <v/>
      </c>
      <c r="DS39" s="1753" t="str" cm="1">
        <f t="array" ref="DS39">IF($CG39="","",IF(INDEX($D$6:$CB$53,MATCH($CG39,$B$6:$B$53,0),COLUMN()-COLUMN($CI$5)+1)&gt;0,INDEX($D$6:$CB$53,MATCH($CG39,$B$6:$B$53,0),COLUMN()-COLUMN($CI$5)+1),""))</f>
        <v/>
      </c>
      <c r="DT39" s="1753" t="str" cm="1">
        <f t="array" ref="DT39">IF($CG39="","",IF(INDEX($D$6:$CB$53,MATCH($CG39,$B$6:$B$53,0),COLUMN()-COLUMN($CI$5)+1)&gt;0,INDEX($D$6:$CB$53,MATCH($CG39,$B$6:$B$53,0),COLUMN()-COLUMN($CI$5)+1),""))</f>
        <v/>
      </c>
      <c r="DU39" s="1753" t="str" cm="1">
        <f t="array" ref="DU39">IF($CG39="","",IF(INDEX($D$6:$CB$53,MATCH($CG39,$B$6:$B$53,0),COLUMN()-COLUMN($CI$5)+1)&gt;0,INDEX($D$6:$CB$53,MATCH($CG39,$B$6:$B$53,0),COLUMN()-COLUMN($CI$5)+1),""))</f>
        <v/>
      </c>
      <c r="DV39" s="1753" t="str" cm="1">
        <f t="array" ref="DV39">IF($CG39="","",IF(INDEX($D$6:$CB$53,MATCH($CG39,$B$6:$B$53,0),COLUMN()-COLUMN($CI$5)+1)&gt;0,INDEX($D$6:$CB$53,MATCH($CG39,$B$6:$B$53,0),COLUMN()-COLUMN($CI$5)+1),""))</f>
        <v/>
      </c>
      <c r="DW39" s="1753" t="str" cm="1">
        <f t="array" ref="DW39">IF($CG39="","",IF(INDEX($D$6:$CB$53,MATCH($CG39,$B$6:$B$53,0),COLUMN()-COLUMN($CI$5)+1)&gt;0,INDEX($D$6:$CB$53,MATCH($CG39,$B$6:$B$53,0),COLUMN()-COLUMN($CI$5)+1),""))</f>
        <v/>
      </c>
      <c r="DX39" s="1753" t="str" cm="1">
        <f t="array" ref="DX39">IF($CG39="","",IF(INDEX($D$6:$CB$53,MATCH($CG39,$B$6:$B$53,0),COLUMN()-COLUMN($CI$5)+1)&gt;0,INDEX($D$6:$CB$53,MATCH($CG39,$B$6:$B$53,0),COLUMN()-COLUMN($CI$5)+1),""))</f>
        <v/>
      </c>
      <c r="DY39" s="1753" t="str" cm="1">
        <f t="array" ref="DY39">IF($CG39="","",IF(INDEX($D$6:$CB$53,MATCH($CG39,$B$6:$B$53,0),COLUMN()-COLUMN($CI$5)+1)&gt;0,INDEX($D$6:$CB$53,MATCH($CG39,$B$6:$B$53,0),COLUMN()-COLUMN($CI$5)+1),""))</f>
        <v/>
      </c>
      <c r="DZ39" s="1753" t="str" cm="1">
        <f t="array" ref="DZ39">IF($CG39="","",IF(INDEX($D$6:$CB$53,MATCH($CG39,$B$6:$B$53,0),COLUMN()-COLUMN($CI$5)+1)&gt;0,INDEX($D$6:$CB$53,MATCH($CG39,$B$6:$B$53,0),COLUMN()-COLUMN($CI$5)+1),""))</f>
        <v/>
      </c>
      <c r="EA39" s="1753" t="str" cm="1">
        <f t="array" ref="EA39">IF($CG39="","",IF(INDEX($D$6:$CB$53,MATCH($CG39,$B$6:$B$53,0),COLUMN()-COLUMN($CI$5)+1)&gt;0,INDEX($D$6:$CB$53,MATCH($CG39,$B$6:$B$53,0),COLUMN()-COLUMN($CI$5)+1),""))</f>
        <v/>
      </c>
      <c r="EB39" s="1753" t="str" cm="1">
        <f t="array" ref="EB39">IF($CG39="","",IF(INDEX($D$6:$CB$53,MATCH($CG39,$B$6:$B$53,0),COLUMN()-COLUMN($CI$5)+1)&gt;0,INDEX($D$6:$CB$53,MATCH($CG39,$B$6:$B$53,0),COLUMN()-COLUMN($CI$5)+1),""))</f>
        <v/>
      </c>
      <c r="EC39" s="1753" t="str" cm="1">
        <f t="array" ref="EC39">IF($CG39="","",IF(INDEX($D$6:$CB$53,MATCH($CG39,$B$6:$B$53,0),COLUMN()-COLUMN($CI$5)+1)&gt;0,INDEX($D$6:$CB$53,MATCH($CG39,$B$6:$B$53,0),COLUMN()-COLUMN($CI$5)+1),""))</f>
        <v/>
      </c>
      <c r="ED39" s="1753" t="str" cm="1">
        <f t="array" ref="ED39">IF($CG39="","",IF(INDEX($D$6:$CB$53,MATCH($CG39,$B$6:$B$53,0),COLUMN()-COLUMN($CI$5)+1)&gt;0,INDEX($D$6:$CB$53,MATCH($CG39,$B$6:$B$53,0),COLUMN()-COLUMN($CI$5)+1),""))</f>
        <v/>
      </c>
      <c r="EE39" s="1753" t="str" cm="1">
        <f t="array" ref="EE39">IF($CG39="","",IF(INDEX($D$6:$CB$53,MATCH($CG39,$B$6:$B$53,0),COLUMN()-COLUMN($CI$5)+1)&gt;0,INDEX($D$6:$CB$53,MATCH($CG39,$B$6:$B$53,0),COLUMN()-COLUMN($CI$5)+1),""))</f>
        <v/>
      </c>
      <c r="EF39" s="1753" t="str" cm="1">
        <f t="array" ref="EF39">IF($CG39="","",IF(INDEX($D$6:$CB$53,MATCH($CG39,$B$6:$B$53,0),COLUMN()-COLUMN($CI$5)+1)&gt;0,INDEX($D$6:$CB$53,MATCH($CG39,$B$6:$B$53,0),COLUMN()-COLUMN($CI$5)+1),""))</f>
        <v/>
      </c>
      <c r="EG39" s="1753" t="str" cm="1">
        <f t="array" ref="EG39">IF($CG39="","",IF(INDEX($D$6:$CB$53,MATCH($CG39,$B$6:$B$53,0),COLUMN()-COLUMN($CI$5)+1)&gt;0,INDEX($D$6:$CB$53,MATCH($CG39,$B$6:$B$53,0),COLUMN()-COLUMN($CI$5)+1),""))</f>
        <v/>
      </c>
      <c r="EH39" s="1753" t="str" cm="1">
        <f t="array" ref="EH39">IF($CG39="","",IF(INDEX($D$6:$CB$53,MATCH($CG39,$B$6:$B$53,0),COLUMN()-COLUMN($CI$5)+1)&gt;0,INDEX($D$6:$CB$53,MATCH($CG39,$B$6:$B$53,0),COLUMN()-COLUMN($CI$5)+1),""))</f>
        <v/>
      </c>
      <c r="EI39" s="1753" t="str" cm="1">
        <f t="array" ref="EI39">IF($CG39="","",IF(INDEX($D$6:$CB$53,MATCH($CG39,$B$6:$B$53,0),COLUMN()-COLUMN($CI$5)+1)&gt;0,INDEX($D$6:$CB$53,MATCH($CG39,$B$6:$B$53,0),COLUMN()-COLUMN($CI$5)+1),""))</f>
        <v/>
      </c>
      <c r="EJ39" s="1753" t="str" cm="1">
        <f t="array" ref="EJ39">IF($CG39="","",IF(INDEX($D$6:$CB$53,MATCH($CG39,$B$6:$B$53,0),COLUMN()-COLUMN($CI$5)+1)&gt;0,INDEX($D$6:$CB$53,MATCH($CG39,$B$6:$B$53,0),COLUMN()-COLUMN($CI$5)+1),""))</f>
        <v/>
      </c>
      <c r="EK39" s="1753" t="str" cm="1">
        <f t="array" ref="EK39">IF($CG39="","",IF(INDEX($D$6:$CB$53,MATCH($CG39,$B$6:$B$53,0),COLUMN()-COLUMN($CI$5)+1)&gt;0,INDEX($D$6:$CB$53,MATCH($CG39,$B$6:$B$53,0),COLUMN()-COLUMN($CI$5)+1),""))</f>
        <v/>
      </c>
      <c r="EL39" s="1753" t="str" cm="1">
        <f t="array" ref="EL39">IF($CG39="","",IF(INDEX($D$6:$CB$53,MATCH($CG39,$B$6:$B$53,0),COLUMN()-COLUMN($CI$5)+1)&gt;0,INDEX($D$6:$CB$53,MATCH($CG39,$B$6:$B$53,0),COLUMN()-COLUMN($CI$5)+1),""))</f>
        <v/>
      </c>
      <c r="EM39" s="1753" t="str" cm="1">
        <f t="array" ref="EM39">IF($CG39="","",IF(INDEX($D$6:$CB$53,MATCH($CG39,$B$6:$B$53,0),COLUMN()-COLUMN($CI$5)+1)&gt;0,INDEX($D$6:$CB$53,MATCH($CG39,$B$6:$B$53,0),COLUMN()-COLUMN($CI$5)+1),""))</f>
        <v/>
      </c>
      <c r="EN39" s="1753" t="str" cm="1">
        <f t="array" ref="EN39">IF($CG39="","",IF(INDEX($D$6:$CB$53,MATCH($CG39,$B$6:$B$53,0),COLUMN()-COLUMN($CI$5)+1)&gt;0,INDEX($D$6:$CB$53,MATCH($CG39,$B$6:$B$53,0),COLUMN()-COLUMN($CI$5)+1),""))</f>
        <v/>
      </c>
      <c r="EO39" s="1753" t="str" cm="1">
        <f t="array" ref="EO39">IF($CG39="","",IF(INDEX($D$6:$CB$53,MATCH($CG39,$B$6:$B$53,0),COLUMN()-COLUMN($CI$5)+1)&gt;0,INDEX($D$6:$CB$53,MATCH($CG39,$B$6:$B$53,0),COLUMN()-COLUMN($CI$5)+1),""))</f>
        <v/>
      </c>
      <c r="EP39" s="1753" t="str" cm="1">
        <f t="array" ref="EP39">IF($CG39="","",IF(INDEX($D$6:$CB$53,MATCH($CG39,$B$6:$B$53,0),COLUMN()-COLUMN($CI$5)+1)&gt;0,INDEX($D$6:$CB$53,MATCH($CG39,$B$6:$B$53,0),COLUMN()-COLUMN($CI$5)+1),""))</f>
        <v/>
      </c>
      <c r="EQ39" s="1753" t="str" cm="1">
        <f t="array" ref="EQ39">IF($CG39="","",IF(INDEX($D$6:$CB$53,MATCH($CG39,$B$6:$B$53,0),COLUMN()-COLUMN($CI$5)+1)&gt;0,INDEX($D$6:$CB$53,MATCH($CG39,$B$6:$B$53,0),COLUMN()-COLUMN($CI$5)+1),""))</f>
        <v/>
      </c>
      <c r="ER39" s="1753" t="str" cm="1">
        <f t="array" ref="ER39">IF($CG39="","",IF(INDEX($D$6:$CB$53,MATCH($CG39,$B$6:$B$53,0),COLUMN()-COLUMN($CI$5)+1)&gt;0,INDEX($D$6:$CB$53,MATCH($CG39,$B$6:$B$53,0),COLUMN()-COLUMN($CI$5)+1),""))</f>
        <v/>
      </c>
      <c r="ES39" s="1753" t="str" cm="1">
        <f t="array" ref="ES39">IF($CG39="","",IF(INDEX($D$6:$CB$53,MATCH($CG39,$B$6:$B$53,0),COLUMN()-COLUMN($CI$5)+1)&gt;0,INDEX($D$6:$CB$53,MATCH($CG39,$B$6:$B$53,0),COLUMN()-COLUMN($CI$5)+1),""))</f>
        <v/>
      </c>
      <c r="ET39" s="1753" t="str" cm="1">
        <f t="array" ref="ET39">IF($CG39="","",IF(INDEX($D$6:$CB$53,MATCH($CG39,$B$6:$B$53,0),COLUMN()-COLUMN($CI$5)+1)&gt;0,INDEX($D$6:$CB$53,MATCH($CG39,$B$6:$B$53,0),COLUMN()-COLUMN($CI$5)+1),""))</f>
        <v/>
      </c>
      <c r="EU39" s="1753" t="str" cm="1">
        <f t="array" ref="EU39">IF($CG39="","",IF(INDEX($D$6:$CB$53,MATCH($CG39,$B$6:$B$53,0),COLUMN()-COLUMN($CI$5)+1)&gt;0,INDEX($D$6:$CB$53,MATCH($CG39,$B$6:$B$53,0),COLUMN()-COLUMN($CI$5)+1),""))</f>
        <v/>
      </c>
      <c r="EV39" s="1753" t="str" cm="1">
        <f t="array" ref="EV39">IF($CG39="","",IF(INDEX($D$6:$CB$53,MATCH($CG39,$B$6:$B$53,0),COLUMN()-COLUMN($CI$5)+1)&gt;0,INDEX($D$6:$CB$53,MATCH($CG39,$B$6:$B$53,0),COLUMN()-COLUMN($CI$5)+1),""))</f>
        <v/>
      </c>
      <c r="EW39" s="1753" t="str" cm="1">
        <f t="array" ref="EW39">IF($CG39="","",IF(INDEX($D$6:$CB$53,MATCH($CG39,$B$6:$B$53,0),COLUMN()-COLUMN($CI$5)+1)&gt;0,INDEX($D$6:$CB$53,MATCH($CG39,$B$6:$B$53,0),COLUMN()-COLUMN($CI$5)+1),""))</f>
        <v/>
      </c>
      <c r="EX39" s="1753" t="str" cm="1">
        <f t="array" ref="EX39">IF($CG39="","",IF(INDEX($D$6:$CB$53,MATCH($CG39,$B$6:$B$53,0),COLUMN()-COLUMN($CI$5)+1)&gt;0,INDEX($D$6:$CB$53,MATCH($CG39,$B$6:$B$53,0),COLUMN()-COLUMN($CI$5)+1),""))</f>
        <v/>
      </c>
      <c r="EY39" s="1753" t="str" cm="1">
        <f t="array" ref="EY39">IF($CG39="","",IF(INDEX($D$6:$CB$53,MATCH($CG39,$B$6:$B$53,0),COLUMN()-COLUMN($CI$5)+1)&gt;0,INDEX($D$6:$CB$53,MATCH($CG39,$B$6:$B$53,0),COLUMN()-COLUMN($CI$5)+1),""))</f>
        <v/>
      </c>
      <c r="EZ39" s="1753" t="str" cm="1">
        <f t="array" ref="EZ39">IF($CG39="","",IF(INDEX($D$6:$CB$53,MATCH($CG39,$B$6:$B$53,0),COLUMN()-COLUMN($CI$5)+1)&gt;0,INDEX($D$6:$CB$53,MATCH($CG39,$B$6:$B$53,0),COLUMN()-COLUMN($CI$5)+1),""))</f>
        <v/>
      </c>
      <c r="FA39" s="1753" t="str" cm="1">
        <f t="array" ref="FA39">IF($CG39="","",IF(INDEX($D$6:$CB$53,MATCH($CG39,$B$6:$B$53,0),COLUMN()-COLUMN($CI$5)+1)&gt;0,INDEX($D$6:$CB$53,MATCH($CG39,$B$6:$B$53,0),COLUMN()-COLUMN($CI$5)+1),""))</f>
        <v/>
      </c>
      <c r="FB39" s="1753" t="str" cm="1">
        <f t="array" ref="FB39">IF($CG39="","",IF(INDEX($D$6:$CB$53,MATCH($CG39,$B$6:$B$53,0),COLUMN()-COLUMN($CI$5)+1)&gt;0,INDEX($D$6:$CB$53,MATCH($CG39,$B$6:$B$53,0),COLUMN()-COLUMN($CI$5)+1),""))</f>
        <v/>
      </c>
      <c r="FC39" s="1753" t="str" cm="1">
        <f t="array" ref="FC39">IF($CG39="","",IF(INDEX($D$6:$CB$53,MATCH($CG39,$B$6:$B$53,0),COLUMN()-COLUMN($CI$5)+1)&gt;0,INDEX($D$6:$CB$53,MATCH($CG39,$B$6:$B$53,0),COLUMN()-COLUMN($CI$5)+1),""))</f>
        <v/>
      </c>
      <c r="FD39" s="1753" t="str" cm="1">
        <f t="array" ref="FD39">IF($CG39="","",IF(INDEX($D$6:$CB$53,MATCH($CG39,$B$6:$B$53,0),COLUMN()-COLUMN($CI$5)+1)&gt;0,INDEX($D$6:$CB$53,MATCH($CG39,$B$6:$B$53,0),COLUMN()-COLUMN($CI$5)+1),""))</f>
        <v/>
      </c>
      <c r="FE39" s="1753" t="str" cm="1">
        <f t="array" ref="FE39">IF($CG39="","",IF(INDEX($D$6:$CB$53,MATCH($CG39,$B$6:$B$53,0),COLUMN()-COLUMN($CI$5)+1)&gt;0,INDEX($D$6:$CB$53,MATCH($CG39,$B$6:$B$53,0),COLUMN()-COLUMN($CI$5)+1),""))</f>
        <v/>
      </c>
      <c r="FF39" s="1753" t="str" cm="1">
        <f t="array" ref="FF39">IF($CG39="","",IF(INDEX($D$6:$CB$53,MATCH($CG39,$B$6:$B$53,0),COLUMN()-COLUMN($CI$5)+1)&gt;0,INDEX($D$6:$CB$53,MATCH($CG39,$B$6:$B$53,0),COLUMN()-COLUMN($CI$5)+1),""))</f>
        <v/>
      </c>
      <c r="FG39" s="1753" t="str" cm="1">
        <f t="array" ref="FG39">IF($CG39="","",IF(INDEX($D$6:$CB$53,MATCH($CG39,$B$6:$B$53,0),COLUMN()-COLUMN($CI$5)+1)&gt;0,INDEX($D$6:$CB$53,MATCH($CG39,$B$6:$B$53,0),COLUMN()-COLUMN($CI$5)+1),""))</f>
        <v/>
      </c>
      <c r="FH39" s="1753" t="str">
        <f t="shared" si="7"/>
        <v/>
      </c>
      <c r="FI39" s="1753" t="str">
        <f t="shared" si="8"/>
        <v/>
      </c>
      <c r="FJ39" s="1753" t="str">
        <f t="shared" si="9"/>
        <v/>
      </c>
      <c r="FK39" s="1753"/>
    </row>
    <row r="40" spans="1:167" ht="15.75" customHeight="1" thickBot="1">
      <c r="A40" s="1220"/>
      <c r="B40" s="1278">
        <f>+PP!B58</f>
        <v>35</v>
      </c>
      <c r="C40" s="1280" t="str">
        <f>+PP!C58</f>
        <v>REPRODUCTOR SV GRANDE</v>
      </c>
      <c r="D40" s="1407"/>
      <c r="E40" s="1408"/>
      <c r="F40" s="1408"/>
      <c r="G40" s="1408"/>
      <c r="H40" s="1408"/>
      <c r="I40" s="1408"/>
      <c r="J40" s="1408"/>
      <c r="K40" s="1408"/>
      <c r="L40" s="1408"/>
      <c r="M40" s="1408"/>
      <c r="N40" s="1408"/>
      <c r="O40" s="1408"/>
      <c r="P40" s="1408"/>
      <c r="Q40" s="1408"/>
      <c r="R40" s="1408"/>
      <c r="S40" s="1408"/>
      <c r="T40" s="1408"/>
      <c r="U40" s="1408"/>
      <c r="V40" s="1408"/>
      <c r="W40" s="1408"/>
      <c r="X40" s="1408"/>
      <c r="Y40" s="1408"/>
      <c r="Z40" s="1408"/>
      <c r="AA40" s="1408"/>
      <c r="AB40" s="1408"/>
      <c r="AC40" s="1408"/>
      <c r="AD40" s="1408"/>
      <c r="AE40" s="1408"/>
      <c r="AF40" s="1408"/>
      <c r="AG40" s="1408"/>
      <c r="AH40" s="1409"/>
      <c r="AI40" s="1238"/>
      <c r="AJ40" s="1238"/>
      <c r="AK40" s="1238"/>
      <c r="AL40" s="1238"/>
      <c r="AM40" s="1238"/>
      <c r="AN40" s="1238"/>
      <c r="AO40" s="1238"/>
      <c r="AP40" s="1219"/>
      <c r="AQ40" s="1219"/>
      <c r="AR40" s="1219"/>
      <c r="AS40" s="1219"/>
      <c r="AT40" s="1219"/>
      <c r="AU40" s="1219"/>
      <c r="AV40" s="1219"/>
      <c r="AW40" s="1219"/>
      <c r="AX40" s="1219"/>
      <c r="AY40" s="1219"/>
      <c r="AZ40" s="1219"/>
      <c r="BA40" s="1219"/>
      <c r="BB40" s="1219"/>
      <c r="BC40" s="1219"/>
      <c r="BD40" s="1219"/>
      <c r="BE40" s="1219"/>
      <c r="BF40" s="1219"/>
      <c r="BG40" s="1219"/>
      <c r="BH40" s="1219"/>
      <c r="BI40" s="1219"/>
      <c r="BJ40" s="1219"/>
      <c r="BK40" s="1219"/>
      <c r="BL40" s="1219"/>
      <c r="BM40" s="1219"/>
      <c r="BN40" s="1219"/>
      <c r="BO40" s="1219"/>
      <c r="BP40" s="1219"/>
      <c r="BQ40" s="1219"/>
      <c r="BR40" s="1565"/>
      <c r="BS40" s="1565"/>
      <c r="BT40" s="1565"/>
      <c r="BU40" s="1565"/>
      <c r="BV40" s="1565"/>
      <c r="BW40" s="1565"/>
      <c r="BX40" s="1565"/>
      <c r="BY40" s="1565"/>
      <c r="BZ40" s="1565"/>
      <c r="CA40" s="1565"/>
      <c r="CB40" s="1566"/>
      <c r="CC40" s="1551">
        <f t="shared" si="0"/>
        <v>0</v>
      </c>
      <c r="CD40" s="1239">
        <f t="shared" si="1"/>
        <v>0</v>
      </c>
      <c r="CE40" s="1240">
        <f t="shared" si="2"/>
        <v>0</v>
      </c>
      <c r="CF40" s="1220"/>
      <c r="CG40" s="1751" t="str" cm="1">
        <f t="array" ref="CG40">IFERROR(INDEX($B$6:$B$53,_xlfn.AGGREGATE(15,6,(ROW($B$6:$B$53)-ROW($B$6)+1)/(MMULT(--($D$6:$CB$53&gt;0),TRANSPOSE(COLUMN($D$6:$CB$6)^0))&gt;0),ROWS($CG$6:CG40))),"")</f>
        <v/>
      </c>
      <c r="CH40" s="1752" t="str">
        <f t="shared" si="3"/>
        <v/>
      </c>
      <c r="CI40" s="1753" t="str" cm="1">
        <f t="array" ref="CI40">IF($CG40="","",IF(INDEX($D$6:$CB$53,MATCH($CG40,$B$6:$B$53,0),COLUMN()-COLUMN($CI$5)+1)&gt;0,INDEX($D$6:$CB$53,MATCH($CG40,$B$6:$B$53,0),COLUMN()-COLUMN($CI$5)+1),""))</f>
        <v/>
      </c>
      <c r="CJ40" s="1753" t="str" cm="1">
        <f t="array" ref="CJ40">IF($CG40="","",IF(INDEX($D$6:$CB$53,MATCH($CG40,$B$6:$B$53,0),COLUMN()-COLUMN($CI$5)+1)&gt;0,INDEX($D$6:$CB$53,MATCH($CG40,$B$6:$B$53,0),COLUMN()-COLUMN($CI$5)+1),""))</f>
        <v/>
      </c>
      <c r="CK40" s="1753" t="str" cm="1">
        <f t="array" ref="CK40">IF($CG40="","",IF(INDEX($D$6:$CB$53,MATCH($CG40,$B$6:$B$53,0),COLUMN()-COLUMN($CI$5)+1)&gt;0,INDEX($D$6:$CB$53,MATCH($CG40,$B$6:$B$53,0),COLUMN()-COLUMN($CI$5)+1),""))</f>
        <v/>
      </c>
      <c r="CL40" s="1753" t="str" cm="1">
        <f t="array" ref="CL40">IF($CG40="","",IF(INDEX($D$6:$CB$53,MATCH($CG40,$B$6:$B$53,0),COLUMN()-COLUMN($CI$5)+1)&gt;0,INDEX($D$6:$CB$53,MATCH($CG40,$B$6:$B$53,0),COLUMN()-COLUMN($CI$5)+1),""))</f>
        <v/>
      </c>
      <c r="CM40" s="1753" t="str" cm="1">
        <f t="array" ref="CM40">IF($CG40="","",IF(INDEX($D$6:$CB$53,MATCH($CG40,$B$6:$B$53,0),COLUMN()-COLUMN($CI$5)+1)&gt;0,INDEX($D$6:$CB$53,MATCH($CG40,$B$6:$B$53,0),COLUMN()-COLUMN($CI$5)+1),""))</f>
        <v/>
      </c>
      <c r="CN40" s="1753" t="str" cm="1">
        <f t="array" ref="CN40">IF($CG40="","",IF(INDEX($D$6:$CB$53,MATCH($CG40,$B$6:$B$53,0),COLUMN()-COLUMN($CI$5)+1)&gt;0,INDEX($D$6:$CB$53,MATCH($CG40,$B$6:$B$53,0),COLUMN()-COLUMN($CI$5)+1),""))</f>
        <v/>
      </c>
      <c r="CO40" s="1753" t="str" cm="1">
        <f t="array" ref="CO40">IF($CG40="","",IF(INDEX($D$6:$CB$53,MATCH($CG40,$B$6:$B$53,0),COLUMN()-COLUMN($CI$5)+1)&gt;0,INDEX($D$6:$CB$53,MATCH($CG40,$B$6:$B$53,0),COLUMN()-COLUMN($CI$5)+1),""))</f>
        <v/>
      </c>
      <c r="CP40" s="1753" t="str" cm="1">
        <f t="array" ref="CP40">IF($CG40="","",IF(INDEX($D$6:$CB$53,MATCH($CG40,$B$6:$B$53,0),COLUMN()-COLUMN($CI$5)+1)&gt;0,INDEX($D$6:$CB$53,MATCH($CG40,$B$6:$B$53,0),COLUMN()-COLUMN($CI$5)+1),""))</f>
        <v/>
      </c>
      <c r="CQ40" s="1753" t="str" cm="1">
        <f t="array" ref="CQ40">IF($CG40="","",IF(INDEX($D$6:$CB$53,MATCH($CG40,$B$6:$B$53,0),COLUMN()-COLUMN($CI$5)+1)&gt;0,INDEX($D$6:$CB$53,MATCH($CG40,$B$6:$B$53,0),COLUMN()-COLUMN($CI$5)+1),""))</f>
        <v/>
      </c>
      <c r="CR40" s="1753" t="str" cm="1">
        <f t="array" ref="CR40">IF($CG40="","",IF(INDEX($D$6:$CB$53,MATCH($CG40,$B$6:$B$53,0),COLUMN()-COLUMN($CI$5)+1)&gt;0,INDEX($D$6:$CB$53,MATCH($CG40,$B$6:$B$53,0),COLUMN()-COLUMN($CI$5)+1),""))</f>
        <v/>
      </c>
      <c r="CS40" s="1753" t="str" cm="1">
        <f t="array" ref="CS40">IF($CG40="","",IF(INDEX($D$6:$CB$53,MATCH($CG40,$B$6:$B$53,0),COLUMN()-COLUMN($CI$5)+1)&gt;0,INDEX($D$6:$CB$53,MATCH($CG40,$B$6:$B$53,0),COLUMN()-COLUMN($CI$5)+1),""))</f>
        <v/>
      </c>
      <c r="CT40" s="1753" t="str" cm="1">
        <f t="array" ref="CT40">IF($CG40="","",IF(INDEX($D$6:$CB$53,MATCH($CG40,$B$6:$B$53,0),COLUMN()-COLUMN($CI$5)+1)&gt;0,INDEX($D$6:$CB$53,MATCH($CG40,$B$6:$B$53,0),COLUMN()-COLUMN($CI$5)+1),""))</f>
        <v/>
      </c>
      <c r="CU40" s="1753" t="str" cm="1">
        <f t="array" ref="CU40">IF($CG40="","",IF(INDEX($D$6:$CB$53,MATCH($CG40,$B$6:$B$53,0),COLUMN()-COLUMN($CI$5)+1)&gt;0,INDEX($D$6:$CB$53,MATCH($CG40,$B$6:$B$53,0),COLUMN()-COLUMN($CI$5)+1),""))</f>
        <v/>
      </c>
      <c r="CV40" s="1753" t="str" cm="1">
        <f t="array" ref="CV40">IF($CG40="","",IF(INDEX($D$6:$CB$53,MATCH($CG40,$B$6:$B$53,0),COLUMN()-COLUMN($CI$5)+1)&gt;0,INDEX($D$6:$CB$53,MATCH($CG40,$B$6:$B$53,0),COLUMN()-COLUMN($CI$5)+1),""))</f>
        <v/>
      </c>
      <c r="CW40" s="1753" t="str" cm="1">
        <f t="array" ref="CW40">IF($CG40="","",IF(INDEX($D$6:$CB$53,MATCH($CG40,$B$6:$B$53,0),COLUMN()-COLUMN($CI$5)+1)&gt;0,INDEX($D$6:$CB$53,MATCH($CG40,$B$6:$B$53,0),COLUMN()-COLUMN($CI$5)+1),""))</f>
        <v/>
      </c>
      <c r="CX40" s="1753" t="str" cm="1">
        <f t="array" ref="CX40">IF($CG40="","",IF(INDEX($D$6:$CB$53,MATCH($CG40,$B$6:$B$53,0),COLUMN()-COLUMN($CI$5)+1)&gt;0,INDEX($D$6:$CB$53,MATCH($CG40,$B$6:$B$53,0),COLUMN()-COLUMN($CI$5)+1),""))</f>
        <v/>
      </c>
      <c r="CY40" s="1753" t="str" cm="1">
        <f t="array" ref="CY40">IF($CG40="","",IF(INDEX($D$6:$CB$53,MATCH($CG40,$B$6:$B$53,0),COLUMN()-COLUMN($CI$5)+1)&gt;0,INDEX($D$6:$CB$53,MATCH($CG40,$B$6:$B$53,0),COLUMN()-COLUMN($CI$5)+1),""))</f>
        <v/>
      </c>
      <c r="CZ40" s="1753" t="str" cm="1">
        <f t="array" ref="CZ40">IF($CG40="","",IF(INDEX($D$6:$CB$53,MATCH($CG40,$B$6:$B$53,0),COLUMN()-COLUMN($CI$5)+1)&gt;0,INDEX($D$6:$CB$53,MATCH($CG40,$B$6:$B$53,0),COLUMN()-COLUMN($CI$5)+1),""))</f>
        <v/>
      </c>
      <c r="DA40" s="1753" t="str" cm="1">
        <f t="array" ref="DA40">IF($CG40="","",IF(INDEX($D$6:$CB$53,MATCH($CG40,$B$6:$B$53,0),COLUMN()-COLUMN($CI$5)+1)&gt;0,INDEX($D$6:$CB$53,MATCH($CG40,$B$6:$B$53,0),COLUMN()-COLUMN($CI$5)+1),""))</f>
        <v/>
      </c>
      <c r="DB40" s="1753" t="str" cm="1">
        <f t="array" ref="DB40">IF($CG40="","",IF(INDEX($D$6:$CB$53,MATCH($CG40,$B$6:$B$53,0),COLUMN()-COLUMN($CI$5)+1)&gt;0,INDEX($D$6:$CB$53,MATCH($CG40,$B$6:$B$53,0),COLUMN()-COLUMN($CI$5)+1),""))</f>
        <v/>
      </c>
      <c r="DC40" s="1753" t="str" cm="1">
        <f t="array" ref="DC40">IF($CG40="","",IF(INDEX($D$6:$CB$53,MATCH($CG40,$B$6:$B$53,0),COLUMN()-COLUMN($CI$5)+1)&gt;0,INDEX($D$6:$CB$53,MATCH($CG40,$B$6:$B$53,0),COLUMN()-COLUMN($CI$5)+1),""))</f>
        <v/>
      </c>
      <c r="DD40" s="1753" t="str" cm="1">
        <f t="array" ref="DD40">IF($CG40="","",IF(INDEX($D$6:$CB$53,MATCH($CG40,$B$6:$B$53,0),COLUMN()-COLUMN($CI$5)+1)&gt;0,INDEX($D$6:$CB$53,MATCH($CG40,$B$6:$B$53,0),COLUMN()-COLUMN($CI$5)+1),""))</f>
        <v/>
      </c>
      <c r="DE40" s="1753" t="str" cm="1">
        <f t="array" ref="DE40">IF($CG40="","",IF(INDEX($D$6:$CB$53,MATCH($CG40,$B$6:$B$53,0),COLUMN()-COLUMN($CI$5)+1)&gt;0,INDEX($D$6:$CB$53,MATCH($CG40,$B$6:$B$53,0),COLUMN()-COLUMN($CI$5)+1),""))</f>
        <v/>
      </c>
      <c r="DF40" s="1753" t="str" cm="1">
        <f t="array" ref="DF40">IF($CG40="","",IF(INDEX($D$6:$CB$53,MATCH($CG40,$B$6:$B$53,0),COLUMN()-COLUMN($CI$5)+1)&gt;0,INDEX($D$6:$CB$53,MATCH($CG40,$B$6:$B$53,0),COLUMN()-COLUMN($CI$5)+1),""))</f>
        <v/>
      </c>
      <c r="DG40" s="1753" t="str" cm="1">
        <f t="array" ref="DG40">IF($CG40="","",IF(INDEX($D$6:$CB$53,MATCH($CG40,$B$6:$B$53,0),COLUMN()-COLUMN($CI$5)+1)&gt;0,INDEX($D$6:$CB$53,MATCH($CG40,$B$6:$B$53,0),COLUMN()-COLUMN($CI$5)+1),""))</f>
        <v/>
      </c>
      <c r="DH40" s="1753" t="str" cm="1">
        <f t="array" ref="DH40">IF($CG40="","",IF(INDEX($D$6:$CB$53,MATCH($CG40,$B$6:$B$53,0),COLUMN()-COLUMN($CI$5)+1)&gt;0,INDEX($D$6:$CB$53,MATCH($CG40,$B$6:$B$53,0),COLUMN()-COLUMN($CI$5)+1),""))</f>
        <v/>
      </c>
      <c r="DI40" s="1753" t="str" cm="1">
        <f t="array" ref="DI40">IF($CG40="","",IF(INDEX($D$6:$CB$53,MATCH($CG40,$B$6:$B$53,0),COLUMN()-COLUMN($CI$5)+1)&gt;0,INDEX($D$6:$CB$53,MATCH($CG40,$B$6:$B$53,0),COLUMN()-COLUMN($CI$5)+1),""))</f>
        <v/>
      </c>
      <c r="DJ40" s="1753" t="str" cm="1">
        <f t="array" ref="DJ40">IF($CG40="","",IF(INDEX($D$6:$CB$53,MATCH($CG40,$B$6:$B$53,0),COLUMN()-COLUMN($CI$5)+1)&gt;0,INDEX($D$6:$CB$53,MATCH($CG40,$B$6:$B$53,0),COLUMN()-COLUMN($CI$5)+1),""))</f>
        <v/>
      </c>
      <c r="DK40" s="1753" t="str" cm="1">
        <f t="array" ref="DK40">IF($CG40="","",IF(INDEX($D$6:$CB$53,MATCH($CG40,$B$6:$B$53,0),COLUMN()-COLUMN($CI$5)+1)&gt;0,INDEX($D$6:$CB$53,MATCH($CG40,$B$6:$B$53,0),COLUMN()-COLUMN($CI$5)+1),""))</f>
        <v/>
      </c>
      <c r="DL40" s="1753" t="str" cm="1">
        <f t="array" ref="DL40">IF($CG40="","",IF(INDEX($D$6:$CB$53,MATCH($CG40,$B$6:$B$53,0),COLUMN()-COLUMN($CI$5)+1)&gt;0,INDEX($D$6:$CB$53,MATCH($CG40,$B$6:$B$53,0),COLUMN()-COLUMN($CI$5)+1),""))</f>
        <v/>
      </c>
      <c r="DM40" s="1753" t="str" cm="1">
        <f t="array" ref="DM40">IF($CG40="","",IF(INDEX($D$6:$CB$53,MATCH($CG40,$B$6:$B$53,0),COLUMN()-COLUMN($CI$5)+1)&gt;0,INDEX($D$6:$CB$53,MATCH($CG40,$B$6:$B$53,0),COLUMN()-COLUMN($CI$5)+1),""))</f>
        <v/>
      </c>
      <c r="DN40" s="1753" t="str" cm="1">
        <f t="array" ref="DN40">IF($CG40="","",IF(INDEX($D$6:$CB$53,MATCH($CG40,$B$6:$B$53,0),COLUMN()-COLUMN($CI$5)+1)&gt;0,INDEX($D$6:$CB$53,MATCH($CG40,$B$6:$B$53,0),COLUMN()-COLUMN($CI$5)+1),""))</f>
        <v/>
      </c>
      <c r="DO40" s="1753" t="str" cm="1">
        <f t="array" ref="DO40">IF($CG40="","",IF(INDEX($D$6:$CB$53,MATCH($CG40,$B$6:$B$53,0),COLUMN()-COLUMN($CI$5)+1)&gt;0,INDEX($D$6:$CB$53,MATCH($CG40,$B$6:$B$53,0),COLUMN()-COLUMN($CI$5)+1),""))</f>
        <v/>
      </c>
      <c r="DP40" s="1753" t="str" cm="1">
        <f t="array" ref="DP40">IF($CG40="","",IF(INDEX($D$6:$CB$53,MATCH($CG40,$B$6:$B$53,0),COLUMN()-COLUMN($CI$5)+1)&gt;0,INDEX($D$6:$CB$53,MATCH($CG40,$B$6:$B$53,0),COLUMN()-COLUMN($CI$5)+1),""))</f>
        <v/>
      </c>
      <c r="DQ40" s="1753" t="str" cm="1">
        <f t="array" ref="DQ40">IF($CG40="","",IF(INDEX($D$6:$CB$53,MATCH($CG40,$B$6:$B$53,0),COLUMN()-COLUMN($CI$5)+1)&gt;0,INDEX($D$6:$CB$53,MATCH($CG40,$B$6:$B$53,0),COLUMN()-COLUMN($CI$5)+1),""))</f>
        <v/>
      </c>
      <c r="DR40" s="1753" t="str" cm="1">
        <f t="array" ref="DR40">IF($CG40="","",IF(INDEX($D$6:$CB$53,MATCH($CG40,$B$6:$B$53,0),COLUMN()-COLUMN($CI$5)+1)&gt;0,INDEX($D$6:$CB$53,MATCH($CG40,$B$6:$B$53,0),COLUMN()-COLUMN($CI$5)+1),""))</f>
        <v/>
      </c>
      <c r="DS40" s="1753" t="str" cm="1">
        <f t="array" ref="DS40">IF($CG40="","",IF(INDEX($D$6:$CB$53,MATCH($CG40,$B$6:$B$53,0),COLUMN()-COLUMN($CI$5)+1)&gt;0,INDEX($D$6:$CB$53,MATCH($CG40,$B$6:$B$53,0),COLUMN()-COLUMN($CI$5)+1),""))</f>
        <v/>
      </c>
      <c r="DT40" s="1753" t="str" cm="1">
        <f t="array" ref="DT40">IF($CG40="","",IF(INDEX($D$6:$CB$53,MATCH($CG40,$B$6:$B$53,0),COLUMN()-COLUMN($CI$5)+1)&gt;0,INDEX($D$6:$CB$53,MATCH($CG40,$B$6:$B$53,0),COLUMN()-COLUMN($CI$5)+1),""))</f>
        <v/>
      </c>
      <c r="DU40" s="1753" t="str" cm="1">
        <f t="array" ref="DU40">IF($CG40="","",IF(INDEX($D$6:$CB$53,MATCH($CG40,$B$6:$B$53,0),COLUMN()-COLUMN($CI$5)+1)&gt;0,INDEX($D$6:$CB$53,MATCH($CG40,$B$6:$B$53,0),COLUMN()-COLUMN($CI$5)+1),""))</f>
        <v/>
      </c>
      <c r="DV40" s="1753" t="str" cm="1">
        <f t="array" ref="DV40">IF($CG40="","",IF(INDEX($D$6:$CB$53,MATCH($CG40,$B$6:$B$53,0),COLUMN()-COLUMN($CI$5)+1)&gt;0,INDEX($D$6:$CB$53,MATCH($CG40,$B$6:$B$53,0),COLUMN()-COLUMN($CI$5)+1),""))</f>
        <v/>
      </c>
      <c r="DW40" s="1753" t="str" cm="1">
        <f t="array" ref="DW40">IF($CG40="","",IF(INDEX($D$6:$CB$53,MATCH($CG40,$B$6:$B$53,0),COLUMN()-COLUMN($CI$5)+1)&gt;0,INDEX($D$6:$CB$53,MATCH($CG40,$B$6:$B$53,0),COLUMN()-COLUMN($CI$5)+1),""))</f>
        <v/>
      </c>
      <c r="DX40" s="1753" t="str" cm="1">
        <f t="array" ref="DX40">IF($CG40="","",IF(INDEX($D$6:$CB$53,MATCH($CG40,$B$6:$B$53,0),COLUMN()-COLUMN($CI$5)+1)&gt;0,INDEX($D$6:$CB$53,MATCH($CG40,$B$6:$B$53,0),COLUMN()-COLUMN($CI$5)+1),""))</f>
        <v/>
      </c>
      <c r="DY40" s="1753" t="str" cm="1">
        <f t="array" ref="DY40">IF($CG40="","",IF(INDEX($D$6:$CB$53,MATCH($CG40,$B$6:$B$53,0),COLUMN()-COLUMN($CI$5)+1)&gt;0,INDEX($D$6:$CB$53,MATCH($CG40,$B$6:$B$53,0),COLUMN()-COLUMN($CI$5)+1),""))</f>
        <v/>
      </c>
      <c r="DZ40" s="1753" t="str" cm="1">
        <f t="array" ref="DZ40">IF($CG40="","",IF(INDEX($D$6:$CB$53,MATCH($CG40,$B$6:$B$53,0),COLUMN()-COLUMN($CI$5)+1)&gt;0,INDEX($D$6:$CB$53,MATCH($CG40,$B$6:$B$53,0),COLUMN()-COLUMN($CI$5)+1),""))</f>
        <v/>
      </c>
      <c r="EA40" s="1753" t="str" cm="1">
        <f t="array" ref="EA40">IF($CG40="","",IF(INDEX($D$6:$CB$53,MATCH($CG40,$B$6:$B$53,0),COLUMN()-COLUMN($CI$5)+1)&gt;0,INDEX($D$6:$CB$53,MATCH($CG40,$B$6:$B$53,0),COLUMN()-COLUMN($CI$5)+1),""))</f>
        <v/>
      </c>
      <c r="EB40" s="1753" t="str" cm="1">
        <f t="array" ref="EB40">IF($CG40="","",IF(INDEX($D$6:$CB$53,MATCH($CG40,$B$6:$B$53,0),COLUMN()-COLUMN($CI$5)+1)&gt;0,INDEX($D$6:$CB$53,MATCH($CG40,$B$6:$B$53,0),COLUMN()-COLUMN($CI$5)+1),""))</f>
        <v/>
      </c>
      <c r="EC40" s="1753" t="str" cm="1">
        <f t="array" ref="EC40">IF($CG40="","",IF(INDEX($D$6:$CB$53,MATCH($CG40,$B$6:$B$53,0),COLUMN()-COLUMN($CI$5)+1)&gt;0,INDEX($D$6:$CB$53,MATCH($CG40,$B$6:$B$53,0),COLUMN()-COLUMN($CI$5)+1),""))</f>
        <v/>
      </c>
      <c r="ED40" s="1753" t="str" cm="1">
        <f t="array" ref="ED40">IF($CG40="","",IF(INDEX($D$6:$CB$53,MATCH($CG40,$B$6:$B$53,0),COLUMN()-COLUMN($CI$5)+1)&gt;0,INDEX($D$6:$CB$53,MATCH($CG40,$B$6:$B$53,0),COLUMN()-COLUMN($CI$5)+1),""))</f>
        <v/>
      </c>
      <c r="EE40" s="1753" t="str" cm="1">
        <f t="array" ref="EE40">IF($CG40="","",IF(INDEX($D$6:$CB$53,MATCH($CG40,$B$6:$B$53,0),COLUMN()-COLUMN($CI$5)+1)&gt;0,INDEX($D$6:$CB$53,MATCH($CG40,$B$6:$B$53,0),COLUMN()-COLUMN($CI$5)+1),""))</f>
        <v/>
      </c>
      <c r="EF40" s="1753" t="str" cm="1">
        <f t="array" ref="EF40">IF($CG40="","",IF(INDEX($D$6:$CB$53,MATCH($CG40,$B$6:$B$53,0),COLUMN()-COLUMN($CI$5)+1)&gt;0,INDEX($D$6:$CB$53,MATCH($CG40,$B$6:$B$53,0),COLUMN()-COLUMN($CI$5)+1),""))</f>
        <v/>
      </c>
      <c r="EG40" s="1753" t="str" cm="1">
        <f t="array" ref="EG40">IF($CG40="","",IF(INDEX($D$6:$CB$53,MATCH($CG40,$B$6:$B$53,0),COLUMN()-COLUMN($CI$5)+1)&gt;0,INDEX($D$6:$CB$53,MATCH($CG40,$B$6:$B$53,0),COLUMN()-COLUMN($CI$5)+1),""))</f>
        <v/>
      </c>
      <c r="EH40" s="1753" t="str" cm="1">
        <f t="array" ref="EH40">IF($CG40="","",IF(INDEX($D$6:$CB$53,MATCH($CG40,$B$6:$B$53,0),COLUMN()-COLUMN($CI$5)+1)&gt;0,INDEX($D$6:$CB$53,MATCH($CG40,$B$6:$B$53,0),COLUMN()-COLUMN($CI$5)+1),""))</f>
        <v/>
      </c>
      <c r="EI40" s="1753" t="str" cm="1">
        <f t="array" ref="EI40">IF($CG40="","",IF(INDEX($D$6:$CB$53,MATCH($CG40,$B$6:$B$53,0),COLUMN()-COLUMN($CI$5)+1)&gt;0,INDEX($D$6:$CB$53,MATCH($CG40,$B$6:$B$53,0),COLUMN()-COLUMN($CI$5)+1),""))</f>
        <v/>
      </c>
      <c r="EJ40" s="1753" t="str" cm="1">
        <f t="array" ref="EJ40">IF($CG40="","",IF(INDEX($D$6:$CB$53,MATCH($CG40,$B$6:$B$53,0),COLUMN()-COLUMN($CI$5)+1)&gt;0,INDEX($D$6:$CB$53,MATCH($CG40,$B$6:$B$53,0),COLUMN()-COLUMN($CI$5)+1),""))</f>
        <v/>
      </c>
      <c r="EK40" s="1753" t="str" cm="1">
        <f t="array" ref="EK40">IF($CG40="","",IF(INDEX($D$6:$CB$53,MATCH($CG40,$B$6:$B$53,0),COLUMN()-COLUMN($CI$5)+1)&gt;0,INDEX($D$6:$CB$53,MATCH($CG40,$B$6:$B$53,0),COLUMN()-COLUMN($CI$5)+1),""))</f>
        <v/>
      </c>
      <c r="EL40" s="1753" t="str" cm="1">
        <f t="array" ref="EL40">IF($CG40="","",IF(INDEX($D$6:$CB$53,MATCH($CG40,$B$6:$B$53,0),COLUMN()-COLUMN($CI$5)+1)&gt;0,INDEX($D$6:$CB$53,MATCH($CG40,$B$6:$B$53,0),COLUMN()-COLUMN($CI$5)+1),""))</f>
        <v/>
      </c>
      <c r="EM40" s="1753" t="str" cm="1">
        <f t="array" ref="EM40">IF($CG40="","",IF(INDEX($D$6:$CB$53,MATCH($CG40,$B$6:$B$53,0),COLUMN()-COLUMN($CI$5)+1)&gt;0,INDEX($D$6:$CB$53,MATCH($CG40,$B$6:$B$53,0),COLUMN()-COLUMN($CI$5)+1),""))</f>
        <v/>
      </c>
      <c r="EN40" s="1753" t="str" cm="1">
        <f t="array" ref="EN40">IF($CG40="","",IF(INDEX($D$6:$CB$53,MATCH($CG40,$B$6:$B$53,0),COLUMN()-COLUMN($CI$5)+1)&gt;0,INDEX($D$6:$CB$53,MATCH($CG40,$B$6:$B$53,0),COLUMN()-COLUMN($CI$5)+1),""))</f>
        <v/>
      </c>
      <c r="EO40" s="1753" t="str" cm="1">
        <f t="array" ref="EO40">IF($CG40="","",IF(INDEX($D$6:$CB$53,MATCH($CG40,$B$6:$B$53,0),COLUMN()-COLUMN($CI$5)+1)&gt;0,INDEX($D$6:$CB$53,MATCH($CG40,$B$6:$B$53,0),COLUMN()-COLUMN($CI$5)+1),""))</f>
        <v/>
      </c>
      <c r="EP40" s="1753" t="str" cm="1">
        <f t="array" ref="EP40">IF($CG40="","",IF(INDEX($D$6:$CB$53,MATCH($CG40,$B$6:$B$53,0),COLUMN()-COLUMN($CI$5)+1)&gt;0,INDEX($D$6:$CB$53,MATCH($CG40,$B$6:$B$53,0),COLUMN()-COLUMN($CI$5)+1),""))</f>
        <v/>
      </c>
      <c r="EQ40" s="1753" t="str" cm="1">
        <f t="array" ref="EQ40">IF($CG40="","",IF(INDEX($D$6:$CB$53,MATCH($CG40,$B$6:$B$53,0),COLUMN()-COLUMN($CI$5)+1)&gt;0,INDEX($D$6:$CB$53,MATCH($CG40,$B$6:$B$53,0),COLUMN()-COLUMN($CI$5)+1),""))</f>
        <v/>
      </c>
      <c r="ER40" s="1753" t="str" cm="1">
        <f t="array" ref="ER40">IF($CG40="","",IF(INDEX($D$6:$CB$53,MATCH($CG40,$B$6:$B$53,0),COLUMN()-COLUMN($CI$5)+1)&gt;0,INDEX($D$6:$CB$53,MATCH($CG40,$B$6:$B$53,0),COLUMN()-COLUMN($CI$5)+1),""))</f>
        <v/>
      </c>
      <c r="ES40" s="1753" t="str" cm="1">
        <f t="array" ref="ES40">IF($CG40="","",IF(INDEX($D$6:$CB$53,MATCH($CG40,$B$6:$B$53,0),COLUMN()-COLUMN($CI$5)+1)&gt;0,INDEX($D$6:$CB$53,MATCH($CG40,$B$6:$B$53,0),COLUMN()-COLUMN($CI$5)+1),""))</f>
        <v/>
      </c>
      <c r="ET40" s="1753" t="str" cm="1">
        <f t="array" ref="ET40">IF($CG40="","",IF(INDEX($D$6:$CB$53,MATCH($CG40,$B$6:$B$53,0),COLUMN()-COLUMN($CI$5)+1)&gt;0,INDEX($D$6:$CB$53,MATCH($CG40,$B$6:$B$53,0),COLUMN()-COLUMN($CI$5)+1),""))</f>
        <v/>
      </c>
      <c r="EU40" s="1753" t="str" cm="1">
        <f t="array" ref="EU40">IF($CG40="","",IF(INDEX($D$6:$CB$53,MATCH($CG40,$B$6:$B$53,0),COLUMN()-COLUMN($CI$5)+1)&gt;0,INDEX($D$6:$CB$53,MATCH($CG40,$B$6:$B$53,0),COLUMN()-COLUMN($CI$5)+1),""))</f>
        <v/>
      </c>
      <c r="EV40" s="1753" t="str" cm="1">
        <f t="array" ref="EV40">IF($CG40="","",IF(INDEX($D$6:$CB$53,MATCH($CG40,$B$6:$B$53,0),COLUMN()-COLUMN($CI$5)+1)&gt;0,INDEX($D$6:$CB$53,MATCH($CG40,$B$6:$B$53,0),COLUMN()-COLUMN($CI$5)+1),""))</f>
        <v/>
      </c>
      <c r="EW40" s="1753" t="str" cm="1">
        <f t="array" ref="EW40">IF($CG40="","",IF(INDEX($D$6:$CB$53,MATCH($CG40,$B$6:$B$53,0),COLUMN()-COLUMN($CI$5)+1)&gt;0,INDEX($D$6:$CB$53,MATCH($CG40,$B$6:$B$53,0),COLUMN()-COLUMN($CI$5)+1),""))</f>
        <v/>
      </c>
      <c r="EX40" s="1753" t="str" cm="1">
        <f t="array" ref="EX40">IF($CG40="","",IF(INDEX($D$6:$CB$53,MATCH($CG40,$B$6:$B$53,0),COLUMN()-COLUMN($CI$5)+1)&gt;0,INDEX($D$6:$CB$53,MATCH($CG40,$B$6:$B$53,0),COLUMN()-COLUMN($CI$5)+1),""))</f>
        <v/>
      </c>
      <c r="EY40" s="1753" t="str" cm="1">
        <f t="array" ref="EY40">IF($CG40="","",IF(INDEX($D$6:$CB$53,MATCH($CG40,$B$6:$B$53,0),COLUMN()-COLUMN($CI$5)+1)&gt;0,INDEX($D$6:$CB$53,MATCH($CG40,$B$6:$B$53,0),COLUMN()-COLUMN($CI$5)+1),""))</f>
        <v/>
      </c>
      <c r="EZ40" s="1753" t="str" cm="1">
        <f t="array" ref="EZ40">IF($CG40="","",IF(INDEX($D$6:$CB$53,MATCH($CG40,$B$6:$B$53,0),COLUMN()-COLUMN($CI$5)+1)&gt;0,INDEX($D$6:$CB$53,MATCH($CG40,$B$6:$B$53,0),COLUMN()-COLUMN($CI$5)+1),""))</f>
        <v/>
      </c>
      <c r="FA40" s="1753" t="str" cm="1">
        <f t="array" ref="FA40">IF($CG40="","",IF(INDEX($D$6:$CB$53,MATCH($CG40,$B$6:$B$53,0),COLUMN()-COLUMN($CI$5)+1)&gt;0,INDEX($D$6:$CB$53,MATCH($CG40,$B$6:$B$53,0),COLUMN()-COLUMN($CI$5)+1),""))</f>
        <v/>
      </c>
      <c r="FB40" s="1753" t="str" cm="1">
        <f t="array" ref="FB40">IF($CG40="","",IF(INDEX($D$6:$CB$53,MATCH($CG40,$B$6:$B$53,0),COLUMN()-COLUMN($CI$5)+1)&gt;0,INDEX($D$6:$CB$53,MATCH($CG40,$B$6:$B$53,0),COLUMN()-COLUMN($CI$5)+1),""))</f>
        <v/>
      </c>
      <c r="FC40" s="1753" t="str" cm="1">
        <f t="array" ref="FC40">IF($CG40="","",IF(INDEX($D$6:$CB$53,MATCH($CG40,$B$6:$B$53,0),COLUMN()-COLUMN($CI$5)+1)&gt;0,INDEX($D$6:$CB$53,MATCH($CG40,$B$6:$B$53,0),COLUMN()-COLUMN($CI$5)+1),""))</f>
        <v/>
      </c>
      <c r="FD40" s="1753" t="str" cm="1">
        <f t="array" ref="FD40">IF($CG40="","",IF(INDEX($D$6:$CB$53,MATCH($CG40,$B$6:$B$53,0),COLUMN()-COLUMN($CI$5)+1)&gt;0,INDEX($D$6:$CB$53,MATCH($CG40,$B$6:$B$53,0),COLUMN()-COLUMN($CI$5)+1),""))</f>
        <v/>
      </c>
      <c r="FE40" s="1753" t="str" cm="1">
        <f t="array" ref="FE40">IF($CG40="","",IF(INDEX($D$6:$CB$53,MATCH($CG40,$B$6:$B$53,0),COLUMN()-COLUMN($CI$5)+1)&gt;0,INDEX($D$6:$CB$53,MATCH($CG40,$B$6:$B$53,0),COLUMN()-COLUMN($CI$5)+1),""))</f>
        <v/>
      </c>
      <c r="FF40" s="1753" t="str" cm="1">
        <f t="array" ref="FF40">IF($CG40="","",IF(INDEX($D$6:$CB$53,MATCH($CG40,$B$6:$B$53,0),COLUMN()-COLUMN($CI$5)+1)&gt;0,INDEX($D$6:$CB$53,MATCH($CG40,$B$6:$B$53,0),COLUMN()-COLUMN($CI$5)+1),""))</f>
        <v/>
      </c>
      <c r="FG40" s="1753" t="str" cm="1">
        <f t="array" ref="FG40">IF($CG40="","",IF(INDEX($D$6:$CB$53,MATCH($CG40,$B$6:$B$53,0),COLUMN()-COLUMN($CI$5)+1)&gt;0,INDEX($D$6:$CB$53,MATCH($CG40,$B$6:$B$53,0),COLUMN()-COLUMN($CI$5)+1),""))</f>
        <v/>
      </c>
      <c r="FH40" s="1753" t="str">
        <f t="shared" si="7"/>
        <v/>
      </c>
      <c r="FI40" s="1753" t="str">
        <f t="shared" si="8"/>
        <v/>
      </c>
      <c r="FJ40" s="1753" t="str">
        <f t="shared" si="9"/>
        <v/>
      </c>
      <c r="FK40" s="1753"/>
    </row>
    <row r="41" spans="1:167" ht="15.75" customHeight="1" thickBot="1">
      <c r="A41" s="1220"/>
      <c r="B41" s="1278">
        <f>+PP!B59</f>
        <v>36</v>
      </c>
      <c r="C41" s="1281" t="str">
        <f>+PP!C59</f>
        <v>TUBO ALETA 1.0-2.0 Kg/pza</v>
      </c>
      <c r="D41" s="1417"/>
      <c r="E41" s="1418"/>
      <c r="F41" s="1418"/>
      <c r="G41" s="1418"/>
      <c r="H41" s="1418"/>
      <c r="I41" s="1418"/>
      <c r="J41" s="1418"/>
      <c r="K41" s="1418"/>
      <c r="L41" s="1418"/>
      <c r="M41" s="1418"/>
      <c r="N41" s="1418"/>
      <c r="O41" s="1418"/>
      <c r="P41" s="1418"/>
      <c r="Q41" s="1418"/>
      <c r="R41" s="1418"/>
      <c r="S41" s="1418"/>
      <c r="T41" s="1418"/>
      <c r="U41" s="1418"/>
      <c r="V41" s="1418"/>
      <c r="W41" s="1418"/>
      <c r="X41" s="1418"/>
      <c r="Y41" s="1418"/>
      <c r="Z41" s="1418"/>
      <c r="AA41" s="1418"/>
      <c r="AB41" s="1418"/>
      <c r="AC41" s="1418"/>
      <c r="AD41" s="1418"/>
      <c r="AE41" s="1418"/>
      <c r="AF41" s="1418"/>
      <c r="AG41" s="1418"/>
      <c r="AH41" s="1413"/>
      <c r="AI41" s="1413"/>
      <c r="AJ41" s="1413"/>
      <c r="AK41" s="1413"/>
      <c r="AL41" s="1413"/>
      <c r="AM41" s="1413"/>
      <c r="AN41" s="1413"/>
      <c r="AO41" s="1413"/>
      <c r="AP41" s="1216"/>
      <c r="AQ41" s="1216"/>
      <c r="AR41" s="1216"/>
      <c r="AS41" s="1216"/>
      <c r="AT41" s="1216"/>
      <c r="AU41" s="1216"/>
      <c r="AV41" s="1216"/>
      <c r="AW41" s="1216"/>
      <c r="AX41" s="1216"/>
      <c r="AY41" s="1216"/>
      <c r="AZ41" s="1216"/>
      <c r="BA41" s="1216"/>
      <c r="BB41" s="1216"/>
      <c r="BC41" s="1216"/>
      <c r="BD41" s="1216"/>
      <c r="BE41" s="1216"/>
      <c r="BF41" s="1216"/>
      <c r="BG41" s="1216"/>
      <c r="BH41" s="1216"/>
      <c r="BI41" s="1216"/>
      <c r="BJ41" s="1216"/>
      <c r="BK41" s="1216"/>
      <c r="BL41" s="1216"/>
      <c r="BM41" s="1216"/>
      <c r="BN41" s="1216"/>
      <c r="BO41" s="1216"/>
      <c r="BP41" s="1216"/>
      <c r="BQ41" s="1216"/>
      <c r="BR41" s="1568"/>
      <c r="BS41" s="1568"/>
      <c r="BT41" s="1568"/>
      <c r="BU41" s="1568"/>
      <c r="BV41" s="1568"/>
      <c r="BW41" s="1568"/>
      <c r="BX41" s="1568"/>
      <c r="BY41" s="1568"/>
      <c r="BZ41" s="1568"/>
      <c r="CA41" s="1568"/>
      <c r="CB41" s="1569"/>
      <c r="CC41" s="1552">
        <f t="shared" si="0"/>
        <v>0</v>
      </c>
      <c r="CD41" s="1244">
        <f t="shared" si="1"/>
        <v>0</v>
      </c>
      <c r="CE41" s="1245">
        <f t="shared" si="2"/>
        <v>0</v>
      </c>
      <c r="CF41" s="1220"/>
      <c r="CG41" s="1751" t="str" cm="1">
        <f t="array" ref="CG41">IFERROR(INDEX($B$6:$B$53,_xlfn.AGGREGATE(15,6,(ROW($B$6:$B$53)-ROW($B$6)+1)/(MMULT(--($D$6:$CB$53&gt;0),TRANSPOSE(COLUMN($D$6:$CB$6)^0))&gt;0),ROWS($CG$6:CG41))),"")</f>
        <v/>
      </c>
      <c r="CH41" s="1752" t="str">
        <f t="shared" si="3"/>
        <v/>
      </c>
      <c r="CI41" s="1753" t="str" cm="1">
        <f t="array" ref="CI41">IF($CG41="","",IF(INDEX($D$6:$CB$53,MATCH($CG41,$B$6:$B$53,0),COLUMN()-COLUMN($CI$5)+1)&gt;0,INDEX($D$6:$CB$53,MATCH($CG41,$B$6:$B$53,0),COLUMN()-COLUMN($CI$5)+1),""))</f>
        <v/>
      </c>
      <c r="CJ41" s="1753" t="str" cm="1">
        <f t="array" ref="CJ41">IF($CG41="","",IF(INDEX($D$6:$CB$53,MATCH($CG41,$B$6:$B$53,0),COLUMN()-COLUMN($CI$5)+1)&gt;0,INDEX($D$6:$CB$53,MATCH($CG41,$B$6:$B$53,0),COLUMN()-COLUMN($CI$5)+1),""))</f>
        <v/>
      </c>
      <c r="CK41" s="1753" t="str" cm="1">
        <f t="array" ref="CK41">IF($CG41="","",IF(INDEX($D$6:$CB$53,MATCH($CG41,$B$6:$B$53,0),COLUMN()-COLUMN($CI$5)+1)&gt;0,INDEX($D$6:$CB$53,MATCH($CG41,$B$6:$B$53,0),COLUMN()-COLUMN($CI$5)+1),""))</f>
        <v/>
      </c>
      <c r="CL41" s="1753" t="str" cm="1">
        <f t="array" ref="CL41">IF($CG41="","",IF(INDEX($D$6:$CB$53,MATCH($CG41,$B$6:$B$53,0),COLUMN()-COLUMN($CI$5)+1)&gt;0,INDEX($D$6:$CB$53,MATCH($CG41,$B$6:$B$53,0),COLUMN()-COLUMN($CI$5)+1),""))</f>
        <v/>
      </c>
      <c r="CM41" s="1753" t="str" cm="1">
        <f t="array" ref="CM41">IF($CG41="","",IF(INDEX($D$6:$CB$53,MATCH($CG41,$B$6:$B$53,0),COLUMN()-COLUMN($CI$5)+1)&gt;0,INDEX($D$6:$CB$53,MATCH($CG41,$B$6:$B$53,0),COLUMN()-COLUMN($CI$5)+1),""))</f>
        <v/>
      </c>
      <c r="CN41" s="1753" t="str" cm="1">
        <f t="array" ref="CN41">IF($CG41="","",IF(INDEX($D$6:$CB$53,MATCH($CG41,$B$6:$B$53,0),COLUMN()-COLUMN($CI$5)+1)&gt;0,INDEX($D$6:$CB$53,MATCH($CG41,$B$6:$B$53,0),COLUMN()-COLUMN($CI$5)+1),""))</f>
        <v/>
      </c>
      <c r="CO41" s="1753" t="str" cm="1">
        <f t="array" ref="CO41">IF($CG41="","",IF(INDEX($D$6:$CB$53,MATCH($CG41,$B$6:$B$53,0),COLUMN()-COLUMN($CI$5)+1)&gt;0,INDEX($D$6:$CB$53,MATCH($CG41,$B$6:$B$53,0),COLUMN()-COLUMN($CI$5)+1),""))</f>
        <v/>
      </c>
      <c r="CP41" s="1753" t="str" cm="1">
        <f t="array" ref="CP41">IF($CG41="","",IF(INDEX($D$6:$CB$53,MATCH($CG41,$B$6:$B$53,0),COLUMN()-COLUMN($CI$5)+1)&gt;0,INDEX($D$6:$CB$53,MATCH($CG41,$B$6:$B$53,0),COLUMN()-COLUMN($CI$5)+1),""))</f>
        <v/>
      </c>
      <c r="CQ41" s="1753" t="str" cm="1">
        <f t="array" ref="CQ41">IF($CG41="","",IF(INDEX($D$6:$CB$53,MATCH($CG41,$B$6:$B$53,0),COLUMN()-COLUMN($CI$5)+1)&gt;0,INDEX($D$6:$CB$53,MATCH($CG41,$B$6:$B$53,0),COLUMN()-COLUMN($CI$5)+1),""))</f>
        <v/>
      </c>
      <c r="CR41" s="1753" t="str" cm="1">
        <f t="array" ref="CR41">IF($CG41="","",IF(INDEX($D$6:$CB$53,MATCH($CG41,$B$6:$B$53,0),COLUMN()-COLUMN($CI$5)+1)&gt;0,INDEX($D$6:$CB$53,MATCH($CG41,$B$6:$B$53,0),COLUMN()-COLUMN($CI$5)+1),""))</f>
        <v/>
      </c>
      <c r="CS41" s="1753" t="str" cm="1">
        <f t="array" ref="CS41">IF($CG41="","",IF(INDEX($D$6:$CB$53,MATCH($CG41,$B$6:$B$53,0),COLUMN()-COLUMN($CI$5)+1)&gt;0,INDEX($D$6:$CB$53,MATCH($CG41,$B$6:$B$53,0),COLUMN()-COLUMN($CI$5)+1),""))</f>
        <v/>
      </c>
      <c r="CT41" s="1753" t="str" cm="1">
        <f t="array" ref="CT41">IF($CG41="","",IF(INDEX($D$6:$CB$53,MATCH($CG41,$B$6:$B$53,0),COLUMN()-COLUMN($CI$5)+1)&gt;0,INDEX($D$6:$CB$53,MATCH($CG41,$B$6:$B$53,0),COLUMN()-COLUMN($CI$5)+1),""))</f>
        <v/>
      </c>
      <c r="CU41" s="1753" t="str" cm="1">
        <f t="array" ref="CU41">IF($CG41="","",IF(INDEX($D$6:$CB$53,MATCH($CG41,$B$6:$B$53,0),COLUMN()-COLUMN($CI$5)+1)&gt;0,INDEX($D$6:$CB$53,MATCH($CG41,$B$6:$B$53,0),COLUMN()-COLUMN($CI$5)+1),""))</f>
        <v/>
      </c>
      <c r="CV41" s="1753" t="str" cm="1">
        <f t="array" ref="CV41">IF($CG41="","",IF(INDEX($D$6:$CB$53,MATCH($CG41,$B$6:$B$53,0),COLUMN()-COLUMN($CI$5)+1)&gt;0,INDEX($D$6:$CB$53,MATCH($CG41,$B$6:$B$53,0),COLUMN()-COLUMN($CI$5)+1),""))</f>
        <v/>
      </c>
      <c r="CW41" s="1753" t="str" cm="1">
        <f t="array" ref="CW41">IF($CG41="","",IF(INDEX($D$6:$CB$53,MATCH($CG41,$B$6:$B$53,0),COLUMN()-COLUMN($CI$5)+1)&gt;0,INDEX($D$6:$CB$53,MATCH($CG41,$B$6:$B$53,0),COLUMN()-COLUMN($CI$5)+1),""))</f>
        <v/>
      </c>
      <c r="CX41" s="1753" t="str" cm="1">
        <f t="array" ref="CX41">IF($CG41="","",IF(INDEX($D$6:$CB$53,MATCH($CG41,$B$6:$B$53,0),COLUMN()-COLUMN($CI$5)+1)&gt;0,INDEX($D$6:$CB$53,MATCH($CG41,$B$6:$B$53,0),COLUMN()-COLUMN($CI$5)+1),""))</f>
        <v/>
      </c>
      <c r="CY41" s="1753" t="str" cm="1">
        <f t="array" ref="CY41">IF($CG41="","",IF(INDEX($D$6:$CB$53,MATCH($CG41,$B$6:$B$53,0),COLUMN()-COLUMN($CI$5)+1)&gt;0,INDEX($D$6:$CB$53,MATCH($CG41,$B$6:$B$53,0),COLUMN()-COLUMN($CI$5)+1),""))</f>
        <v/>
      </c>
      <c r="CZ41" s="1753" t="str" cm="1">
        <f t="array" ref="CZ41">IF($CG41="","",IF(INDEX($D$6:$CB$53,MATCH($CG41,$B$6:$B$53,0),COLUMN()-COLUMN($CI$5)+1)&gt;0,INDEX($D$6:$CB$53,MATCH($CG41,$B$6:$B$53,0),COLUMN()-COLUMN($CI$5)+1),""))</f>
        <v/>
      </c>
      <c r="DA41" s="1753" t="str" cm="1">
        <f t="array" ref="DA41">IF($CG41="","",IF(INDEX($D$6:$CB$53,MATCH($CG41,$B$6:$B$53,0),COLUMN()-COLUMN($CI$5)+1)&gt;0,INDEX($D$6:$CB$53,MATCH($CG41,$B$6:$B$53,0),COLUMN()-COLUMN($CI$5)+1),""))</f>
        <v/>
      </c>
      <c r="DB41" s="1753" t="str" cm="1">
        <f t="array" ref="DB41">IF($CG41="","",IF(INDEX($D$6:$CB$53,MATCH($CG41,$B$6:$B$53,0),COLUMN()-COLUMN($CI$5)+1)&gt;0,INDEX($D$6:$CB$53,MATCH($CG41,$B$6:$B$53,0),COLUMN()-COLUMN($CI$5)+1),""))</f>
        <v/>
      </c>
      <c r="DC41" s="1753" t="str" cm="1">
        <f t="array" ref="DC41">IF($CG41="","",IF(INDEX($D$6:$CB$53,MATCH($CG41,$B$6:$B$53,0),COLUMN()-COLUMN($CI$5)+1)&gt;0,INDEX($D$6:$CB$53,MATCH($CG41,$B$6:$B$53,0),COLUMN()-COLUMN($CI$5)+1),""))</f>
        <v/>
      </c>
      <c r="DD41" s="1753" t="str" cm="1">
        <f t="array" ref="DD41">IF($CG41="","",IF(INDEX($D$6:$CB$53,MATCH($CG41,$B$6:$B$53,0),COLUMN()-COLUMN($CI$5)+1)&gt;0,INDEX($D$6:$CB$53,MATCH($CG41,$B$6:$B$53,0),COLUMN()-COLUMN($CI$5)+1),""))</f>
        <v/>
      </c>
      <c r="DE41" s="1753" t="str" cm="1">
        <f t="array" ref="DE41">IF($CG41="","",IF(INDEX($D$6:$CB$53,MATCH($CG41,$B$6:$B$53,0),COLUMN()-COLUMN($CI$5)+1)&gt;0,INDEX($D$6:$CB$53,MATCH($CG41,$B$6:$B$53,0),COLUMN()-COLUMN($CI$5)+1),""))</f>
        <v/>
      </c>
      <c r="DF41" s="1753" t="str" cm="1">
        <f t="array" ref="DF41">IF($CG41="","",IF(INDEX($D$6:$CB$53,MATCH($CG41,$B$6:$B$53,0),COLUMN()-COLUMN($CI$5)+1)&gt;0,INDEX($D$6:$CB$53,MATCH($CG41,$B$6:$B$53,0),COLUMN()-COLUMN($CI$5)+1),""))</f>
        <v/>
      </c>
      <c r="DG41" s="1753" t="str" cm="1">
        <f t="array" ref="DG41">IF($CG41="","",IF(INDEX($D$6:$CB$53,MATCH($CG41,$B$6:$B$53,0),COLUMN()-COLUMN($CI$5)+1)&gt;0,INDEX($D$6:$CB$53,MATCH($CG41,$B$6:$B$53,0),COLUMN()-COLUMN($CI$5)+1),""))</f>
        <v/>
      </c>
      <c r="DH41" s="1753" t="str" cm="1">
        <f t="array" ref="DH41">IF($CG41="","",IF(INDEX($D$6:$CB$53,MATCH($CG41,$B$6:$B$53,0),COLUMN()-COLUMN($CI$5)+1)&gt;0,INDEX($D$6:$CB$53,MATCH($CG41,$B$6:$B$53,0),COLUMN()-COLUMN($CI$5)+1),""))</f>
        <v/>
      </c>
      <c r="DI41" s="1753" t="str" cm="1">
        <f t="array" ref="DI41">IF($CG41="","",IF(INDEX($D$6:$CB$53,MATCH($CG41,$B$6:$B$53,0),COLUMN()-COLUMN($CI$5)+1)&gt;0,INDEX($D$6:$CB$53,MATCH($CG41,$B$6:$B$53,0),COLUMN()-COLUMN($CI$5)+1),""))</f>
        <v/>
      </c>
      <c r="DJ41" s="1753" t="str" cm="1">
        <f t="array" ref="DJ41">IF($CG41="","",IF(INDEX($D$6:$CB$53,MATCH($CG41,$B$6:$B$53,0),COLUMN()-COLUMN($CI$5)+1)&gt;0,INDEX($D$6:$CB$53,MATCH($CG41,$B$6:$B$53,0),COLUMN()-COLUMN($CI$5)+1),""))</f>
        <v/>
      </c>
      <c r="DK41" s="1753" t="str" cm="1">
        <f t="array" ref="DK41">IF($CG41="","",IF(INDEX($D$6:$CB$53,MATCH($CG41,$B$6:$B$53,0),COLUMN()-COLUMN($CI$5)+1)&gt;0,INDEX($D$6:$CB$53,MATCH($CG41,$B$6:$B$53,0),COLUMN()-COLUMN($CI$5)+1),""))</f>
        <v/>
      </c>
      <c r="DL41" s="1753" t="str" cm="1">
        <f t="array" ref="DL41">IF($CG41="","",IF(INDEX($D$6:$CB$53,MATCH($CG41,$B$6:$B$53,0),COLUMN()-COLUMN($CI$5)+1)&gt;0,INDEX($D$6:$CB$53,MATCH($CG41,$B$6:$B$53,0),COLUMN()-COLUMN($CI$5)+1),""))</f>
        <v/>
      </c>
      <c r="DM41" s="1753" t="str" cm="1">
        <f t="array" ref="DM41">IF($CG41="","",IF(INDEX($D$6:$CB$53,MATCH($CG41,$B$6:$B$53,0),COLUMN()-COLUMN($CI$5)+1)&gt;0,INDEX($D$6:$CB$53,MATCH($CG41,$B$6:$B$53,0),COLUMN()-COLUMN($CI$5)+1),""))</f>
        <v/>
      </c>
      <c r="DN41" s="1753" t="str" cm="1">
        <f t="array" ref="DN41">IF($CG41="","",IF(INDEX($D$6:$CB$53,MATCH($CG41,$B$6:$B$53,0),COLUMN()-COLUMN($CI$5)+1)&gt;0,INDEX($D$6:$CB$53,MATCH($CG41,$B$6:$B$53,0),COLUMN()-COLUMN($CI$5)+1),""))</f>
        <v/>
      </c>
      <c r="DO41" s="1753" t="str" cm="1">
        <f t="array" ref="DO41">IF($CG41="","",IF(INDEX($D$6:$CB$53,MATCH($CG41,$B$6:$B$53,0),COLUMN()-COLUMN($CI$5)+1)&gt;0,INDEX($D$6:$CB$53,MATCH($CG41,$B$6:$B$53,0),COLUMN()-COLUMN($CI$5)+1),""))</f>
        <v/>
      </c>
      <c r="DP41" s="1753" t="str" cm="1">
        <f t="array" ref="DP41">IF($CG41="","",IF(INDEX($D$6:$CB$53,MATCH($CG41,$B$6:$B$53,0),COLUMN()-COLUMN($CI$5)+1)&gt;0,INDEX($D$6:$CB$53,MATCH($CG41,$B$6:$B$53,0),COLUMN()-COLUMN($CI$5)+1),""))</f>
        <v/>
      </c>
      <c r="DQ41" s="1753" t="str" cm="1">
        <f t="array" ref="DQ41">IF($CG41="","",IF(INDEX($D$6:$CB$53,MATCH($CG41,$B$6:$B$53,0),COLUMN()-COLUMN($CI$5)+1)&gt;0,INDEX($D$6:$CB$53,MATCH($CG41,$B$6:$B$53,0),COLUMN()-COLUMN($CI$5)+1),""))</f>
        <v/>
      </c>
      <c r="DR41" s="1753" t="str" cm="1">
        <f t="array" ref="DR41">IF($CG41="","",IF(INDEX($D$6:$CB$53,MATCH($CG41,$B$6:$B$53,0),COLUMN()-COLUMN($CI$5)+1)&gt;0,INDEX($D$6:$CB$53,MATCH($CG41,$B$6:$B$53,0),COLUMN()-COLUMN($CI$5)+1),""))</f>
        <v/>
      </c>
      <c r="DS41" s="1753" t="str" cm="1">
        <f t="array" ref="DS41">IF($CG41="","",IF(INDEX($D$6:$CB$53,MATCH($CG41,$B$6:$B$53,0),COLUMN()-COLUMN($CI$5)+1)&gt;0,INDEX($D$6:$CB$53,MATCH($CG41,$B$6:$B$53,0),COLUMN()-COLUMN($CI$5)+1),""))</f>
        <v/>
      </c>
      <c r="DT41" s="1753" t="str" cm="1">
        <f t="array" ref="DT41">IF($CG41="","",IF(INDEX($D$6:$CB$53,MATCH($CG41,$B$6:$B$53,0),COLUMN()-COLUMN($CI$5)+1)&gt;0,INDEX($D$6:$CB$53,MATCH($CG41,$B$6:$B$53,0),COLUMN()-COLUMN($CI$5)+1),""))</f>
        <v/>
      </c>
      <c r="DU41" s="1753" t="str" cm="1">
        <f t="array" ref="DU41">IF($CG41="","",IF(INDEX($D$6:$CB$53,MATCH($CG41,$B$6:$B$53,0),COLUMN()-COLUMN($CI$5)+1)&gt;0,INDEX($D$6:$CB$53,MATCH($CG41,$B$6:$B$53,0),COLUMN()-COLUMN($CI$5)+1),""))</f>
        <v/>
      </c>
      <c r="DV41" s="1753" t="str" cm="1">
        <f t="array" ref="DV41">IF($CG41="","",IF(INDEX($D$6:$CB$53,MATCH($CG41,$B$6:$B$53,0),COLUMN()-COLUMN($CI$5)+1)&gt;0,INDEX($D$6:$CB$53,MATCH($CG41,$B$6:$B$53,0),COLUMN()-COLUMN($CI$5)+1),""))</f>
        <v/>
      </c>
      <c r="DW41" s="1753" t="str" cm="1">
        <f t="array" ref="DW41">IF($CG41="","",IF(INDEX($D$6:$CB$53,MATCH($CG41,$B$6:$B$53,0),COLUMN()-COLUMN($CI$5)+1)&gt;0,INDEX($D$6:$CB$53,MATCH($CG41,$B$6:$B$53,0),COLUMN()-COLUMN($CI$5)+1),""))</f>
        <v/>
      </c>
      <c r="DX41" s="1753" t="str" cm="1">
        <f t="array" ref="DX41">IF($CG41="","",IF(INDEX($D$6:$CB$53,MATCH($CG41,$B$6:$B$53,0),COLUMN()-COLUMN($CI$5)+1)&gt;0,INDEX($D$6:$CB$53,MATCH($CG41,$B$6:$B$53,0),COLUMN()-COLUMN($CI$5)+1),""))</f>
        <v/>
      </c>
      <c r="DY41" s="1753" t="str" cm="1">
        <f t="array" ref="DY41">IF($CG41="","",IF(INDEX($D$6:$CB$53,MATCH($CG41,$B$6:$B$53,0),COLUMN()-COLUMN($CI$5)+1)&gt;0,INDEX($D$6:$CB$53,MATCH($CG41,$B$6:$B$53,0),COLUMN()-COLUMN($CI$5)+1),""))</f>
        <v/>
      </c>
      <c r="DZ41" s="1753" t="str" cm="1">
        <f t="array" ref="DZ41">IF($CG41="","",IF(INDEX($D$6:$CB$53,MATCH($CG41,$B$6:$B$53,0),COLUMN()-COLUMN($CI$5)+1)&gt;0,INDEX($D$6:$CB$53,MATCH($CG41,$B$6:$B$53,0),COLUMN()-COLUMN($CI$5)+1),""))</f>
        <v/>
      </c>
      <c r="EA41" s="1753" t="str" cm="1">
        <f t="array" ref="EA41">IF($CG41="","",IF(INDEX($D$6:$CB$53,MATCH($CG41,$B$6:$B$53,0),COLUMN()-COLUMN($CI$5)+1)&gt;0,INDEX($D$6:$CB$53,MATCH($CG41,$B$6:$B$53,0),COLUMN()-COLUMN($CI$5)+1),""))</f>
        <v/>
      </c>
      <c r="EB41" s="1753" t="str" cm="1">
        <f t="array" ref="EB41">IF($CG41="","",IF(INDEX($D$6:$CB$53,MATCH($CG41,$B$6:$B$53,0),COLUMN()-COLUMN($CI$5)+1)&gt;0,INDEX($D$6:$CB$53,MATCH($CG41,$B$6:$B$53,0),COLUMN()-COLUMN($CI$5)+1),""))</f>
        <v/>
      </c>
      <c r="EC41" s="1753" t="str" cm="1">
        <f t="array" ref="EC41">IF($CG41="","",IF(INDEX($D$6:$CB$53,MATCH($CG41,$B$6:$B$53,0),COLUMN()-COLUMN($CI$5)+1)&gt;0,INDEX($D$6:$CB$53,MATCH($CG41,$B$6:$B$53,0),COLUMN()-COLUMN($CI$5)+1),""))</f>
        <v/>
      </c>
      <c r="ED41" s="1753" t="str" cm="1">
        <f t="array" ref="ED41">IF($CG41="","",IF(INDEX($D$6:$CB$53,MATCH($CG41,$B$6:$B$53,0),COLUMN()-COLUMN($CI$5)+1)&gt;0,INDEX($D$6:$CB$53,MATCH($CG41,$B$6:$B$53,0),COLUMN()-COLUMN($CI$5)+1),""))</f>
        <v/>
      </c>
      <c r="EE41" s="1753" t="str" cm="1">
        <f t="array" ref="EE41">IF($CG41="","",IF(INDEX($D$6:$CB$53,MATCH($CG41,$B$6:$B$53,0),COLUMN()-COLUMN($CI$5)+1)&gt;0,INDEX($D$6:$CB$53,MATCH($CG41,$B$6:$B$53,0),COLUMN()-COLUMN($CI$5)+1),""))</f>
        <v/>
      </c>
      <c r="EF41" s="1753" t="str" cm="1">
        <f t="array" ref="EF41">IF($CG41="","",IF(INDEX($D$6:$CB$53,MATCH($CG41,$B$6:$B$53,0),COLUMN()-COLUMN($CI$5)+1)&gt;0,INDEX($D$6:$CB$53,MATCH($CG41,$B$6:$B$53,0),COLUMN()-COLUMN($CI$5)+1),""))</f>
        <v/>
      </c>
      <c r="EG41" s="1753" t="str" cm="1">
        <f t="array" ref="EG41">IF($CG41="","",IF(INDEX($D$6:$CB$53,MATCH($CG41,$B$6:$B$53,0),COLUMN()-COLUMN($CI$5)+1)&gt;0,INDEX($D$6:$CB$53,MATCH($CG41,$B$6:$B$53,0),COLUMN()-COLUMN($CI$5)+1),""))</f>
        <v/>
      </c>
      <c r="EH41" s="1753" t="str" cm="1">
        <f t="array" ref="EH41">IF($CG41="","",IF(INDEX($D$6:$CB$53,MATCH($CG41,$B$6:$B$53,0),COLUMN()-COLUMN($CI$5)+1)&gt;0,INDEX($D$6:$CB$53,MATCH($CG41,$B$6:$B$53,0),COLUMN()-COLUMN($CI$5)+1),""))</f>
        <v/>
      </c>
      <c r="EI41" s="1753" t="str" cm="1">
        <f t="array" ref="EI41">IF($CG41="","",IF(INDEX($D$6:$CB$53,MATCH($CG41,$B$6:$B$53,0),COLUMN()-COLUMN($CI$5)+1)&gt;0,INDEX($D$6:$CB$53,MATCH($CG41,$B$6:$B$53,0),COLUMN()-COLUMN($CI$5)+1),""))</f>
        <v/>
      </c>
      <c r="EJ41" s="1753" t="str" cm="1">
        <f t="array" ref="EJ41">IF($CG41="","",IF(INDEX($D$6:$CB$53,MATCH($CG41,$B$6:$B$53,0),COLUMN()-COLUMN($CI$5)+1)&gt;0,INDEX($D$6:$CB$53,MATCH($CG41,$B$6:$B$53,0),COLUMN()-COLUMN($CI$5)+1),""))</f>
        <v/>
      </c>
      <c r="EK41" s="1753" t="str" cm="1">
        <f t="array" ref="EK41">IF($CG41="","",IF(INDEX($D$6:$CB$53,MATCH($CG41,$B$6:$B$53,0),COLUMN()-COLUMN($CI$5)+1)&gt;0,INDEX($D$6:$CB$53,MATCH($CG41,$B$6:$B$53,0),COLUMN()-COLUMN($CI$5)+1),""))</f>
        <v/>
      </c>
      <c r="EL41" s="1753" t="str" cm="1">
        <f t="array" ref="EL41">IF($CG41="","",IF(INDEX($D$6:$CB$53,MATCH($CG41,$B$6:$B$53,0),COLUMN()-COLUMN($CI$5)+1)&gt;0,INDEX($D$6:$CB$53,MATCH($CG41,$B$6:$B$53,0),COLUMN()-COLUMN($CI$5)+1),""))</f>
        <v/>
      </c>
      <c r="EM41" s="1753" t="str" cm="1">
        <f t="array" ref="EM41">IF($CG41="","",IF(INDEX($D$6:$CB$53,MATCH($CG41,$B$6:$B$53,0),COLUMN()-COLUMN($CI$5)+1)&gt;0,INDEX($D$6:$CB$53,MATCH($CG41,$B$6:$B$53,0),COLUMN()-COLUMN($CI$5)+1),""))</f>
        <v/>
      </c>
      <c r="EN41" s="1753" t="str" cm="1">
        <f t="array" ref="EN41">IF($CG41="","",IF(INDEX($D$6:$CB$53,MATCH($CG41,$B$6:$B$53,0),COLUMN()-COLUMN($CI$5)+1)&gt;0,INDEX($D$6:$CB$53,MATCH($CG41,$B$6:$B$53,0),COLUMN()-COLUMN($CI$5)+1),""))</f>
        <v/>
      </c>
      <c r="EO41" s="1753" t="str" cm="1">
        <f t="array" ref="EO41">IF($CG41="","",IF(INDEX($D$6:$CB$53,MATCH($CG41,$B$6:$B$53,0),COLUMN()-COLUMN($CI$5)+1)&gt;0,INDEX($D$6:$CB$53,MATCH($CG41,$B$6:$B$53,0),COLUMN()-COLUMN($CI$5)+1),""))</f>
        <v/>
      </c>
      <c r="EP41" s="1753" t="str" cm="1">
        <f t="array" ref="EP41">IF($CG41="","",IF(INDEX($D$6:$CB$53,MATCH($CG41,$B$6:$B$53,0),COLUMN()-COLUMN($CI$5)+1)&gt;0,INDEX($D$6:$CB$53,MATCH($CG41,$B$6:$B$53,0),COLUMN()-COLUMN($CI$5)+1),""))</f>
        <v/>
      </c>
      <c r="EQ41" s="1753" t="str" cm="1">
        <f t="array" ref="EQ41">IF($CG41="","",IF(INDEX($D$6:$CB$53,MATCH($CG41,$B$6:$B$53,0),COLUMN()-COLUMN($CI$5)+1)&gt;0,INDEX($D$6:$CB$53,MATCH($CG41,$B$6:$B$53,0),COLUMN()-COLUMN($CI$5)+1),""))</f>
        <v/>
      </c>
      <c r="ER41" s="1753" t="str" cm="1">
        <f t="array" ref="ER41">IF($CG41="","",IF(INDEX($D$6:$CB$53,MATCH($CG41,$B$6:$B$53,0),COLUMN()-COLUMN($CI$5)+1)&gt;0,INDEX($D$6:$CB$53,MATCH($CG41,$B$6:$B$53,0),COLUMN()-COLUMN($CI$5)+1),""))</f>
        <v/>
      </c>
      <c r="ES41" s="1753" t="str" cm="1">
        <f t="array" ref="ES41">IF($CG41="","",IF(INDEX($D$6:$CB$53,MATCH($CG41,$B$6:$B$53,0),COLUMN()-COLUMN($CI$5)+1)&gt;0,INDEX($D$6:$CB$53,MATCH($CG41,$B$6:$B$53,0),COLUMN()-COLUMN($CI$5)+1),""))</f>
        <v/>
      </c>
      <c r="ET41" s="1753" t="str" cm="1">
        <f t="array" ref="ET41">IF($CG41="","",IF(INDEX($D$6:$CB$53,MATCH($CG41,$B$6:$B$53,0),COLUMN()-COLUMN($CI$5)+1)&gt;0,INDEX($D$6:$CB$53,MATCH($CG41,$B$6:$B$53,0),COLUMN()-COLUMN($CI$5)+1),""))</f>
        <v/>
      </c>
      <c r="EU41" s="1753" t="str" cm="1">
        <f t="array" ref="EU41">IF($CG41="","",IF(INDEX($D$6:$CB$53,MATCH($CG41,$B$6:$B$53,0),COLUMN()-COLUMN($CI$5)+1)&gt;0,INDEX($D$6:$CB$53,MATCH($CG41,$B$6:$B$53,0),COLUMN()-COLUMN($CI$5)+1),""))</f>
        <v/>
      </c>
      <c r="EV41" s="1753" t="str" cm="1">
        <f t="array" ref="EV41">IF($CG41="","",IF(INDEX($D$6:$CB$53,MATCH($CG41,$B$6:$B$53,0),COLUMN()-COLUMN($CI$5)+1)&gt;0,INDEX($D$6:$CB$53,MATCH($CG41,$B$6:$B$53,0),COLUMN()-COLUMN($CI$5)+1),""))</f>
        <v/>
      </c>
      <c r="EW41" s="1753" t="str" cm="1">
        <f t="array" ref="EW41">IF($CG41="","",IF(INDEX($D$6:$CB$53,MATCH($CG41,$B$6:$B$53,0),COLUMN()-COLUMN($CI$5)+1)&gt;0,INDEX($D$6:$CB$53,MATCH($CG41,$B$6:$B$53,0),COLUMN()-COLUMN($CI$5)+1),""))</f>
        <v/>
      </c>
      <c r="EX41" s="1753" t="str" cm="1">
        <f t="array" ref="EX41">IF($CG41="","",IF(INDEX($D$6:$CB$53,MATCH($CG41,$B$6:$B$53,0),COLUMN()-COLUMN($CI$5)+1)&gt;0,INDEX($D$6:$CB$53,MATCH($CG41,$B$6:$B$53,0),COLUMN()-COLUMN($CI$5)+1),""))</f>
        <v/>
      </c>
      <c r="EY41" s="1753" t="str" cm="1">
        <f t="array" ref="EY41">IF($CG41="","",IF(INDEX($D$6:$CB$53,MATCH($CG41,$B$6:$B$53,0),COLUMN()-COLUMN($CI$5)+1)&gt;0,INDEX($D$6:$CB$53,MATCH($CG41,$B$6:$B$53,0),COLUMN()-COLUMN($CI$5)+1),""))</f>
        <v/>
      </c>
      <c r="EZ41" s="1753" t="str" cm="1">
        <f t="array" ref="EZ41">IF($CG41="","",IF(INDEX($D$6:$CB$53,MATCH($CG41,$B$6:$B$53,0),COLUMN()-COLUMN($CI$5)+1)&gt;0,INDEX($D$6:$CB$53,MATCH($CG41,$B$6:$B$53,0),COLUMN()-COLUMN($CI$5)+1),""))</f>
        <v/>
      </c>
      <c r="FA41" s="1753" t="str" cm="1">
        <f t="array" ref="FA41">IF($CG41="","",IF(INDEX($D$6:$CB$53,MATCH($CG41,$B$6:$B$53,0),COLUMN()-COLUMN($CI$5)+1)&gt;0,INDEX($D$6:$CB$53,MATCH($CG41,$B$6:$B$53,0),COLUMN()-COLUMN($CI$5)+1),""))</f>
        <v/>
      </c>
      <c r="FB41" s="1753" t="str" cm="1">
        <f t="array" ref="FB41">IF($CG41="","",IF(INDEX($D$6:$CB$53,MATCH($CG41,$B$6:$B$53,0),COLUMN()-COLUMN($CI$5)+1)&gt;0,INDEX($D$6:$CB$53,MATCH($CG41,$B$6:$B$53,0),COLUMN()-COLUMN($CI$5)+1),""))</f>
        <v/>
      </c>
      <c r="FC41" s="1753" t="str" cm="1">
        <f t="array" ref="FC41">IF($CG41="","",IF(INDEX($D$6:$CB$53,MATCH($CG41,$B$6:$B$53,0),COLUMN()-COLUMN($CI$5)+1)&gt;0,INDEX($D$6:$CB$53,MATCH($CG41,$B$6:$B$53,0),COLUMN()-COLUMN($CI$5)+1),""))</f>
        <v/>
      </c>
      <c r="FD41" s="1753" t="str" cm="1">
        <f t="array" ref="FD41">IF($CG41="","",IF(INDEX($D$6:$CB$53,MATCH($CG41,$B$6:$B$53,0),COLUMN()-COLUMN($CI$5)+1)&gt;0,INDEX($D$6:$CB$53,MATCH($CG41,$B$6:$B$53,0),COLUMN()-COLUMN($CI$5)+1),""))</f>
        <v/>
      </c>
      <c r="FE41" s="1753" t="str" cm="1">
        <f t="array" ref="FE41">IF($CG41="","",IF(INDEX($D$6:$CB$53,MATCH($CG41,$B$6:$B$53,0),COLUMN()-COLUMN($CI$5)+1)&gt;0,INDEX($D$6:$CB$53,MATCH($CG41,$B$6:$B$53,0),COLUMN()-COLUMN($CI$5)+1),""))</f>
        <v/>
      </c>
      <c r="FF41" s="1753" t="str" cm="1">
        <f t="array" ref="FF41">IF($CG41="","",IF(INDEX($D$6:$CB$53,MATCH($CG41,$B$6:$B$53,0),COLUMN()-COLUMN($CI$5)+1)&gt;0,INDEX($D$6:$CB$53,MATCH($CG41,$B$6:$B$53,0),COLUMN()-COLUMN($CI$5)+1),""))</f>
        <v/>
      </c>
      <c r="FG41" s="1753" t="str" cm="1">
        <f t="array" ref="FG41">IF($CG41="","",IF(INDEX($D$6:$CB$53,MATCH($CG41,$B$6:$B$53,0),COLUMN()-COLUMN($CI$5)+1)&gt;0,INDEX($D$6:$CB$53,MATCH($CG41,$B$6:$B$53,0),COLUMN()-COLUMN($CI$5)+1),""))</f>
        <v/>
      </c>
      <c r="FH41" s="1753" t="str">
        <f t="shared" si="7"/>
        <v/>
      </c>
      <c r="FI41" s="1753" t="str">
        <f t="shared" si="8"/>
        <v/>
      </c>
      <c r="FJ41" s="1753" t="str">
        <f t="shared" si="9"/>
        <v/>
      </c>
      <c r="FK41" s="1753"/>
    </row>
    <row r="42" spans="1:167" ht="15.75" customHeight="1">
      <c r="A42" s="1220"/>
      <c r="B42" s="1278">
        <f>+PP!B60</f>
        <v>37</v>
      </c>
      <c r="C42" s="1277" t="str">
        <f>+PP!C60</f>
        <v>TENTACULO C/B C/V SR 100-300 g/pza (SUCIO)</v>
      </c>
      <c r="D42" s="1419"/>
      <c r="E42" s="1420"/>
      <c r="F42" s="1420"/>
      <c r="G42" s="1420"/>
      <c r="H42" s="1420"/>
      <c r="I42" s="1420"/>
      <c r="J42" s="1420"/>
      <c r="K42" s="1420"/>
      <c r="L42" s="1420"/>
      <c r="M42" s="1420"/>
      <c r="N42" s="2057"/>
      <c r="O42" s="2057"/>
      <c r="P42" s="2057"/>
      <c r="Q42" s="2057"/>
      <c r="R42" s="2057"/>
      <c r="S42" s="2057"/>
      <c r="T42" s="2057"/>
      <c r="U42" s="2057"/>
      <c r="V42" s="2057"/>
      <c r="W42" s="2057"/>
      <c r="X42" s="2057"/>
      <c r="Y42" s="2057"/>
      <c r="Z42" s="2057"/>
      <c r="AA42" s="1420"/>
      <c r="AB42" s="1420"/>
      <c r="AC42" s="1420"/>
      <c r="AD42" s="1420"/>
      <c r="AE42" s="1420"/>
      <c r="AF42" s="1420"/>
      <c r="AG42" s="1420"/>
      <c r="AH42" s="1232"/>
      <c r="AI42" s="1232"/>
      <c r="AJ42" s="1232"/>
      <c r="AK42" s="1232"/>
      <c r="AL42" s="1232"/>
      <c r="AM42" s="1232"/>
      <c r="AN42" s="1232"/>
      <c r="AO42" s="1232"/>
      <c r="AP42" s="1217"/>
      <c r="AQ42" s="1217"/>
      <c r="AR42" s="1217"/>
      <c r="AS42" s="1217"/>
      <c r="AT42" s="1217"/>
      <c r="AU42" s="1217"/>
      <c r="AV42" s="1217"/>
      <c r="AW42" s="1217"/>
      <c r="AX42" s="1217"/>
      <c r="AY42" s="1217"/>
      <c r="AZ42" s="1217"/>
      <c r="BA42" s="1217"/>
      <c r="BB42" s="1217"/>
      <c r="BC42" s="1217"/>
      <c r="BD42" s="1217"/>
      <c r="BE42" s="1217"/>
      <c r="BF42" s="1217"/>
      <c r="BG42" s="1217"/>
      <c r="BH42" s="1217"/>
      <c r="BI42" s="1217"/>
      <c r="BJ42" s="1217"/>
      <c r="BK42" s="1217"/>
      <c r="BL42" s="1217"/>
      <c r="BM42" s="1217"/>
      <c r="BN42" s="1217"/>
      <c r="BO42" s="1217"/>
      <c r="BP42" s="1217"/>
      <c r="BQ42" s="1217"/>
      <c r="BR42" s="1562"/>
      <c r="BS42" s="1562"/>
      <c r="BT42" s="1562"/>
      <c r="BU42" s="1562"/>
      <c r="BV42" s="1562"/>
      <c r="BW42" s="1562"/>
      <c r="BX42" s="1562"/>
      <c r="BY42" s="1562"/>
      <c r="BZ42" s="1562"/>
      <c r="CA42" s="1562"/>
      <c r="CB42" s="1563"/>
      <c r="CC42" s="1549">
        <f t="shared" si="0"/>
        <v>0</v>
      </c>
      <c r="CD42" s="1233">
        <f t="shared" si="1"/>
        <v>0</v>
      </c>
      <c r="CE42" s="1234">
        <f t="shared" si="2"/>
        <v>0</v>
      </c>
      <c r="CF42" s="1220"/>
      <c r="CG42" s="1751" t="str" cm="1">
        <f t="array" ref="CG42">IFERROR(INDEX($B$6:$B$53,_xlfn.AGGREGATE(15,6,(ROW($B$6:$B$53)-ROW($B$6)+1)/(MMULT(--($D$6:$CB$53&gt;0),TRANSPOSE(COLUMN($D$6:$CB$6)^0))&gt;0),ROWS($CG$6:CG42))),"")</f>
        <v/>
      </c>
      <c r="CH42" s="1752" t="str">
        <f t="shared" si="3"/>
        <v/>
      </c>
      <c r="CI42" s="1753" t="str" cm="1">
        <f t="array" ref="CI42">IF($CG42="","",IF(INDEX($D$6:$CB$53,MATCH($CG42,$B$6:$B$53,0),COLUMN()-COLUMN($CI$5)+1)&gt;0,INDEX($D$6:$CB$53,MATCH($CG42,$B$6:$B$53,0),COLUMN()-COLUMN($CI$5)+1),""))</f>
        <v/>
      </c>
      <c r="CJ42" s="1753" t="str" cm="1">
        <f t="array" ref="CJ42">IF($CG42="","",IF(INDEX($D$6:$CB$53,MATCH($CG42,$B$6:$B$53,0),COLUMN()-COLUMN($CI$5)+1)&gt;0,INDEX($D$6:$CB$53,MATCH($CG42,$B$6:$B$53,0),COLUMN()-COLUMN($CI$5)+1),""))</f>
        <v/>
      </c>
      <c r="CK42" s="1753" t="str" cm="1">
        <f t="array" ref="CK42">IF($CG42="","",IF(INDEX($D$6:$CB$53,MATCH($CG42,$B$6:$B$53,0),COLUMN()-COLUMN($CI$5)+1)&gt;0,INDEX($D$6:$CB$53,MATCH($CG42,$B$6:$B$53,0),COLUMN()-COLUMN($CI$5)+1),""))</f>
        <v/>
      </c>
      <c r="CL42" s="1753" t="str" cm="1">
        <f t="array" ref="CL42">IF($CG42="","",IF(INDEX($D$6:$CB$53,MATCH($CG42,$B$6:$B$53,0),COLUMN()-COLUMN($CI$5)+1)&gt;0,INDEX($D$6:$CB$53,MATCH($CG42,$B$6:$B$53,0),COLUMN()-COLUMN($CI$5)+1),""))</f>
        <v/>
      </c>
      <c r="CM42" s="1753" t="str" cm="1">
        <f t="array" ref="CM42">IF($CG42="","",IF(INDEX($D$6:$CB$53,MATCH($CG42,$B$6:$B$53,0),COLUMN()-COLUMN($CI$5)+1)&gt;0,INDEX($D$6:$CB$53,MATCH($CG42,$B$6:$B$53,0),COLUMN()-COLUMN($CI$5)+1),""))</f>
        <v/>
      </c>
      <c r="CN42" s="1753" t="str" cm="1">
        <f t="array" ref="CN42">IF($CG42="","",IF(INDEX($D$6:$CB$53,MATCH($CG42,$B$6:$B$53,0),COLUMN()-COLUMN($CI$5)+1)&gt;0,INDEX($D$6:$CB$53,MATCH($CG42,$B$6:$B$53,0),COLUMN()-COLUMN($CI$5)+1),""))</f>
        <v/>
      </c>
      <c r="CO42" s="1753" t="str" cm="1">
        <f t="array" ref="CO42">IF($CG42="","",IF(INDEX($D$6:$CB$53,MATCH($CG42,$B$6:$B$53,0),COLUMN()-COLUMN($CI$5)+1)&gt;0,INDEX($D$6:$CB$53,MATCH($CG42,$B$6:$B$53,0),COLUMN()-COLUMN($CI$5)+1),""))</f>
        <v/>
      </c>
      <c r="CP42" s="1753" t="str" cm="1">
        <f t="array" ref="CP42">IF($CG42="","",IF(INDEX($D$6:$CB$53,MATCH($CG42,$B$6:$B$53,0),COLUMN()-COLUMN($CI$5)+1)&gt;0,INDEX($D$6:$CB$53,MATCH($CG42,$B$6:$B$53,0),COLUMN()-COLUMN($CI$5)+1),""))</f>
        <v/>
      </c>
      <c r="CQ42" s="1753" t="str" cm="1">
        <f t="array" ref="CQ42">IF($CG42="","",IF(INDEX($D$6:$CB$53,MATCH($CG42,$B$6:$B$53,0),COLUMN()-COLUMN($CI$5)+1)&gt;0,INDEX($D$6:$CB$53,MATCH($CG42,$B$6:$B$53,0),COLUMN()-COLUMN($CI$5)+1),""))</f>
        <v/>
      </c>
      <c r="CR42" s="1753" t="str" cm="1">
        <f t="array" ref="CR42">IF($CG42="","",IF(INDEX($D$6:$CB$53,MATCH($CG42,$B$6:$B$53,0),COLUMN()-COLUMN($CI$5)+1)&gt;0,INDEX($D$6:$CB$53,MATCH($CG42,$B$6:$B$53,0),COLUMN()-COLUMN($CI$5)+1),""))</f>
        <v/>
      </c>
      <c r="CS42" s="1753" t="str" cm="1">
        <f t="array" ref="CS42">IF($CG42="","",IF(INDEX($D$6:$CB$53,MATCH($CG42,$B$6:$B$53,0),COLUMN()-COLUMN($CI$5)+1)&gt;0,INDEX($D$6:$CB$53,MATCH($CG42,$B$6:$B$53,0),COLUMN()-COLUMN($CI$5)+1),""))</f>
        <v/>
      </c>
      <c r="CT42" s="1753" t="str" cm="1">
        <f t="array" ref="CT42">IF($CG42="","",IF(INDEX($D$6:$CB$53,MATCH($CG42,$B$6:$B$53,0),COLUMN()-COLUMN($CI$5)+1)&gt;0,INDEX($D$6:$CB$53,MATCH($CG42,$B$6:$B$53,0),COLUMN()-COLUMN($CI$5)+1),""))</f>
        <v/>
      </c>
      <c r="CU42" s="1753" t="str" cm="1">
        <f t="array" ref="CU42">IF($CG42="","",IF(INDEX($D$6:$CB$53,MATCH($CG42,$B$6:$B$53,0),COLUMN()-COLUMN($CI$5)+1)&gt;0,INDEX($D$6:$CB$53,MATCH($CG42,$B$6:$B$53,0),COLUMN()-COLUMN($CI$5)+1),""))</f>
        <v/>
      </c>
      <c r="CV42" s="1753" t="str" cm="1">
        <f t="array" ref="CV42">IF($CG42="","",IF(INDEX($D$6:$CB$53,MATCH($CG42,$B$6:$B$53,0),COLUMN()-COLUMN($CI$5)+1)&gt;0,INDEX($D$6:$CB$53,MATCH($CG42,$B$6:$B$53,0),COLUMN()-COLUMN($CI$5)+1),""))</f>
        <v/>
      </c>
      <c r="CW42" s="1753" t="str" cm="1">
        <f t="array" ref="CW42">IF($CG42="","",IF(INDEX($D$6:$CB$53,MATCH($CG42,$B$6:$B$53,0),COLUMN()-COLUMN($CI$5)+1)&gt;0,INDEX($D$6:$CB$53,MATCH($CG42,$B$6:$B$53,0),COLUMN()-COLUMN($CI$5)+1),""))</f>
        <v/>
      </c>
      <c r="CX42" s="1753" t="str" cm="1">
        <f t="array" ref="CX42">IF($CG42="","",IF(INDEX($D$6:$CB$53,MATCH($CG42,$B$6:$B$53,0),COLUMN()-COLUMN($CI$5)+1)&gt;0,INDEX($D$6:$CB$53,MATCH($CG42,$B$6:$B$53,0),COLUMN()-COLUMN($CI$5)+1),""))</f>
        <v/>
      </c>
      <c r="CY42" s="1753" t="str" cm="1">
        <f t="array" ref="CY42">IF($CG42="","",IF(INDEX($D$6:$CB$53,MATCH($CG42,$B$6:$B$53,0),COLUMN()-COLUMN($CI$5)+1)&gt;0,INDEX($D$6:$CB$53,MATCH($CG42,$B$6:$B$53,0),COLUMN()-COLUMN($CI$5)+1),""))</f>
        <v/>
      </c>
      <c r="CZ42" s="1753" t="str" cm="1">
        <f t="array" ref="CZ42">IF($CG42="","",IF(INDEX($D$6:$CB$53,MATCH($CG42,$B$6:$B$53,0),COLUMN()-COLUMN($CI$5)+1)&gt;0,INDEX($D$6:$CB$53,MATCH($CG42,$B$6:$B$53,0),COLUMN()-COLUMN($CI$5)+1),""))</f>
        <v/>
      </c>
      <c r="DA42" s="1753" t="str" cm="1">
        <f t="array" ref="DA42">IF($CG42="","",IF(INDEX($D$6:$CB$53,MATCH($CG42,$B$6:$B$53,0),COLUMN()-COLUMN($CI$5)+1)&gt;0,INDEX($D$6:$CB$53,MATCH($CG42,$B$6:$B$53,0),COLUMN()-COLUMN($CI$5)+1),""))</f>
        <v/>
      </c>
      <c r="DB42" s="1753" t="str" cm="1">
        <f t="array" ref="DB42">IF($CG42="","",IF(INDEX($D$6:$CB$53,MATCH($CG42,$B$6:$B$53,0),COLUMN()-COLUMN($CI$5)+1)&gt;0,INDEX($D$6:$CB$53,MATCH($CG42,$B$6:$B$53,0),COLUMN()-COLUMN($CI$5)+1),""))</f>
        <v/>
      </c>
      <c r="DC42" s="1753" t="str" cm="1">
        <f t="array" ref="DC42">IF($CG42="","",IF(INDEX($D$6:$CB$53,MATCH($CG42,$B$6:$B$53,0),COLUMN()-COLUMN($CI$5)+1)&gt;0,INDEX($D$6:$CB$53,MATCH($CG42,$B$6:$B$53,0),COLUMN()-COLUMN($CI$5)+1),""))</f>
        <v/>
      </c>
      <c r="DD42" s="1753" t="str" cm="1">
        <f t="array" ref="DD42">IF($CG42="","",IF(INDEX($D$6:$CB$53,MATCH($CG42,$B$6:$B$53,0),COLUMN()-COLUMN($CI$5)+1)&gt;0,INDEX($D$6:$CB$53,MATCH($CG42,$B$6:$B$53,0),COLUMN()-COLUMN($CI$5)+1),""))</f>
        <v/>
      </c>
      <c r="DE42" s="1753" t="str" cm="1">
        <f t="array" ref="DE42">IF($CG42="","",IF(INDEX($D$6:$CB$53,MATCH($CG42,$B$6:$B$53,0),COLUMN()-COLUMN($CI$5)+1)&gt;0,INDEX($D$6:$CB$53,MATCH($CG42,$B$6:$B$53,0),COLUMN()-COLUMN($CI$5)+1),""))</f>
        <v/>
      </c>
      <c r="DF42" s="1753" t="str" cm="1">
        <f t="array" ref="DF42">IF($CG42="","",IF(INDEX($D$6:$CB$53,MATCH($CG42,$B$6:$B$53,0),COLUMN()-COLUMN($CI$5)+1)&gt;0,INDEX($D$6:$CB$53,MATCH($CG42,$B$6:$B$53,0),COLUMN()-COLUMN($CI$5)+1),""))</f>
        <v/>
      </c>
      <c r="DG42" s="1753" t="str" cm="1">
        <f t="array" ref="DG42">IF($CG42="","",IF(INDEX($D$6:$CB$53,MATCH($CG42,$B$6:$B$53,0),COLUMN()-COLUMN($CI$5)+1)&gt;0,INDEX($D$6:$CB$53,MATCH($CG42,$B$6:$B$53,0),COLUMN()-COLUMN($CI$5)+1),""))</f>
        <v/>
      </c>
      <c r="DH42" s="1753" t="str" cm="1">
        <f t="array" ref="DH42">IF($CG42="","",IF(INDEX($D$6:$CB$53,MATCH($CG42,$B$6:$B$53,0),COLUMN()-COLUMN($CI$5)+1)&gt;0,INDEX($D$6:$CB$53,MATCH($CG42,$B$6:$B$53,0),COLUMN()-COLUMN($CI$5)+1),""))</f>
        <v/>
      </c>
      <c r="DI42" s="1753" t="str" cm="1">
        <f t="array" ref="DI42">IF($CG42="","",IF(INDEX($D$6:$CB$53,MATCH($CG42,$B$6:$B$53,0),COLUMN()-COLUMN($CI$5)+1)&gt;0,INDEX($D$6:$CB$53,MATCH($CG42,$B$6:$B$53,0),COLUMN()-COLUMN($CI$5)+1),""))</f>
        <v/>
      </c>
      <c r="DJ42" s="1753" t="str" cm="1">
        <f t="array" ref="DJ42">IF($CG42="","",IF(INDEX($D$6:$CB$53,MATCH($CG42,$B$6:$B$53,0),COLUMN()-COLUMN($CI$5)+1)&gt;0,INDEX($D$6:$CB$53,MATCH($CG42,$B$6:$B$53,0),COLUMN()-COLUMN($CI$5)+1),""))</f>
        <v/>
      </c>
      <c r="DK42" s="1753" t="str" cm="1">
        <f t="array" ref="DK42">IF($CG42="","",IF(INDEX($D$6:$CB$53,MATCH($CG42,$B$6:$B$53,0),COLUMN()-COLUMN($CI$5)+1)&gt;0,INDEX($D$6:$CB$53,MATCH($CG42,$B$6:$B$53,0),COLUMN()-COLUMN($CI$5)+1),""))</f>
        <v/>
      </c>
      <c r="DL42" s="1753" t="str" cm="1">
        <f t="array" ref="DL42">IF($CG42="","",IF(INDEX($D$6:$CB$53,MATCH($CG42,$B$6:$B$53,0),COLUMN()-COLUMN($CI$5)+1)&gt;0,INDEX($D$6:$CB$53,MATCH($CG42,$B$6:$B$53,0),COLUMN()-COLUMN($CI$5)+1),""))</f>
        <v/>
      </c>
      <c r="DM42" s="1753" t="str" cm="1">
        <f t="array" ref="DM42">IF($CG42="","",IF(INDEX($D$6:$CB$53,MATCH($CG42,$B$6:$B$53,0),COLUMN()-COLUMN($CI$5)+1)&gt;0,INDEX($D$6:$CB$53,MATCH($CG42,$B$6:$B$53,0),COLUMN()-COLUMN($CI$5)+1),""))</f>
        <v/>
      </c>
      <c r="DN42" s="1753" t="str" cm="1">
        <f t="array" ref="DN42">IF($CG42="","",IF(INDEX($D$6:$CB$53,MATCH($CG42,$B$6:$B$53,0),COLUMN()-COLUMN($CI$5)+1)&gt;0,INDEX($D$6:$CB$53,MATCH($CG42,$B$6:$B$53,0),COLUMN()-COLUMN($CI$5)+1),""))</f>
        <v/>
      </c>
      <c r="DO42" s="1753" t="str" cm="1">
        <f t="array" ref="DO42">IF($CG42="","",IF(INDEX($D$6:$CB$53,MATCH($CG42,$B$6:$B$53,0),COLUMN()-COLUMN($CI$5)+1)&gt;0,INDEX($D$6:$CB$53,MATCH($CG42,$B$6:$B$53,0),COLUMN()-COLUMN($CI$5)+1),""))</f>
        <v/>
      </c>
      <c r="DP42" s="1753" t="str" cm="1">
        <f t="array" ref="DP42">IF($CG42="","",IF(INDEX($D$6:$CB$53,MATCH($CG42,$B$6:$B$53,0),COLUMN()-COLUMN($CI$5)+1)&gt;0,INDEX($D$6:$CB$53,MATCH($CG42,$B$6:$B$53,0),COLUMN()-COLUMN($CI$5)+1),""))</f>
        <v/>
      </c>
      <c r="DQ42" s="1753" t="str" cm="1">
        <f t="array" ref="DQ42">IF($CG42="","",IF(INDEX($D$6:$CB$53,MATCH($CG42,$B$6:$B$53,0),COLUMN()-COLUMN($CI$5)+1)&gt;0,INDEX($D$6:$CB$53,MATCH($CG42,$B$6:$B$53,0),COLUMN()-COLUMN($CI$5)+1),""))</f>
        <v/>
      </c>
      <c r="DR42" s="1753" t="str" cm="1">
        <f t="array" ref="DR42">IF($CG42="","",IF(INDEX($D$6:$CB$53,MATCH($CG42,$B$6:$B$53,0),COLUMN()-COLUMN($CI$5)+1)&gt;0,INDEX($D$6:$CB$53,MATCH($CG42,$B$6:$B$53,0),COLUMN()-COLUMN($CI$5)+1),""))</f>
        <v/>
      </c>
      <c r="DS42" s="1753" t="str" cm="1">
        <f t="array" ref="DS42">IF($CG42="","",IF(INDEX($D$6:$CB$53,MATCH($CG42,$B$6:$B$53,0),COLUMN()-COLUMN($CI$5)+1)&gt;0,INDEX($D$6:$CB$53,MATCH($CG42,$B$6:$B$53,0),COLUMN()-COLUMN($CI$5)+1),""))</f>
        <v/>
      </c>
      <c r="DT42" s="1753" t="str" cm="1">
        <f t="array" ref="DT42">IF($CG42="","",IF(INDEX($D$6:$CB$53,MATCH($CG42,$B$6:$B$53,0),COLUMN()-COLUMN($CI$5)+1)&gt;0,INDEX($D$6:$CB$53,MATCH($CG42,$B$6:$B$53,0),COLUMN()-COLUMN($CI$5)+1),""))</f>
        <v/>
      </c>
      <c r="DU42" s="1753" t="str" cm="1">
        <f t="array" ref="DU42">IF($CG42="","",IF(INDEX($D$6:$CB$53,MATCH($CG42,$B$6:$B$53,0),COLUMN()-COLUMN($CI$5)+1)&gt;0,INDEX($D$6:$CB$53,MATCH($CG42,$B$6:$B$53,0),COLUMN()-COLUMN($CI$5)+1),""))</f>
        <v/>
      </c>
      <c r="DV42" s="1753" t="str" cm="1">
        <f t="array" ref="DV42">IF($CG42="","",IF(INDEX($D$6:$CB$53,MATCH($CG42,$B$6:$B$53,0),COLUMN()-COLUMN($CI$5)+1)&gt;0,INDEX($D$6:$CB$53,MATCH($CG42,$B$6:$B$53,0),COLUMN()-COLUMN($CI$5)+1),""))</f>
        <v/>
      </c>
      <c r="DW42" s="1753" t="str" cm="1">
        <f t="array" ref="DW42">IF($CG42="","",IF(INDEX($D$6:$CB$53,MATCH($CG42,$B$6:$B$53,0),COLUMN()-COLUMN($CI$5)+1)&gt;0,INDEX($D$6:$CB$53,MATCH($CG42,$B$6:$B$53,0),COLUMN()-COLUMN($CI$5)+1),""))</f>
        <v/>
      </c>
      <c r="DX42" s="1753" t="str" cm="1">
        <f t="array" ref="DX42">IF($CG42="","",IF(INDEX($D$6:$CB$53,MATCH($CG42,$B$6:$B$53,0),COLUMN()-COLUMN($CI$5)+1)&gt;0,INDEX($D$6:$CB$53,MATCH($CG42,$B$6:$B$53,0),COLUMN()-COLUMN($CI$5)+1),""))</f>
        <v/>
      </c>
      <c r="DY42" s="1753" t="str" cm="1">
        <f t="array" ref="DY42">IF($CG42="","",IF(INDEX($D$6:$CB$53,MATCH($CG42,$B$6:$B$53,0),COLUMN()-COLUMN($CI$5)+1)&gt;0,INDEX($D$6:$CB$53,MATCH($CG42,$B$6:$B$53,0),COLUMN()-COLUMN($CI$5)+1),""))</f>
        <v/>
      </c>
      <c r="DZ42" s="1753" t="str" cm="1">
        <f t="array" ref="DZ42">IF($CG42="","",IF(INDEX($D$6:$CB$53,MATCH($CG42,$B$6:$B$53,0),COLUMN()-COLUMN($CI$5)+1)&gt;0,INDEX($D$6:$CB$53,MATCH($CG42,$B$6:$B$53,0),COLUMN()-COLUMN($CI$5)+1),""))</f>
        <v/>
      </c>
      <c r="EA42" s="1753" t="str" cm="1">
        <f t="array" ref="EA42">IF($CG42="","",IF(INDEX($D$6:$CB$53,MATCH($CG42,$B$6:$B$53,0),COLUMN()-COLUMN($CI$5)+1)&gt;0,INDEX($D$6:$CB$53,MATCH($CG42,$B$6:$B$53,0),COLUMN()-COLUMN($CI$5)+1),""))</f>
        <v/>
      </c>
      <c r="EB42" s="1753" t="str" cm="1">
        <f t="array" ref="EB42">IF($CG42="","",IF(INDEX($D$6:$CB$53,MATCH($CG42,$B$6:$B$53,0),COLUMN()-COLUMN($CI$5)+1)&gt;0,INDEX($D$6:$CB$53,MATCH($CG42,$B$6:$B$53,0),COLUMN()-COLUMN($CI$5)+1),""))</f>
        <v/>
      </c>
      <c r="EC42" s="1753" t="str" cm="1">
        <f t="array" ref="EC42">IF($CG42="","",IF(INDEX($D$6:$CB$53,MATCH($CG42,$B$6:$B$53,0),COLUMN()-COLUMN($CI$5)+1)&gt;0,INDEX($D$6:$CB$53,MATCH($CG42,$B$6:$B$53,0),COLUMN()-COLUMN($CI$5)+1),""))</f>
        <v/>
      </c>
      <c r="ED42" s="1753" t="str" cm="1">
        <f t="array" ref="ED42">IF($CG42="","",IF(INDEX($D$6:$CB$53,MATCH($CG42,$B$6:$B$53,0),COLUMN()-COLUMN($CI$5)+1)&gt;0,INDEX($D$6:$CB$53,MATCH($CG42,$B$6:$B$53,0),COLUMN()-COLUMN($CI$5)+1),""))</f>
        <v/>
      </c>
      <c r="EE42" s="1753" t="str" cm="1">
        <f t="array" ref="EE42">IF($CG42="","",IF(INDEX($D$6:$CB$53,MATCH($CG42,$B$6:$B$53,0),COLUMN()-COLUMN($CI$5)+1)&gt;0,INDEX($D$6:$CB$53,MATCH($CG42,$B$6:$B$53,0),COLUMN()-COLUMN($CI$5)+1),""))</f>
        <v/>
      </c>
      <c r="EF42" s="1753" t="str" cm="1">
        <f t="array" ref="EF42">IF($CG42="","",IF(INDEX($D$6:$CB$53,MATCH($CG42,$B$6:$B$53,0),COLUMN()-COLUMN($CI$5)+1)&gt;0,INDEX($D$6:$CB$53,MATCH($CG42,$B$6:$B$53,0),COLUMN()-COLUMN($CI$5)+1),""))</f>
        <v/>
      </c>
      <c r="EG42" s="1753" t="str" cm="1">
        <f t="array" ref="EG42">IF($CG42="","",IF(INDEX($D$6:$CB$53,MATCH($CG42,$B$6:$B$53,0),COLUMN()-COLUMN($CI$5)+1)&gt;0,INDEX($D$6:$CB$53,MATCH($CG42,$B$6:$B$53,0),COLUMN()-COLUMN($CI$5)+1),""))</f>
        <v/>
      </c>
      <c r="EH42" s="1753" t="str" cm="1">
        <f t="array" ref="EH42">IF($CG42="","",IF(INDEX($D$6:$CB$53,MATCH($CG42,$B$6:$B$53,0),COLUMN()-COLUMN($CI$5)+1)&gt;0,INDEX($D$6:$CB$53,MATCH($CG42,$B$6:$B$53,0),COLUMN()-COLUMN($CI$5)+1),""))</f>
        <v/>
      </c>
      <c r="EI42" s="1753" t="str" cm="1">
        <f t="array" ref="EI42">IF($CG42="","",IF(INDEX($D$6:$CB$53,MATCH($CG42,$B$6:$B$53,0),COLUMN()-COLUMN($CI$5)+1)&gt;0,INDEX($D$6:$CB$53,MATCH($CG42,$B$6:$B$53,0),COLUMN()-COLUMN($CI$5)+1),""))</f>
        <v/>
      </c>
      <c r="EJ42" s="1753" t="str" cm="1">
        <f t="array" ref="EJ42">IF($CG42="","",IF(INDEX($D$6:$CB$53,MATCH($CG42,$B$6:$B$53,0),COLUMN()-COLUMN($CI$5)+1)&gt;0,INDEX($D$6:$CB$53,MATCH($CG42,$B$6:$B$53,0),COLUMN()-COLUMN($CI$5)+1),""))</f>
        <v/>
      </c>
      <c r="EK42" s="1753" t="str" cm="1">
        <f t="array" ref="EK42">IF($CG42="","",IF(INDEX($D$6:$CB$53,MATCH($CG42,$B$6:$B$53,0),COLUMN()-COLUMN($CI$5)+1)&gt;0,INDEX($D$6:$CB$53,MATCH($CG42,$B$6:$B$53,0),COLUMN()-COLUMN($CI$5)+1),""))</f>
        <v/>
      </c>
      <c r="EL42" s="1753" t="str" cm="1">
        <f t="array" ref="EL42">IF($CG42="","",IF(INDEX($D$6:$CB$53,MATCH($CG42,$B$6:$B$53,0),COLUMN()-COLUMN($CI$5)+1)&gt;0,INDEX($D$6:$CB$53,MATCH($CG42,$B$6:$B$53,0),COLUMN()-COLUMN($CI$5)+1),""))</f>
        <v/>
      </c>
      <c r="EM42" s="1753" t="str" cm="1">
        <f t="array" ref="EM42">IF($CG42="","",IF(INDEX($D$6:$CB$53,MATCH($CG42,$B$6:$B$53,0),COLUMN()-COLUMN($CI$5)+1)&gt;0,INDEX($D$6:$CB$53,MATCH($CG42,$B$6:$B$53,0),COLUMN()-COLUMN($CI$5)+1),""))</f>
        <v/>
      </c>
      <c r="EN42" s="1753" t="str" cm="1">
        <f t="array" ref="EN42">IF($CG42="","",IF(INDEX($D$6:$CB$53,MATCH($CG42,$B$6:$B$53,0),COLUMN()-COLUMN($CI$5)+1)&gt;0,INDEX($D$6:$CB$53,MATCH($CG42,$B$6:$B$53,0),COLUMN()-COLUMN($CI$5)+1),""))</f>
        <v/>
      </c>
      <c r="EO42" s="1753" t="str" cm="1">
        <f t="array" ref="EO42">IF($CG42="","",IF(INDEX($D$6:$CB$53,MATCH($CG42,$B$6:$B$53,0),COLUMN()-COLUMN($CI$5)+1)&gt;0,INDEX($D$6:$CB$53,MATCH($CG42,$B$6:$B$53,0),COLUMN()-COLUMN($CI$5)+1),""))</f>
        <v/>
      </c>
      <c r="EP42" s="1753" t="str" cm="1">
        <f t="array" ref="EP42">IF($CG42="","",IF(INDEX($D$6:$CB$53,MATCH($CG42,$B$6:$B$53,0),COLUMN()-COLUMN($CI$5)+1)&gt;0,INDEX($D$6:$CB$53,MATCH($CG42,$B$6:$B$53,0),COLUMN()-COLUMN($CI$5)+1),""))</f>
        <v/>
      </c>
      <c r="EQ42" s="1753" t="str" cm="1">
        <f t="array" ref="EQ42">IF($CG42="","",IF(INDEX($D$6:$CB$53,MATCH($CG42,$B$6:$B$53,0),COLUMN()-COLUMN($CI$5)+1)&gt;0,INDEX($D$6:$CB$53,MATCH($CG42,$B$6:$B$53,0),COLUMN()-COLUMN($CI$5)+1),""))</f>
        <v/>
      </c>
      <c r="ER42" s="1753" t="str" cm="1">
        <f t="array" ref="ER42">IF($CG42="","",IF(INDEX($D$6:$CB$53,MATCH($CG42,$B$6:$B$53,0),COLUMN()-COLUMN($CI$5)+1)&gt;0,INDEX($D$6:$CB$53,MATCH($CG42,$B$6:$B$53,0),COLUMN()-COLUMN($CI$5)+1),""))</f>
        <v/>
      </c>
      <c r="ES42" s="1753" t="str" cm="1">
        <f t="array" ref="ES42">IF($CG42="","",IF(INDEX($D$6:$CB$53,MATCH($CG42,$B$6:$B$53,0),COLUMN()-COLUMN($CI$5)+1)&gt;0,INDEX($D$6:$CB$53,MATCH($CG42,$B$6:$B$53,0),COLUMN()-COLUMN($CI$5)+1),""))</f>
        <v/>
      </c>
      <c r="ET42" s="1753" t="str" cm="1">
        <f t="array" ref="ET42">IF($CG42="","",IF(INDEX($D$6:$CB$53,MATCH($CG42,$B$6:$B$53,0),COLUMN()-COLUMN($CI$5)+1)&gt;0,INDEX($D$6:$CB$53,MATCH($CG42,$B$6:$B$53,0),COLUMN()-COLUMN($CI$5)+1),""))</f>
        <v/>
      </c>
      <c r="EU42" s="1753" t="str" cm="1">
        <f t="array" ref="EU42">IF($CG42="","",IF(INDEX($D$6:$CB$53,MATCH($CG42,$B$6:$B$53,0),COLUMN()-COLUMN($CI$5)+1)&gt;0,INDEX($D$6:$CB$53,MATCH($CG42,$B$6:$B$53,0),COLUMN()-COLUMN($CI$5)+1),""))</f>
        <v/>
      </c>
      <c r="EV42" s="1753" t="str" cm="1">
        <f t="array" ref="EV42">IF($CG42="","",IF(INDEX($D$6:$CB$53,MATCH($CG42,$B$6:$B$53,0),COLUMN()-COLUMN($CI$5)+1)&gt;0,INDEX($D$6:$CB$53,MATCH($CG42,$B$6:$B$53,0),COLUMN()-COLUMN($CI$5)+1),""))</f>
        <v/>
      </c>
      <c r="EW42" s="1753" t="str" cm="1">
        <f t="array" ref="EW42">IF($CG42="","",IF(INDEX($D$6:$CB$53,MATCH($CG42,$B$6:$B$53,0),COLUMN()-COLUMN($CI$5)+1)&gt;0,INDEX($D$6:$CB$53,MATCH($CG42,$B$6:$B$53,0),COLUMN()-COLUMN($CI$5)+1),""))</f>
        <v/>
      </c>
      <c r="EX42" s="1753" t="str" cm="1">
        <f t="array" ref="EX42">IF($CG42="","",IF(INDEX($D$6:$CB$53,MATCH($CG42,$B$6:$B$53,0),COLUMN()-COLUMN($CI$5)+1)&gt;0,INDEX($D$6:$CB$53,MATCH($CG42,$B$6:$B$53,0),COLUMN()-COLUMN($CI$5)+1),""))</f>
        <v/>
      </c>
      <c r="EY42" s="1753" t="str" cm="1">
        <f t="array" ref="EY42">IF($CG42="","",IF(INDEX($D$6:$CB$53,MATCH($CG42,$B$6:$B$53,0),COLUMN()-COLUMN($CI$5)+1)&gt;0,INDEX($D$6:$CB$53,MATCH($CG42,$B$6:$B$53,0),COLUMN()-COLUMN($CI$5)+1),""))</f>
        <v/>
      </c>
      <c r="EZ42" s="1753" t="str" cm="1">
        <f t="array" ref="EZ42">IF($CG42="","",IF(INDEX($D$6:$CB$53,MATCH($CG42,$B$6:$B$53,0),COLUMN()-COLUMN($CI$5)+1)&gt;0,INDEX($D$6:$CB$53,MATCH($CG42,$B$6:$B$53,0),COLUMN()-COLUMN($CI$5)+1),""))</f>
        <v/>
      </c>
      <c r="FA42" s="1753" t="str" cm="1">
        <f t="array" ref="FA42">IF($CG42="","",IF(INDEX($D$6:$CB$53,MATCH($CG42,$B$6:$B$53,0),COLUMN()-COLUMN($CI$5)+1)&gt;0,INDEX($D$6:$CB$53,MATCH($CG42,$B$6:$B$53,0),COLUMN()-COLUMN($CI$5)+1),""))</f>
        <v/>
      </c>
      <c r="FB42" s="1753" t="str" cm="1">
        <f t="array" ref="FB42">IF($CG42="","",IF(INDEX($D$6:$CB$53,MATCH($CG42,$B$6:$B$53,0),COLUMN()-COLUMN($CI$5)+1)&gt;0,INDEX($D$6:$CB$53,MATCH($CG42,$B$6:$B$53,0),COLUMN()-COLUMN($CI$5)+1),""))</f>
        <v/>
      </c>
      <c r="FC42" s="1753" t="str" cm="1">
        <f t="array" ref="FC42">IF($CG42="","",IF(INDEX($D$6:$CB$53,MATCH($CG42,$B$6:$B$53,0),COLUMN()-COLUMN($CI$5)+1)&gt;0,INDEX($D$6:$CB$53,MATCH($CG42,$B$6:$B$53,0),COLUMN()-COLUMN($CI$5)+1),""))</f>
        <v/>
      </c>
      <c r="FD42" s="1753" t="str" cm="1">
        <f t="array" ref="FD42">IF($CG42="","",IF(INDEX($D$6:$CB$53,MATCH($CG42,$B$6:$B$53,0),COLUMN()-COLUMN($CI$5)+1)&gt;0,INDEX($D$6:$CB$53,MATCH($CG42,$B$6:$B$53,0),COLUMN()-COLUMN($CI$5)+1),""))</f>
        <v/>
      </c>
      <c r="FE42" s="1753" t="str" cm="1">
        <f t="array" ref="FE42">IF($CG42="","",IF(INDEX($D$6:$CB$53,MATCH($CG42,$B$6:$B$53,0),COLUMN()-COLUMN($CI$5)+1)&gt;0,INDEX($D$6:$CB$53,MATCH($CG42,$B$6:$B$53,0),COLUMN()-COLUMN($CI$5)+1),""))</f>
        <v/>
      </c>
      <c r="FF42" s="1753" t="str" cm="1">
        <f t="array" ref="FF42">IF($CG42="","",IF(INDEX($D$6:$CB$53,MATCH($CG42,$B$6:$B$53,0),COLUMN()-COLUMN($CI$5)+1)&gt;0,INDEX($D$6:$CB$53,MATCH($CG42,$B$6:$B$53,0),COLUMN()-COLUMN($CI$5)+1),""))</f>
        <v/>
      </c>
      <c r="FG42" s="1753" t="str" cm="1">
        <f t="array" ref="FG42">IF($CG42="","",IF(INDEX($D$6:$CB$53,MATCH($CG42,$B$6:$B$53,0),COLUMN()-COLUMN($CI$5)+1)&gt;0,INDEX($D$6:$CB$53,MATCH($CG42,$B$6:$B$53,0),COLUMN()-COLUMN($CI$5)+1),""))</f>
        <v/>
      </c>
      <c r="FH42" s="1753" t="str">
        <f t="shared" si="7"/>
        <v/>
      </c>
      <c r="FI42" s="1753" t="str">
        <f t="shared" si="8"/>
        <v/>
      </c>
      <c r="FJ42" s="1753" t="str">
        <f t="shared" si="9"/>
        <v/>
      </c>
      <c r="FK42" s="1753"/>
    </row>
    <row r="43" spans="1:167" ht="15.75" customHeight="1">
      <c r="A43" s="1220"/>
      <c r="B43" s="1278">
        <f>+PP!B61</f>
        <v>38</v>
      </c>
      <c r="C43" s="1279" t="str">
        <f>+PP!C61</f>
        <v>TENTACULO C/B C/V SR 300-500 g/pza (SUCIO)</v>
      </c>
      <c r="D43" s="1421"/>
      <c r="E43" s="1422"/>
      <c r="F43" s="1422"/>
      <c r="G43" s="1422"/>
      <c r="H43" s="1422"/>
      <c r="I43" s="1422"/>
      <c r="J43" s="1422"/>
      <c r="K43" s="1422"/>
      <c r="L43" s="1422"/>
      <c r="M43" s="1422"/>
      <c r="N43" s="1405"/>
      <c r="O43" s="1405"/>
      <c r="P43" s="1405"/>
      <c r="Q43" s="1405"/>
      <c r="R43" s="1405"/>
      <c r="S43" s="1405"/>
      <c r="T43" s="1405"/>
      <c r="U43" s="1405"/>
      <c r="V43" s="1405"/>
      <c r="W43" s="1405"/>
      <c r="X43" s="1405"/>
      <c r="Y43" s="1405"/>
      <c r="Z43" s="1405"/>
      <c r="AA43" s="1422"/>
      <c r="AB43" s="1422"/>
      <c r="AC43" s="1422"/>
      <c r="AD43" s="1422"/>
      <c r="AE43" s="1422"/>
      <c r="AF43" s="1422"/>
      <c r="AG43" s="1422"/>
      <c r="AH43" s="1235"/>
      <c r="AI43" s="1235"/>
      <c r="AJ43" s="1235"/>
      <c r="AK43" s="1235"/>
      <c r="AL43" s="1235"/>
      <c r="AM43" s="1235"/>
      <c r="AN43" s="1235"/>
      <c r="AO43" s="1235"/>
      <c r="AP43" s="1218"/>
      <c r="AQ43" s="1218"/>
      <c r="AR43" s="1218"/>
      <c r="AS43" s="1218"/>
      <c r="AT43" s="1218"/>
      <c r="AU43" s="1218"/>
      <c r="AV43" s="1218"/>
      <c r="AW43" s="1218"/>
      <c r="AX43" s="1218"/>
      <c r="AY43" s="1218"/>
      <c r="AZ43" s="1218"/>
      <c r="BA43" s="1218"/>
      <c r="BB43" s="1218"/>
      <c r="BC43" s="1218"/>
      <c r="BD43" s="1218"/>
      <c r="BE43" s="1218"/>
      <c r="BF43" s="1218"/>
      <c r="BG43" s="1218"/>
      <c r="BH43" s="1218"/>
      <c r="BI43" s="1218"/>
      <c r="BJ43" s="1218"/>
      <c r="BK43" s="1218"/>
      <c r="BL43" s="1218"/>
      <c r="BM43" s="1218"/>
      <c r="BN43" s="1218"/>
      <c r="BO43" s="1218"/>
      <c r="BP43" s="1218"/>
      <c r="BQ43" s="1218"/>
      <c r="BR43" s="1557"/>
      <c r="BS43" s="1557"/>
      <c r="BT43" s="1557"/>
      <c r="BU43" s="1557"/>
      <c r="BV43" s="1557"/>
      <c r="BW43" s="1557"/>
      <c r="BX43" s="1557"/>
      <c r="BY43" s="1557"/>
      <c r="BZ43" s="1557"/>
      <c r="CA43" s="1557"/>
      <c r="CB43" s="1564"/>
      <c r="CC43" s="1550">
        <f t="shared" si="0"/>
        <v>0</v>
      </c>
      <c r="CD43" s="1236">
        <f t="shared" si="1"/>
        <v>0</v>
      </c>
      <c r="CE43" s="1237">
        <f t="shared" si="2"/>
        <v>0</v>
      </c>
      <c r="CF43" s="1220"/>
      <c r="CG43" s="1751" t="str" cm="1">
        <f t="array" ref="CG43">IFERROR(INDEX($B$6:$B$53,_xlfn.AGGREGATE(15,6,(ROW($B$6:$B$53)-ROW($B$6)+1)/(MMULT(--($D$6:$CB$53&gt;0),TRANSPOSE(COLUMN($D$6:$CB$6)^0))&gt;0),ROWS($CG$6:CG43))),"")</f>
        <v/>
      </c>
      <c r="CH43" s="1752" t="str">
        <f t="shared" si="3"/>
        <v/>
      </c>
      <c r="CI43" s="1753" t="str" cm="1">
        <f t="array" ref="CI43">IF($CG43="","",IF(INDEX($D$6:$CB$53,MATCH($CG43,$B$6:$B$53,0),COLUMN()-COLUMN($CI$5)+1)&gt;0,INDEX($D$6:$CB$53,MATCH($CG43,$B$6:$B$53,0),COLUMN()-COLUMN($CI$5)+1),""))</f>
        <v/>
      </c>
      <c r="CJ43" s="1753" t="str" cm="1">
        <f t="array" ref="CJ43">IF($CG43="","",IF(INDEX($D$6:$CB$53,MATCH($CG43,$B$6:$B$53,0),COLUMN()-COLUMN($CI$5)+1)&gt;0,INDEX($D$6:$CB$53,MATCH($CG43,$B$6:$B$53,0),COLUMN()-COLUMN($CI$5)+1),""))</f>
        <v/>
      </c>
      <c r="CK43" s="1753" t="str" cm="1">
        <f t="array" ref="CK43">IF($CG43="","",IF(INDEX($D$6:$CB$53,MATCH($CG43,$B$6:$B$53,0),COLUMN()-COLUMN($CI$5)+1)&gt;0,INDEX($D$6:$CB$53,MATCH($CG43,$B$6:$B$53,0),COLUMN()-COLUMN($CI$5)+1),""))</f>
        <v/>
      </c>
      <c r="CL43" s="1753" t="str" cm="1">
        <f t="array" ref="CL43">IF($CG43="","",IF(INDEX($D$6:$CB$53,MATCH($CG43,$B$6:$B$53,0),COLUMN()-COLUMN($CI$5)+1)&gt;0,INDEX($D$6:$CB$53,MATCH($CG43,$B$6:$B$53,0),COLUMN()-COLUMN($CI$5)+1),""))</f>
        <v/>
      </c>
      <c r="CM43" s="1753" t="str" cm="1">
        <f t="array" ref="CM43">IF($CG43="","",IF(INDEX($D$6:$CB$53,MATCH($CG43,$B$6:$B$53,0),COLUMN()-COLUMN($CI$5)+1)&gt;0,INDEX($D$6:$CB$53,MATCH($CG43,$B$6:$B$53,0),COLUMN()-COLUMN($CI$5)+1),""))</f>
        <v/>
      </c>
      <c r="CN43" s="1753" t="str" cm="1">
        <f t="array" ref="CN43">IF($CG43="","",IF(INDEX($D$6:$CB$53,MATCH($CG43,$B$6:$B$53,0),COLUMN()-COLUMN($CI$5)+1)&gt;0,INDEX($D$6:$CB$53,MATCH($CG43,$B$6:$B$53,0),COLUMN()-COLUMN($CI$5)+1),""))</f>
        <v/>
      </c>
      <c r="CO43" s="1753" t="str" cm="1">
        <f t="array" ref="CO43">IF($CG43="","",IF(INDEX($D$6:$CB$53,MATCH($CG43,$B$6:$B$53,0),COLUMN()-COLUMN($CI$5)+1)&gt;0,INDEX($D$6:$CB$53,MATCH($CG43,$B$6:$B$53,0),COLUMN()-COLUMN($CI$5)+1),""))</f>
        <v/>
      </c>
      <c r="CP43" s="1753" t="str" cm="1">
        <f t="array" ref="CP43">IF($CG43="","",IF(INDEX($D$6:$CB$53,MATCH($CG43,$B$6:$B$53,0),COLUMN()-COLUMN($CI$5)+1)&gt;0,INDEX($D$6:$CB$53,MATCH($CG43,$B$6:$B$53,0),COLUMN()-COLUMN($CI$5)+1),""))</f>
        <v/>
      </c>
      <c r="CQ43" s="1753" t="str" cm="1">
        <f t="array" ref="CQ43">IF($CG43="","",IF(INDEX($D$6:$CB$53,MATCH($CG43,$B$6:$B$53,0),COLUMN()-COLUMN($CI$5)+1)&gt;0,INDEX($D$6:$CB$53,MATCH($CG43,$B$6:$B$53,0),COLUMN()-COLUMN($CI$5)+1),""))</f>
        <v/>
      </c>
      <c r="CR43" s="1753" t="str" cm="1">
        <f t="array" ref="CR43">IF($CG43="","",IF(INDEX($D$6:$CB$53,MATCH($CG43,$B$6:$B$53,0),COLUMN()-COLUMN($CI$5)+1)&gt;0,INDEX($D$6:$CB$53,MATCH($CG43,$B$6:$B$53,0),COLUMN()-COLUMN($CI$5)+1),""))</f>
        <v/>
      </c>
      <c r="CS43" s="1753" t="str" cm="1">
        <f t="array" ref="CS43">IF($CG43="","",IF(INDEX($D$6:$CB$53,MATCH($CG43,$B$6:$B$53,0),COLUMN()-COLUMN($CI$5)+1)&gt;0,INDEX($D$6:$CB$53,MATCH($CG43,$B$6:$B$53,0),COLUMN()-COLUMN($CI$5)+1),""))</f>
        <v/>
      </c>
      <c r="CT43" s="1753" t="str" cm="1">
        <f t="array" ref="CT43">IF($CG43="","",IF(INDEX($D$6:$CB$53,MATCH($CG43,$B$6:$B$53,0),COLUMN()-COLUMN($CI$5)+1)&gt;0,INDEX($D$6:$CB$53,MATCH($CG43,$B$6:$B$53,0),COLUMN()-COLUMN($CI$5)+1),""))</f>
        <v/>
      </c>
      <c r="CU43" s="1753" t="str" cm="1">
        <f t="array" ref="CU43">IF($CG43="","",IF(INDEX($D$6:$CB$53,MATCH($CG43,$B$6:$B$53,0),COLUMN()-COLUMN($CI$5)+1)&gt;0,INDEX($D$6:$CB$53,MATCH($CG43,$B$6:$B$53,0),COLUMN()-COLUMN($CI$5)+1),""))</f>
        <v/>
      </c>
      <c r="CV43" s="1753" t="str" cm="1">
        <f t="array" ref="CV43">IF($CG43="","",IF(INDEX($D$6:$CB$53,MATCH($CG43,$B$6:$B$53,0),COLUMN()-COLUMN($CI$5)+1)&gt;0,INDEX($D$6:$CB$53,MATCH($CG43,$B$6:$B$53,0),COLUMN()-COLUMN($CI$5)+1),""))</f>
        <v/>
      </c>
      <c r="CW43" s="1753" t="str" cm="1">
        <f t="array" ref="CW43">IF($CG43="","",IF(INDEX($D$6:$CB$53,MATCH($CG43,$B$6:$B$53,0),COLUMN()-COLUMN($CI$5)+1)&gt;0,INDEX($D$6:$CB$53,MATCH($CG43,$B$6:$B$53,0),COLUMN()-COLUMN($CI$5)+1),""))</f>
        <v/>
      </c>
      <c r="CX43" s="1753" t="str" cm="1">
        <f t="array" ref="CX43">IF($CG43="","",IF(INDEX($D$6:$CB$53,MATCH($CG43,$B$6:$B$53,0),COLUMN()-COLUMN($CI$5)+1)&gt;0,INDEX($D$6:$CB$53,MATCH($CG43,$B$6:$B$53,0),COLUMN()-COLUMN($CI$5)+1),""))</f>
        <v/>
      </c>
      <c r="CY43" s="1753" t="str" cm="1">
        <f t="array" ref="CY43">IF($CG43="","",IF(INDEX($D$6:$CB$53,MATCH($CG43,$B$6:$B$53,0),COLUMN()-COLUMN($CI$5)+1)&gt;0,INDEX($D$6:$CB$53,MATCH($CG43,$B$6:$B$53,0),COLUMN()-COLUMN($CI$5)+1),""))</f>
        <v/>
      </c>
      <c r="CZ43" s="1753" t="str" cm="1">
        <f t="array" ref="CZ43">IF($CG43="","",IF(INDEX($D$6:$CB$53,MATCH($CG43,$B$6:$B$53,0),COLUMN()-COLUMN($CI$5)+1)&gt;0,INDEX($D$6:$CB$53,MATCH($CG43,$B$6:$B$53,0),COLUMN()-COLUMN($CI$5)+1),""))</f>
        <v/>
      </c>
      <c r="DA43" s="1753" t="str" cm="1">
        <f t="array" ref="DA43">IF($CG43="","",IF(INDEX($D$6:$CB$53,MATCH($CG43,$B$6:$B$53,0),COLUMN()-COLUMN($CI$5)+1)&gt;0,INDEX($D$6:$CB$53,MATCH($CG43,$B$6:$B$53,0),COLUMN()-COLUMN($CI$5)+1),""))</f>
        <v/>
      </c>
      <c r="DB43" s="1753" t="str" cm="1">
        <f t="array" ref="DB43">IF($CG43="","",IF(INDEX($D$6:$CB$53,MATCH($CG43,$B$6:$B$53,0),COLUMN()-COLUMN($CI$5)+1)&gt;0,INDEX($D$6:$CB$53,MATCH($CG43,$B$6:$B$53,0),COLUMN()-COLUMN($CI$5)+1),""))</f>
        <v/>
      </c>
      <c r="DC43" s="1753" t="str" cm="1">
        <f t="array" ref="DC43">IF($CG43="","",IF(INDEX($D$6:$CB$53,MATCH($CG43,$B$6:$B$53,0),COLUMN()-COLUMN($CI$5)+1)&gt;0,INDEX($D$6:$CB$53,MATCH($CG43,$B$6:$B$53,0),COLUMN()-COLUMN($CI$5)+1),""))</f>
        <v/>
      </c>
      <c r="DD43" s="1753" t="str" cm="1">
        <f t="array" ref="DD43">IF($CG43="","",IF(INDEX($D$6:$CB$53,MATCH($CG43,$B$6:$B$53,0),COLUMN()-COLUMN($CI$5)+1)&gt;0,INDEX($D$6:$CB$53,MATCH($CG43,$B$6:$B$53,0),COLUMN()-COLUMN($CI$5)+1),""))</f>
        <v/>
      </c>
      <c r="DE43" s="1753" t="str" cm="1">
        <f t="array" ref="DE43">IF($CG43="","",IF(INDEX($D$6:$CB$53,MATCH($CG43,$B$6:$B$53,0),COLUMN()-COLUMN($CI$5)+1)&gt;0,INDEX($D$6:$CB$53,MATCH($CG43,$B$6:$B$53,0),COLUMN()-COLUMN($CI$5)+1),""))</f>
        <v/>
      </c>
      <c r="DF43" s="1753" t="str" cm="1">
        <f t="array" ref="DF43">IF($CG43="","",IF(INDEX($D$6:$CB$53,MATCH($CG43,$B$6:$B$53,0),COLUMN()-COLUMN($CI$5)+1)&gt;0,INDEX($D$6:$CB$53,MATCH($CG43,$B$6:$B$53,0),COLUMN()-COLUMN($CI$5)+1),""))</f>
        <v/>
      </c>
      <c r="DG43" s="1753" t="str" cm="1">
        <f t="array" ref="DG43">IF($CG43="","",IF(INDEX($D$6:$CB$53,MATCH($CG43,$B$6:$B$53,0),COLUMN()-COLUMN($CI$5)+1)&gt;0,INDEX($D$6:$CB$53,MATCH($CG43,$B$6:$B$53,0),COLUMN()-COLUMN($CI$5)+1),""))</f>
        <v/>
      </c>
      <c r="DH43" s="1753" t="str" cm="1">
        <f t="array" ref="DH43">IF($CG43="","",IF(INDEX($D$6:$CB$53,MATCH($CG43,$B$6:$B$53,0),COLUMN()-COLUMN($CI$5)+1)&gt;0,INDEX($D$6:$CB$53,MATCH($CG43,$B$6:$B$53,0),COLUMN()-COLUMN($CI$5)+1),""))</f>
        <v/>
      </c>
      <c r="DI43" s="1753" t="str" cm="1">
        <f t="array" ref="DI43">IF($CG43="","",IF(INDEX($D$6:$CB$53,MATCH($CG43,$B$6:$B$53,0),COLUMN()-COLUMN($CI$5)+1)&gt;0,INDEX($D$6:$CB$53,MATCH($CG43,$B$6:$B$53,0),COLUMN()-COLUMN($CI$5)+1),""))</f>
        <v/>
      </c>
      <c r="DJ43" s="1753" t="str" cm="1">
        <f t="array" ref="DJ43">IF($CG43="","",IF(INDEX($D$6:$CB$53,MATCH($CG43,$B$6:$B$53,0),COLUMN()-COLUMN($CI$5)+1)&gt;0,INDEX($D$6:$CB$53,MATCH($CG43,$B$6:$B$53,0),COLUMN()-COLUMN($CI$5)+1),""))</f>
        <v/>
      </c>
      <c r="DK43" s="1753" t="str" cm="1">
        <f t="array" ref="DK43">IF($CG43="","",IF(INDEX($D$6:$CB$53,MATCH($CG43,$B$6:$B$53,0),COLUMN()-COLUMN($CI$5)+1)&gt;0,INDEX($D$6:$CB$53,MATCH($CG43,$B$6:$B$53,0),COLUMN()-COLUMN($CI$5)+1),""))</f>
        <v/>
      </c>
      <c r="DL43" s="1753" t="str" cm="1">
        <f t="array" ref="DL43">IF($CG43="","",IF(INDEX($D$6:$CB$53,MATCH($CG43,$B$6:$B$53,0),COLUMN()-COLUMN($CI$5)+1)&gt;0,INDEX($D$6:$CB$53,MATCH($CG43,$B$6:$B$53,0),COLUMN()-COLUMN($CI$5)+1),""))</f>
        <v/>
      </c>
      <c r="DM43" s="1753" t="str" cm="1">
        <f t="array" ref="DM43">IF($CG43="","",IF(INDEX($D$6:$CB$53,MATCH($CG43,$B$6:$B$53,0),COLUMN()-COLUMN($CI$5)+1)&gt;0,INDEX($D$6:$CB$53,MATCH($CG43,$B$6:$B$53,0),COLUMN()-COLUMN($CI$5)+1),""))</f>
        <v/>
      </c>
      <c r="DN43" s="1753" t="str" cm="1">
        <f t="array" ref="DN43">IF($CG43="","",IF(INDEX($D$6:$CB$53,MATCH($CG43,$B$6:$B$53,0),COLUMN()-COLUMN($CI$5)+1)&gt;0,INDEX($D$6:$CB$53,MATCH($CG43,$B$6:$B$53,0),COLUMN()-COLUMN($CI$5)+1),""))</f>
        <v/>
      </c>
      <c r="DO43" s="1753" t="str" cm="1">
        <f t="array" ref="DO43">IF($CG43="","",IF(INDEX($D$6:$CB$53,MATCH($CG43,$B$6:$B$53,0),COLUMN()-COLUMN($CI$5)+1)&gt;0,INDEX($D$6:$CB$53,MATCH($CG43,$B$6:$B$53,0),COLUMN()-COLUMN($CI$5)+1),""))</f>
        <v/>
      </c>
      <c r="DP43" s="1753" t="str" cm="1">
        <f t="array" ref="DP43">IF($CG43="","",IF(INDEX($D$6:$CB$53,MATCH($CG43,$B$6:$B$53,0),COLUMN()-COLUMN($CI$5)+1)&gt;0,INDEX($D$6:$CB$53,MATCH($CG43,$B$6:$B$53,0),COLUMN()-COLUMN($CI$5)+1),""))</f>
        <v/>
      </c>
      <c r="DQ43" s="1753" t="str" cm="1">
        <f t="array" ref="DQ43">IF($CG43="","",IF(INDEX($D$6:$CB$53,MATCH($CG43,$B$6:$B$53,0),COLUMN()-COLUMN($CI$5)+1)&gt;0,INDEX($D$6:$CB$53,MATCH($CG43,$B$6:$B$53,0),COLUMN()-COLUMN($CI$5)+1),""))</f>
        <v/>
      </c>
      <c r="DR43" s="1753" t="str" cm="1">
        <f t="array" ref="DR43">IF($CG43="","",IF(INDEX($D$6:$CB$53,MATCH($CG43,$B$6:$B$53,0),COLUMN()-COLUMN($CI$5)+1)&gt;0,INDEX($D$6:$CB$53,MATCH($CG43,$B$6:$B$53,0),COLUMN()-COLUMN($CI$5)+1),""))</f>
        <v/>
      </c>
      <c r="DS43" s="1753" t="str" cm="1">
        <f t="array" ref="DS43">IF($CG43="","",IF(INDEX($D$6:$CB$53,MATCH($CG43,$B$6:$B$53,0),COLUMN()-COLUMN($CI$5)+1)&gt;0,INDEX($D$6:$CB$53,MATCH($CG43,$B$6:$B$53,0),COLUMN()-COLUMN($CI$5)+1),""))</f>
        <v/>
      </c>
      <c r="DT43" s="1753" t="str" cm="1">
        <f t="array" ref="DT43">IF($CG43="","",IF(INDEX($D$6:$CB$53,MATCH($CG43,$B$6:$B$53,0),COLUMN()-COLUMN($CI$5)+1)&gt;0,INDEX($D$6:$CB$53,MATCH($CG43,$B$6:$B$53,0),COLUMN()-COLUMN($CI$5)+1),""))</f>
        <v/>
      </c>
      <c r="DU43" s="1753" t="str" cm="1">
        <f t="array" ref="DU43">IF($CG43="","",IF(INDEX($D$6:$CB$53,MATCH($CG43,$B$6:$B$53,0),COLUMN()-COLUMN($CI$5)+1)&gt;0,INDEX($D$6:$CB$53,MATCH($CG43,$B$6:$B$53,0),COLUMN()-COLUMN($CI$5)+1),""))</f>
        <v/>
      </c>
      <c r="DV43" s="1753" t="str" cm="1">
        <f t="array" ref="DV43">IF($CG43="","",IF(INDEX($D$6:$CB$53,MATCH($CG43,$B$6:$B$53,0),COLUMN()-COLUMN($CI$5)+1)&gt;0,INDEX($D$6:$CB$53,MATCH($CG43,$B$6:$B$53,0),COLUMN()-COLUMN($CI$5)+1),""))</f>
        <v/>
      </c>
      <c r="DW43" s="1753" t="str" cm="1">
        <f t="array" ref="DW43">IF($CG43="","",IF(INDEX($D$6:$CB$53,MATCH($CG43,$B$6:$B$53,0),COLUMN()-COLUMN($CI$5)+1)&gt;0,INDEX($D$6:$CB$53,MATCH($CG43,$B$6:$B$53,0),COLUMN()-COLUMN($CI$5)+1),""))</f>
        <v/>
      </c>
      <c r="DX43" s="1753" t="str" cm="1">
        <f t="array" ref="DX43">IF($CG43="","",IF(INDEX($D$6:$CB$53,MATCH($CG43,$B$6:$B$53,0),COLUMN()-COLUMN($CI$5)+1)&gt;0,INDEX($D$6:$CB$53,MATCH($CG43,$B$6:$B$53,0),COLUMN()-COLUMN($CI$5)+1),""))</f>
        <v/>
      </c>
      <c r="DY43" s="1753" t="str" cm="1">
        <f t="array" ref="DY43">IF($CG43="","",IF(INDEX($D$6:$CB$53,MATCH($CG43,$B$6:$B$53,0),COLUMN()-COLUMN($CI$5)+1)&gt;0,INDEX($D$6:$CB$53,MATCH($CG43,$B$6:$B$53,0),COLUMN()-COLUMN($CI$5)+1),""))</f>
        <v/>
      </c>
      <c r="DZ43" s="1753" t="str" cm="1">
        <f t="array" ref="DZ43">IF($CG43="","",IF(INDEX($D$6:$CB$53,MATCH($CG43,$B$6:$B$53,0),COLUMN()-COLUMN($CI$5)+1)&gt;0,INDEX($D$6:$CB$53,MATCH($CG43,$B$6:$B$53,0),COLUMN()-COLUMN($CI$5)+1),""))</f>
        <v/>
      </c>
      <c r="EA43" s="1753" t="str" cm="1">
        <f t="array" ref="EA43">IF($CG43="","",IF(INDEX($D$6:$CB$53,MATCH($CG43,$B$6:$B$53,0),COLUMN()-COLUMN($CI$5)+1)&gt;0,INDEX($D$6:$CB$53,MATCH($CG43,$B$6:$B$53,0),COLUMN()-COLUMN($CI$5)+1),""))</f>
        <v/>
      </c>
      <c r="EB43" s="1753" t="str" cm="1">
        <f t="array" ref="EB43">IF($CG43="","",IF(INDEX($D$6:$CB$53,MATCH($CG43,$B$6:$B$53,0),COLUMN()-COLUMN($CI$5)+1)&gt;0,INDEX($D$6:$CB$53,MATCH($CG43,$B$6:$B$53,0),COLUMN()-COLUMN($CI$5)+1),""))</f>
        <v/>
      </c>
      <c r="EC43" s="1753" t="str" cm="1">
        <f t="array" ref="EC43">IF($CG43="","",IF(INDEX($D$6:$CB$53,MATCH($CG43,$B$6:$B$53,0),COLUMN()-COLUMN($CI$5)+1)&gt;0,INDEX($D$6:$CB$53,MATCH($CG43,$B$6:$B$53,0),COLUMN()-COLUMN($CI$5)+1),""))</f>
        <v/>
      </c>
      <c r="ED43" s="1753" t="str" cm="1">
        <f t="array" ref="ED43">IF($CG43="","",IF(INDEX($D$6:$CB$53,MATCH($CG43,$B$6:$B$53,0),COLUMN()-COLUMN($CI$5)+1)&gt;0,INDEX($D$6:$CB$53,MATCH($CG43,$B$6:$B$53,0),COLUMN()-COLUMN($CI$5)+1),""))</f>
        <v/>
      </c>
      <c r="EE43" s="1753" t="str" cm="1">
        <f t="array" ref="EE43">IF($CG43="","",IF(INDEX($D$6:$CB$53,MATCH($CG43,$B$6:$B$53,0),COLUMN()-COLUMN($CI$5)+1)&gt;0,INDEX($D$6:$CB$53,MATCH($CG43,$B$6:$B$53,0),COLUMN()-COLUMN($CI$5)+1),""))</f>
        <v/>
      </c>
      <c r="EF43" s="1753" t="str" cm="1">
        <f t="array" ref="EF43">IF($CG43="","",IF(INDEX($D$6:$CB$53,MATCH($CG43,$B$6:$B$53,0),COLUMN()-COLUMN($CI$5)+1)&gt;0,INDEX($D$6:$CB$53,MATCH($CG43,$B$6:$B$53,0),COLUMN()-COLUMN($CI$5)+1),""))</f>
        <v/>
      </c>
      <c r="EG43" s="1753" t="str" cm="1">
        <f t="array" ref="EG43">IF($CG43="","",IF(INDEX($D$6:$CB$53,MATCH($CG43,$B$6:$B$53,0),COLUMN()-COLUMN($CI$5)+1)&gt;0,INDEX($D$6:$CB$53,MATCH($CG43,$B$6:$B$53,0),COLUMN()-COLUMN($CI$5)+1),""))</f>
        <v/>
      </c>
      <c r="EH43" s="1753" t="str" cm="1">
        <f t="array" ref="EH43">IF($CG43="","",IF(INDEX($D$6:$CB$53,MATCH($CG43,$B$6:$B$53,0),COLUMN()-COLUMN($CI$5)+1)&gt;0,INDEX($D$6:$CB$53,MATCH($CG43,$B$6:$B$53,0),COLUMN()-COLUMN($CI$5)+1),""))</f>
        <v/>
      </c>
      <c r="EI43" s="1753" t="str" cm="1">
        <f t="array" ref="EI43">IF($CG43="","",IF(INDEX($D$6:$CB$53,MATCH($CG43,$B$6:$B$53,0),COLUMN()-COLUMN($CI$5)+1)&gt;0,INDEX($D$6:$CB$53,MATCH($CG43,$B$6:$B$53,0),COLUMN()-COLUMN($CI$5)+1),""))</f>
        <v/>
      </c>
      <c r="EJ43" s="1753" t="str" cm="1">
        <f t="array" ref="EJ43">IF($CG43="","",IF(INDEX($D$6:$CB$53,MATCH($CG43,$B$6:$B$53,0),COLUMN()-COLUMN($CI$5)+1)&gt;0,INDEX($D$6:$CB$53,MATCH($CG43,$B$6:$B$53,0),COLUMN()-COLUMN($CI$5)+1),""))</f>
        <v/>
      </c>
      <c r="EK43" s="1753" t="str" cm="1">
        <f t="array" ref="EK43">IF($CG43="","",IF(INDEX($D$6:$CB$53,MATCH($CG43,$B$6:$B$53,0),COLUMN()-COLUMN($CI$5)+1)&gt;0,INDEX($D$6:$CB$53,MATCH($CG43,$B$6:$B$53,0),COLUMN()-COLUMN($CI$5)+1),""))</f>
        <v/>
      </c>
      <c r="EL43" s="1753" t="str" cm="1">
        <f t="array" ref="EL43">IF($CG43="","",IF(INDEX($D$6:$CB$53,MATCH($CG43,$B$6:$B$53,0),COLUMN()-COLUMN($CI$5)+1)&gt;0,INDEX($D$6:$CB$53,MATCH($CG43,$B$6:$B$53,0),COLUMN()-COLUMN($CI$5)+1),""))</f>
        <v/>
      </c>
      <c r="EM43" s="1753" t="str" cm="1">
        <f t="array" ref="EM43">IF($CG43="","",IF(INDEX($D$6:$CB$53,MATCH($CG43,$B$6:$B$53,0),COLUMN()-COLUMN($CI$5)+1)&gt;0,INDEX($D$6:$CB$53,MATCH($CG43,$B$6:$B$53,0),COLUMN()-COLUMN($CI$5)+1),""))</f>
        <v/>
      </c>
      <c r="EN43" s="1753" t="str" cm="1">
        <f t="array" ref="EN43">IF($CG43="","",IF(INDEX($D$6:$CB$53,MATCH($CG43,$B$6:$B$53,0),COLUMN()-COLUMN($CI$5)+1)&gt;0,INDEX($D$6:$CB$53,MATCH($CG43,$B$6:$B$53,0),COLUMN()-COLUMN($CI$5)+1),""))</f>
        <v/>
      </c>
      <c r="EO43" s="1753" t="str" cm="1">
        <f t="array" ref="EO43">IF($CG43="","",IF(INDEX($D$6:$CB$53,MATCH($CG43,$B$6:$B$53,0),COLUMN()-COLUMN($CI$5)+1)&gt;0,INDEX($D$6:$CB$53,MATCH($CG43,$B$6:$B$53,0),COLUMN()-COLUMN($CI$5)+1),""))</f>
        <v/>
      </c>
      <c r="EP43" s="1753" t="str" cm="1">
        <f t="array" ref="EP43">IF($CG43="","",IF(INDEX($D$6:$CB$53,MATCH($CG43,$B$6:$B$53,0),COLUMN()-COLUMN($CI$5)+1)&gt;0,INDEX($D$6:$CB$53,MATCH($CG43,$B$6:$B$53,0),COLUMN()-COLUMN($CI$5)+1),""))</f>
        <v/>
      </c>
      <c r="EQ43" s="1753" t="str" cm="1">
        <f t="array" ref="EQ43">IF($CG43="","",IF(INDEX($D$6:$CB$53,MATCH($CG43,$B$6:$B$53,0),COLUMN()-COLUMN($CI$5)+1)&gt;0,INDEX($D$6:$CB$53,MATCH($CG43,$B$6:$B$53,0),COLUMN()-COLUMN($CI$5)+1),""))</f>
        <v/>
      </c>
      <c r="ER43" s="1753" t="str" cm="1">
        <f t="array" ref="ER43">IF($CG43="","",IF(INDEX($D$6:$CB$53,MATCH($CG43,$B$6:$B$53,0),COLUMN()-COLUMN($CI$5)+1)&gt;0,INDEX($D$6:$CB$53,MATCH($CG43,$B$6:$B$53,0),COLUMN()-COLUMN($CI$5)+1),""))</f>
        <v/>
      </c>
      <c r="ES43" s="1753" t="str" cm="1">
        <f t="array" ref="ES43">IF($CG43="","",IF(INDEX($D$6:$CB$53,MATCH($CG43,$B$6:$B$53,0),COLUMN()-COLUMN($CI$5)+1)&gt;0,INDEX($D$6:$CB$53,MATCH($CG43,$B$6:$B$53,0),COLUMN()-COLUMN($CI$5)+1),""))</f>
        <v/>
      </c>
      <c r="ET43" s="1753" t="str" cm="1">
        <f t="array" ref="ET43">IF($CG43="","",IF(INDEX($D$6:$CB$53,MATCH($CG43,$B$6:$B$53,0),COLUMN()-COLUMN($CI$5)+1)&gt;0,INDEX($D$6:$CB$53,MATCH($CG43,$B$6:$B$53,0),COLUMN()-COLUMN($CI$5)+1),""))</f>
        <v/>
      </c>
      <c r="EU43" s="1753" t="str" cm="1">
        <f t="array" ref="EU43">IF($CG43="","",IF(INDEX($D$6:$CB$53,MATCH($CG43,$B$6:$B$53,0),COLUMN()-COLUMN($CI$5)+1)&gt;0,INDEX($D$6:$CB$53,MATCH($CG43,$B$6:$B$53,0),COLUMN()-COLUMN($CI$5)+1),""))</f>
        <v/>
      </c>
      <c r="EV43" s="1753" t="str" cm="1">
        <f t="array" ref="EV43">IF($CG43="","",IF(INDEX($D$6:$CB$53,MATCH($CG43,$B$6:$B$53,0),COLUMN()-COLUMN($CI$5)+1)&gt;0,INDEX($D$6:$CB$53,MATCH($CG43,$B$6:$B$53,0),COLUMN()-COLUMN($CI$5)+1),""))</f>
        <v/>
      </c>
      <c r="EW43" s="1753" t="str" cm="1">
        <f t="array" ref="EW43">IF($CG43="","",IF(INDEX($D$6:$CB$53,MATCH($CG43,$B$6:$B$53,0),COLUMN()-COLUMN($CI$5)+1)&gt;0,INDEX($D$6:$CB$53,MATCH($CG43,$B$6:$B$53,0),COLUMN()-COLUMN($CI$5)+1),""))</f>
        <v/>
      </c>
      <c r="EX43" s="1753" t="str" cm="1">
        <f t="array" ref="EX43">IF($CG43="","",IF(INDEX($D$6:$CB$53,MATCH($CG43,$B$6:$B$53,0),COLUMN()-COLUMN($CI$5)+1)&gt;0,INDEX($D$6:$CB$53,MATCH($CG43,$B$6:$B$53,0),COLUMN()-COLUMN($CI$5)+1),""))</f>
        <v/>
      </c>
      <c r="EY43" s="1753" t="str" cm="1">
        <f t="array" ref="EY43">IF($CG43="","",IF(INDEX($D$6:$CB$53,MATCH($CG43,$B$6:$B$53,0),COLUMN()-COLUMN($CI$5)+1)&gt;0,INDEX($D$6:$CB$53,MATCH($CG43,$B$6:$B$53,0),COLUMN()-COLUMN($CI$5)+1),""))</f>
        <v/>
      </c>
      <c r="EZ43" s="1753" t="str" cm="1">
        <f t="array" ref="EZ43">IF($CG43="","",IF(INDEX($D$6:$CB$53,MATCH($CG43,$B$6:$B$53,0),COLUMN()-COLUMN($CI$5)+1)&gt;0,INDEX($D$6:$CB$53,MATCH($CG43,$B$6:$B$53,0),COLUMN()-COLUMN($CI$5)+1),""))</f>
        <v/>
      </c>
      <c r="FA43" s="1753" t="str" cm="1">
        <f t="array" ref="FA43">IF($CG43="","",IF(INDEX($D$6:$CB$53,MATCH($CG43,$B$6:$B$53,0),COLUMN()-COLUMN($CI$5)+1)&gt;0,INDEX($D$6:$CB$53,MATCH($CG43,$B$6:$B$53,0),COLUMN()-COLUMN($CI$5)+1),""))</f>
        <v/>
      </c>
      <c r="FB43" s="1753" t="str" cm="1">
        <f t="array" ref="FB43">IF($CG43="","",IF(INDEX($D$6:$CB$53,MATCH($CG43,$B$6:$B$53,0),COLUMN()-COLUMN($CI$5)+1)&gt;0,INDEX($D$6:$CB$53,MATCH($CG43,$B$6:$B$53,0),COLUMN()-COLUMN($CI$5)+1),""))</f>
        <v/>
      </c>
      <c r="FC43" s="1753" t="str" cm="1">
        <f t="array" ref="FC43">IF($CG43="","",IF(INDEX($D$6:$CB$53,MATCH($CG43,$B$6:$B$53,0),COLUMN()-COLUMN($CI$5)+1)&gt;0,INDEX($D$6:$CB$53,MATCH($CG43,$B$6:$B$53,0),COLUMN()-COLUMN($CI$5)+1),""))</f>
        <v/>
      </c>
      <c r="FD43" s="1753" t="str" cm="1">
        <f t="array" ref="FD43">IF($CG43="","",IF(INDEX($D$6:$CB$53,MATCH($CG43,$B$6:$B$53,0),COLUMN()-COLUMN($CI$5)+1)&gt;0,INDEX($D$6:$CB$53,MATCH($CG43,$B$6:$B$53,0),COLUMN()-COLUMN($CI$5)+1),""))</f>
        <v/>
      </c>
      <c r="FE43" s="1753" t="str" cm="1">
        <f t="array" ref="FE43">IF($CG43="","",IF(INDEX($D$6:$CB$53,MATCH($CG43,$B$6:$B$53,0),COLUMN()-COLUMN($CI$5)+1)&gt;0,INDEX($D$6:$CB$53,MATCH($CG43,$B$6:$B$53,0),COLUMN()-COLUMN($CI$5)+1),""))</f>
        <v/>
      </c>
      <c r="FF43" s="1753" t="str" cm="1">
        <f t="array" ref="FF43">IF($CG43="","",IF(INDEX($D$6:$CB$53,MATCH($CG43,$B$6:$B$53,0),COLUMN()-COLUMN($CI$5)+1)&gt;0,INDEX($D$6:$CB$53,MATCH($CG43,$B$6:$B$53,0),COLUMN()-COLUMN($CI$5)+1),""))</f>
        <v/>
      </c>
      <c r="FG43" s="1753" t="str" cm="1">
        <f t="array" ref="FG43">IF($CG43="","",IF(INDEX($D$6:$CB$53,MATCH($CG43,$B$6:$B$53,0),COLUMN()-COLUMN($CI$5)+1)&gt;0,INDEX($D$6:$CB$53,MATCH($CG43,$B$6:$B$53,0),COLUMN()-COLUMN($CI$5)+1),""))</f>
        <v/>
      </c>
      <c r="FH43" s="1753" t="str">
        <f t="shared" si="7"/>
        <v/>
      </c>
      <c r="FI43" s="1753" t="str">
        <f t="shared" si="8"/>
        <v/>
      </c>
      <c r="FJ43" s="1753" t="str">
        <f t="shared" si="9"/>
        <v/>
      </c>
      <c r="FK43" s="1753"/>
    </row>
    <row r="44" spans="1:167" ht="15.75" customHeight="1">
      <c r="A44" s="1220"/>
      <c r="B44" s="1278">
        <f>+PP!B62</f>
        <v>39</v>
      </c>
      <c r="C44" s="1279" t="str">
        <f>+PP!C62</f>
        <v>TENTACULO C/B S/V SR 100-300 g/pza</v>
      </c>
      <c r="D44" s="1404"/>
      <c r="E44" s="1405"/>
      <c r="F44" s="1405"/>
      <c r="G44" s="1405"/>
      <c r="H44" s="1405"/>
      <c r="I44" s="1405"/>
      <c r="J44" s="1405"/>
      <c r="K44" s="1405"/>
      <c r="L44" s="1405"/>
      <c r="M44" s="1405"/>
      <c r="N44" s="1405"/>
      <c r="O44" s="1405"/>
      <c r="P44" s="1405"/>
      <c r="Q44" s="1405"/>
      <c r="R44" s="1405"/>
      <c r="S44" s="1405"/>
      <c r="T44" s="1405"/>
      <c r="U44" s="1405"/>
      <c r="V44" s="1405"/>
      <c r="W44" s="1405"/>
      <c r="X44" s="1405"/>
      <c r="Y44" s="1405"/>
      <c r="Z44" s="1405"/>
      <c r="AA44" s="1405"/>
      <c r="AB44" s="1405"/>
      <c r="AC44" s="1405"/>
      <c r="AD44" s="1405"/>
      <c r="AE44" s="1405"/>
      <c r="AF44" s="1405"/>
      <c r="AG44" s="1405"/>
      <c r="AH44" s="1406"/>
      <c r="AI44" s="1235"/>
      <c r="AJ44" s="1235"/>
      <c r="AK44" s="1235"/>
      <c r="AL44" s="1235"/>
      <c r="AM44" s="1235"/>
      <c r="AN44" s="1235"/>
      <c r="AO44" s="1235"/>
      <c r="AP44" s="1218"/>
      <c r="AQ44" s="1218"/>
      <c r="AR44" s="1218"/>
      <c r="AS44" s="1218"/>
      <c r="AT44" s="1218"/>
      <c r="AU44" s="1218"/>
      <c r="AV44" s="1218"/>
      <c r="AW44" s="1218"/>
      <c r="AX44" s="1218"/>
      <c r="AY44" s="1218"/>
      <c r="AZ44" s="1218"/>
      <c r="BA44" s="1218"/>
      <c r="BB44" s="1218"/>
      <c r="BC44" s="1218"/>
      <c r="BD44" s="1218"/>
      <c r="BE44" s="1218"/>
      <c r="BF44" s="1218"/>
      <c r="BG44" s="1218"/>
      <c r="BH44" s="1218"/>
      <c r="BI44" s="1218"/>
      <c r="BJ44" s="1218"/>
      <c r="BK44" s="1218"/>
      <c r="BL44" s="1218"/>
      <c r="BM44" s="1218"/>
      <c r="BN44" s="1218"/>
      <c r="BO44" s="1218"/>
      <c r="BP44" s="1218"/>
      <c r="BQ44" s="1218"/>
      <c r="BR44" s="1557"/>
      <c r="BS44" s="1557"/>
      <c r="BT44" s="1557"/>
      <c r="BU44" s="1557"/>
      <c r="BV44" s="1557"/>
      <c r="BW44" s="1557"/>
      <c r="BX44" s="1557"/>
      <c r="BY44" s="1557"/>
      <c r="BZ44" s="1557"/>
      <c r="CA44" s="1557"/>
      <c r="CB44" s="1564"/>
      <c r="CC44" s="1550">
        <f t="shared" si="0"/>
        <v>0</v>
      </c>
      <c r="CD44" s="1236">
        <f t="shared" si="1"/>
        <v>0</v>
      </c>
      <c r="CE44" s="1237">
        <f t="shared" si="2"/>
        <v>0</v>
      </c>
      <c r="CF44" s="1220"/>
      <c r="CG44" s="1751" t="str" cm="1">
        <f t="array" ref="CG44">IFERROR(INDEX($B$6:$B$53,_xlfn.AGGREGATE(15,6,(ROW($B$6:$B$53)-ROW($B$6)+1)/(MMULT(--($D$6:$CB$53&gt;0),TRANSPOSE(COLUMN($D$6:$CB$6)^0))&gt;0),ROWS($CG$6:CG44))),"")</f>
        <v/>
      </c>
      <c r="CH44" s="1752" t="str">
        <f t="shared" si="3"/>
        <v/>
      </c>
      <c r="CI44" s="1753" t="str" cm="1">
        <f t="array" ref="CI44">IF($CG44="","",IF(INDEX($D$6:$CB$53,MATCH($CG44,$B$6:$B$53,0),COLUMN()-COLUMN($CI$5)+1)&gt;0,INDEX($D$6:$CB$53,MATCH($CG44,$B$6:$B$53,0),COLUMN()-COLUMN($CI$5)+1),""))</f>
        <v/>
      </c>
      <c r="CJ44" s="1753" t="str" cm="1">
        <f t="array" ref="CJ44">IF($CG44="","",IF(INDEX($D$6:$CB$53,MATCH($CG44,$B$6:$B$53,0),COLUMN()-COLUMN($CI$5)+1)&gt;0,INDEX($D$6:$CB$53,MATCH($CG44,$B$6:$B$53,0),COLUMN()-COLUMN($CI$5)+1),""))</f>
        <v/>
      </c>
      <c r="CK44" s="1753" t="str" cm="1">
        <f t="array" ref="CK44">IF($CG44="","",IF(INDEX($D$6:$CB$53,MATCH($CG44,$B$6:$B$53,0),COLUMN()-COLUMN($CI$5)+1)&gt;0,INDEX($D$6:$CB$53,MATCH($CG44,$B$6:$B$53,0),COLUMN()-COLUMN($CI$5)+1),""))</f>
        <v/>
      </c>
      <c r="CL44" s="1753" t="str" cm="1">
        <f t="array" ref="CL44">IF($CG44="","",IF(INDEX($D$6:$CB$53,MATCH($CG44,$B$6:$B$53,0),COLUMN()-COLUMN($CI$5)+1)&gt;0,INDEX($D$6:$CB$53,MATCH($CG44,$B$6:$B$53,0),COLUMN()-COLUMN($CI$5)+1),""))</f>
        <v/>
      </c>
      <c r="CM44" s="1753" t="str" cm="1">
        <f t="array" ref="CM44">IF($CG44="","",IF(INDEX($D$6:$CB$53,MATCH($CG44,$B$6:$B$53,0),COLUMN()-COLUMN($CI$5)+1)&gt;0,INDEX($D$6:$CB$53,MATCH($CG44,$B$6:$B$53,0),COLUMN()-COLUMN($CI$5)+1),""))</f>
        <v/>
      </c>
      <c r="CN44" s="1753" t="str" cm="1">
        <f t="array" ref="CN44">IF($CG44="","",IF(INDEX($D$6:$CB$53,MATCH($CG44,$B$6:$B$53,0),COLUMN()-COLUMN($CI$5)+1)&gt;0,INDEX($D$6:$CB$53,MATCH($CG44,$B$6:$B$53,0),COLUMN()-COLUMN($CI$5)+1),""))</f>
        <v/>
      </c>
      <c r="CO44" s="1753" t="str" cm="1">
        <f t="array" ref="CO44">IF($CG44="","",IF(INDEX($D$6:$CB$53,MATCH($CG44,$B$6:$B$53,0),COLUMN()-COLUMN($CI$5)+1)&gt;0,INDEX($D$6:$CB$53,MATCH($CG44,$B$6:$B$53,0),COLUMN()-COLUMN($CI$5)+1),""))</f>
        <v/>
      </c>
      <c r="CP44" s="1753" t="str" cm="1">
        <f t="array" ref="CP44">IF($CG44="","",IF(INDEX($D$6:$CB$53,MATCH($CG44,$B$6:$B$53,0),COLUMN()-COLUMN($CI$5)+1)&gt;0,INDEX($D$6:$CB$53,MATCH($CG44,$B$6:$B$53,0),COLUMN()-COLUMN($CI$5)+1),""))</f>
        <v/>
      </c>
      <c r="CQ44" s="1753" t="str" cm="1">
        <f t="array" ref="CQ44">IF($CG44="","",IF(INDEX($D$6:$CB$53,MATCH($CG44,$B$6:$B$53,0),COLUMN()-COLUMN($CI$5)+1)&gt;0,INDEX($D$6:$CB$53,MATCH($CG44,$B$6:$B$53,0),COLUMN()-COLUMN($CI$5)+1),""))</f>
        <v/>
      </c>
      <c r="CR44" s="1753" t="str" cm="1">
        <f t="array" ref="CR44">IF($CG44="","",IF(INDEX($D$6:$CB$53,MATCH($CG44,$B$6:$B$53,0),COLUMN()-COLUMN($CI$5)+1)&gt;0,INDEX($D$6:$CB$53,MATCH($CG44,$B$6:$B$53,0),COLUMN()-COLUMN($CI$5)+1),""))</f>
        <v/>
      </c>
      <c r="CS44" s="1753" t="str" cm="1">
        <f t="array" ref="CS44">IF($CG44="","",IF(INDEX($D$6:$CB$53,MATCH($CG44,$B$6:$B$53,0),COLUMN()-COLUMN($CI$5)+1)&gt;0,INDEX($D$6:$CB$53,MATCH($CG44,$B$6:$B$53,0),COLUMN()-COLUMN($CI$5)+1),""))</f>
        <v/>
      </c>
      <c r="CT44" s="1753" t="str" cm="1">
        <f t="array" ref="CT44">IF($CG44="","",IF(INDEX($D$6:$CB$53,MATCH($CG44,$B$6:$B$53,0),COLUMN()-COLUMN($CI$5)+1)&gt;0,INDEX($D$6:$CB$53,MATCH($CG44,$B$6:$B$53,0),COLUMN()-COLUMN($CI$5)+1),""))</f>
        <v/>
      </c>
      <c r="CU44" s="1753" t="str" cm="1">
        <f t="array" ref="CU44">IF($CG44="","",IF(INDEX($D$6:$CB$53,MATCH($CG44,$B$6:$B$53,0),COLUMN()-COLUMN($CI$5)+1)&gt;0,INDEX($D$6:$CB$53,MATCH($CG44,$B$6:$B$53,0),COLUMN()-COLUMN($CI$5)+1),""))</f>
        <v/>
      </c>
      <c r="CV44" s="1753" t="str" cm="1">
        <f t="array" ref="CV44">IF($CG44="","",IF(INDEX($D$6:$CB$53,MATCH($CG44,$B$6:$B$53,0),COLUMN()-COLUMN($CI$5)+1)&gt;0,INDEX($D$6:$CB$53,MATCH($CG44,$B$6:$B$53,0),COLUMN()-COLUMN($CI$5)+1),""))</f>
        <v/>
      </c>
      <c r="CW44" s="1753" t="str" cm="1">
        <f t="array" ref="CW44">IF($CG44="","",IF(INDEX($D$6:$CB$53,MATCH($CG44,$B$6:$B$53,0),COLUMN()-COLUMN($CI$5)+1)&gt;0,INDEX($D$6:$CB$53,MATCH($CG44,$B$6:$B$53,0),COLUMN()-COLUMN($CI$5)+1),""))</f>
        <v/>
      </c>
      <c r="CX44" s="1753" t="str" cm="1">
        <f t="array" ref="CX44">IF($CG44="","",IF(INDEX($D$6:$CB$53,MATCH($CG44,$B$6:$B$53,0),COLUMN()-COLUMN($CI$5)+1)&gt;0,INDEX($D$6:$CB$53,MATCH($CG44,$B$6:$B$53,0),COLUMN()-COLUMN($CI$5)+1),""))</f>
        <v/>
      </c>
      <c r="CY44" s="1753" t="str" cm="1">
        <f t="array" ref="CY44">IF($CG44="","",IF(INDEX($D$6:$CB$53,MATCH($CG44,$B$6:$B$53,0),COLUMN()-COLUMN($CI$5)+1)&gt;0,INDEX($D$6:$CB$53,MATCH($CG44,$B$6:$B$53,0),COLUMN()-COLUMN($CI$5)+1),""))</f>
        <v/>
      </c>
      <c r="CZ44" s="1753" t="str" cm="1">
        <f t="array" ref="CZ44">IF($CG44="","",IF(INDEX($D$6:$CB$53,MATCH($CG44,$B$6:$B$53,0),COLUMN()-COLUMN($CI$5)+1)&gt;0,INDEX($D$6:$CB$53,MATCH($CG44,$B$6:$B$53,0),COLUMN()-COLUMN($CI$5)+1),""))</f>
        <v/>
      </c>
      <c r="DA44" s="1753" t="str" cm="1">
        <f t="array" ref="DA44">IF($CG44="","",IF(INDEX($D$6:$CB$53,MATCH($CG44,$B$6:$B$53,0),COLUMN()-COLUMN($CI$5)+1)&gt;0,INDEX($D$6:$CB$53,MATCH($CG44,$B$6:$B$53,0),COLUMN()-COLUMN($CI$5)+1),""))</f>
        <v/>
      </c>
      <c r="DB44" s="1753" t="str" cm="1">
        <f t="array" ref="DB44">IF($CG44="","",IF(INDEX($D$6:$CB$53,MATCH($CG44,$B$6:$B$53,0),COLUMN()-COLUMN($CI$5)+1)&gt;0,INDEX($D$6:$CB$53,MATCH($CG44,$B$6:$B$53,0),COLUMN()-COLUMN($CI$5)+1),""))</f>
        <v/>
      </c>
      <c r="DC44" s="1753" t="str" cm="1">
        <f t="array" ref="DC44">IF($CG44="","",IF(INDEX($D$6:$CB$53,MATCH($CG44,$B$6:$B$53,0),COLUMN()-COLUMN($CI$5)+1)&gt;0,INDEX($D$6:$CB$53,MATCH($CG44,$B$6:$B$53,0),COLUMN()-COLUMN($CI$5)+1),""))</f>
        <v/>
      </c>
      <c r="DD44" s="1753" t="str" cm="1">
        <f t="array" ref="DD44">IF($CG44="","",IF(INDEX($D$6:$CB$53,MATCH($CG44,$B$6:$B$53,0),COLUMN()-COLUMN($CI$5)+1)&gt;0,INDEX($D$6:$CB$53,MATCH($CG44,$B$6:$B$53,0),COLUMN()-COLUMN($CI$5)+1),""))</f>
        <v/>
      </c>
      <c r="DE44" s="1753" t="str" cm="1">
        <f t="array" ref="DE44">IF($CG44="","",IF(INDEX($D$6:$CB$53,MATCH($CG44,$B$6:$B$53,0),COLUMN()-COLUMN($CI$5)+1)&gt;0,INDEX($D$6:$CB$53,MATCH($CG44,$B$6:$B$53,0),COLUMN()-COLUMN($CI$5)+1),""))</f>
        <v/>
      </c>
      <c r="DF44" s="1753" t="str" cm="1">
        <f t="array" ref="DF44">IF($CG44="","",IF(INDEX($D$6:$CB$53,MATCH($CG44,$B$6:$B$53,0),COLUMN()-COLUMN($CI$5)+1)&gt;0,INDEX($D$6:$CB$53,MATCH($CG44,$B$6:$B$53,0),COLUMN()-COLUMN($CI$5)+1),""))</f>
        <v/>
      </c>
      <c r="DG44" s="1753" t="str" cm="1">
        <f t="array" ref="DG44">IF($CG44="","",IF(INDEX($D$6:$CB$53,MATCH($CG44,$B$6:$B$53,0),COLUMN()-COLUMN($CI$5)+1)&gt;0,INDEX($D$6:$CB$53,MATCH($CG44,$B$6:$B$53,0),COLUMN()-COLUMN($CI$5)+1),""))</f>
        <v/>
      </c>
      <c r="DH44" s="1753" t="str" cm="1">
        <f t="array" ref="DH44">IF($CG44="","",IF(INDEX($D$6:$CB$53,MATCH($CG44,$B$6:$B$53,0),COLUMN()-COLUMN($CI$5)+1)&gt;0,INDEX($D$6:$CB$53,MATCH($CG44,$B$6:$B$53,0),COLUMN()-COLUMN($CI$5)+1),""))</f>
        <v/>
      </c>
      <c r="DI44" s="1753" t="str" cm="1">
        <f t="array" ref="DI44">IF($CG44="","",IF(INDEX($D$6:$CB$53,MATCH($CG44,$B$6:$B$53,0),COLUMN()-COLUMN($CI$5)+1)&gt;0,INDEX($D$6:$CB$53,MATCH($CG44,$B$6:$B$53,0),COLUMN()-COLUMN($CI$5)+1),""))</f>
        <v/>
      </c>
      <c r="DJ44" s="1753" t="str" cm="1">
        <f t="array" ref="DJ44">IF($CG44="","",IF(INDEX($D$6:$CB$53,MATCH($CG44,$B$6:$B$53,0),COLUMN()-COLUMN($CI$5)+1)&gt;0,INDEX($D$6:$CB$53,MATCH($CG44,$B$6:$B$53,0),COLUMN()-COLUMN($CI$5)+1),""))</f>
        <v/>
      </c>
      <c r="DK44" s="1753" t="str" cm="1">
        <f t="array" ref="DK44">IF($CG44="","",IF(INDEX($D$6:$CB$53,MATCH($CG44,$B$6:$B$53,0),COLUMN()-COLUMN($CI$5)+1)&gt;0,INDEX($D$6:$CB$53,MATCH($CG44,$B$6:$B$53,0),COLUMN()-COLUMN($CI$5)+1),""))</f>
        <v/>
      </c>
      <c r="DL44" s="1753" t="str" cm="1">
        <f t="array" ref="DL44">IF($CG44="","",IF(INDEX($D$6:$CB$53,MATCH($CG44,$B$6:$B$53,0),COLUMN()-COLUMN($CI$5)+1)&gt;0,INDEX($D$6:$CB$53,MATCH($CG44,$B$6:$B$53,0),COLUMN()-COLUMN($CI$5)+1),""))</f>
        <v/>
      </c>
      <c r="DM44" s="1753" t="str" cm="1">
        <f t="array" ref="DM44">IF($CG44="","",IF(INDEX($D$6:$CB$53,MATCH($CG44,$B$6:$B$53,0),COLUMN()-COLUMN($CI$5)+1)&gt;0,INDEX($D$6:$CB$53,MATCH($CG44,$B$6:$B$53,0),COLUMN()-COLUMN($CI$5)+1),""))</f>
        <v/>
      </c>
      <c r="DN44" s="1753" t="str" cm="1">
        <f t="array" ref="DN44">IF($CG44="","",IF(INDEX($D$6:$CB$53,MATCH($CG44,$B$6:$B$53,0),COLUMN()-COLUMN($CI$5)+1)&gt;0,INDEX($D$6:$CB$53,MATCH($CG44,$B$6:$B$53,0),COLUMN()-COLUMN($CI$5)+1),""))</f>
        <v/>
      </c>
      <c r="DO44" s="1753" t="str" cm="1">
        <f t="array" ref="DO44">IF($CG44="","",IF(INDEX($D$6:$CB$53,MATCH($CG44,$B$6:$B$53,0),COLUMN()-COLUMN($CI$5)+1)&gt;0,INDEX($D$6:$CB$53,MATCH($CG44,$B$6:$B$53,0),COLUMN()-COLUMN($CI$5)+1),""))</f>
        <v/>
      </c>
      <c r="DP44" s="1753" t="str" cm="1">
        <f t="array" ref="DP44">IF($CG44="","",IF(INDEX($D$6:$CB$53,MATCH($CG44,$B$6:$B$53,0),COLUMN()-COLUMN($CI$5)+1)&gt;0,INDEX($D$6:$CB$53,MATCH($CG44,$B$6:$B$53,0),COLUMN()-COLUMN($CI$5)+1),""))</f>
        <v/>
      </c>
      <c r="DQ44" s="1753" t="str" cm="1">
        <f t="array" ref="DQ44">IF($CG44="","",IF(INDEX($D$6:$CB$53,MATCH($CG44,$B$6:$B$53,0),COLUMN()-COLUMN($CI$5)+1)&gt;0,INDEX($D$6:$CB$53,MATCH($CG44,$B$6:$B$53,0),COLUMN()-COLUMN($CI$5)+1),""))</f>
        <v/>
      </c>
      <c r="DR44" s="1753" t="str" cm="1">
        <f t="array" ref="DR44">IF($CG44="","",IF(INDEX($D$6:$CB$53,MATCH($CG44,$B$6:$B$53,0),COLUMN()-COLUMN($CI$5)+1)&gt;0,INDEX($D$6:$CB$53,MATCH($CG44,$B$6:$B$53,0),COLUMN()-COLUMN($CI$5)+1),""))</f>
        <v/>
      </c>
      <c r="DS44" s="1753" t="str" cm="1">
        <f t="array" ref="DS44">IF($CG44="","",IF(INDEX($D$6:$CB$53,MATCH($CG44,$B$6:$B$53,0),COLUMN()-COLUMN($CI$5)+1)&gt;0,INDEX($D$6:$CB$53,MATCH($CG44,$B$6:$B$53,0),COLUMN()-COLUMN($CI$5)+1),""))</f>
        <v/>
      </c>
      <c r="DT44" s="1753" t="str" cm="1">
        <f t="array" ref="DT44">IF($CG44="","",IF(INDEX($D$6:$CB$53,MATCH($CG44,$B$6:$B$53,0),COLUMN()-COLUMN($CI$5)+1)&gt;0,INDEX($D$6:$CB$53,MATCH($CG44,$B$6:$B$53,0),COLUMN()-COLUMN($CI$5)+1),""))</f>
        <v/>
      </c>
      <c r="DU44" s="1753" t="str" cm="1">
        <f t="array" ref="DU44">IF($CG44="","",IF(INDEX($D$6:$CB$53,MATCH($CG44,$B$6:$B$53,0),COLUMN()-COLUMN($CI$5)+1)&gt;0,INDEX($D$6:$CB$53,MATCH($CG44,$B$6:$B$53,0),COLUMN()-COLUMN($CI$5)+1),""))</f>
        <v/>
      </c>
      <c r="DV44" s="1753" t="str" cm="1">
        <f t="array" ref="DV44">IF($CG44="","",IF(INDEX($D$6:$CB$53,MATCH($CG44,$B$6:$B$53,0),COLUMN()-COLUMN($CI$5)+1)&gt;0,INDEX($D$6:$CB$53,MATCH($CG44,$B$6:$B$53,0),COLUMN()-COLUMN($CI$5)+1),""))</f>
        <v/>
      </c>
      <c r="DW44" s="1753" t="str" cm="1">
        <f t="array" ref="DW44">IF($CG44="","",IF(INDEX($D$6:$CB$53,MATCH($CG44,$B$6:$B$53,0),COLUMN()-COLUMN($CI$5)+1)&gt;0,INDEX($D$6:$CB$53,MATCH($CG44,$B$6:$B$53,0),COLUMN()-COLUMN($CI$5)+1),""))</f>
        <v/>
      </c>
      <c r="DX44" s="1753" t="str" cm="1">
        <f t="array" ref="DX44">IF($CG44="","",IF(INDEX($D$6:$CB$53,MATCH($CG44,$B$6:$B$53,0),COLUMN()-COLUMN($CI$5)+1)&gt;0,INDEX($D$6:$CB$53,MATCH($CG44,$B$6:$B$53,0),COLUMN()-COLUMN($CI$5)+1),""))</f>
        <v/>
      </c>
      <c r="DY44" s="1753" t="str" cm="1">
        <f t="array" ref="DY44">IF($CG44="","",IF(INDEX($D$6:$CB$53,MATCH($CG44,$B$6:$B$53,0),COLUMN()-COLUMN($CI$5)+1)&gt;0,INDEX($D$6:$CB$53,MATCH($CG44,$B$6:$B$53,0),COLUMN()-COLUMN($CI$5)+1),""))</f>
        <v/>
      </c>
      <c r="DZ44" s="1753" t="str" cm="1">
        <f t="array" ref="DZ44">IF($CG44="","",IF(INDEX($D$6:$CB$53,MATCH($CG44,$B$6:$B$53,0),COLUMN()-COLUMN($CI$5)+1)&gt;0,INDEX($D$6:$CB$53,MATCH($CG44,$B$6:$B$53,0),COLUMN()-COLUMN($CI$5)+1),""))</f>
        <v/>
      </c>
      <c r="EA44" s="1753" t="str" cm="1">
        <f t="array" ref="EA44">IF($CG44="","",IF(INDEX($D$6:$CB$53,MATCH($CG44,$B$6:$B$53,0),COLUMN()-COLUMN($CI$5)+1)&gt;0,INDEX($D$6:$CB$53,MATCH($CG44,$B$6:$B$53,0),COLUMN()-COLUMN($CI$5)+1),""))</f>
        <v/>
      </c>
      <c r="EB44" s="1753" t="str" cm="1">
        <f t="array" ref="EB44">IF($CG44="","",IF(INDEX($D$6:$CB$53,MATCH($CG44,$B$6:$B$53,0),COLUMN()-COLUMN($CI$5)+1)&gt;0,INDEX($D$6:$CB$53,MATCH($CG44,$B$6:$B$53,0),COLUMN()-COLUMN($CI$5)+1),""))</f>
        <v/>
      </c>
      <c r="EC44" s="1753" t="str" cm="1">
        <f t="array" ref="EC44">IF($CG44="","",IF(INDEX($D$6:$CB$53,MATCH($CG44,$B$6:$B$53,0),COLUMN()-COLUMN($CI$5)+1)&gt;0,INDEX($D$6:$CB$53,MATCH($CG44,$B$6:$B$53,0),COLUMN()-COLUMN($CI$5)+1),""))</f>
        <v/>
      </c>
      <c r="ED44" s="1753" t="str" cm="1">
        <f t="array" ref="ED44">IF($CG44="","",IF(INDEX($D$6:$CB$53,MATCH($CG44,$B$6:$B$53,0),COLUMN()-COLUMN($CI$5)+1)&gt;0,INDEX($D$6:$CB$53,MATCH($CG44,$B$6:$B$53,0),COLUMN()-COLUMN($CI$5)+1),""))</f>
        <v/>
      </c>
      <c r="EE44" s="1753" t="str" cm="1">
        <f t="array" ref="EE44">IF($CG44="","",IF(INDEX($D$6:$CB$53,MATCH($CG44,$B$6:$B$53,0),COLUMN()-COLUMN($CI$5)+1)&gt;0,INDEX($D$6:$CB$53,MATCH($CG44,$B$6:$B$53,0),COLUMN()-COLUMN($CI$5)+1),""))</f>
        <v/>
      </c>
      <c r="EF44" s="1753" t="str" cm="1">
        <f t="array" ref="EF44">IF($CG44="","",IF(INDEX($D$6:$CB$53,MATCH($CG44,$B$6:$B$53,0),COLUMN()-COLUMN($CI$5)+1)&gt;0,INDEX($D$6:$CB$53,MATCH($CG44,$B$6:$B$53,0),COLUMN()-COLUMN($CI$5)+1),""))</f>
        <v/>
      </c>
      <c r="EG44" s="1753" t="str" cm="1">
        <f t="array" ref="EG44">IF($CG44="","",IF(INDEX($D$6:$CB$53,MATCH($CG44,$B$6:$B$53,0),COLUMN()-COLUMN($CI$5)+1)&gt;0,INDEX($D$6:$CB$53,MATCH($CG44,$B$6:$B$53,0),COLUMN()-COLUMN($CI$5)+1),""))</f>
        <v/>
      </c>
      <c r="EH44" s="1753" t="str" cm="1">
        <f t="array" ref="EH44">IF($CG44="","",IF(INDEX($D$6:$CB$53,MATCH($CG44,$B$6:$B$53,0),COLUMN()-COLUMN($CI$5)+1)&gt;0,INDEX($D$6:$CB$53,MATCH($CG44,$B$6:$B$53,0),COLUMN()-COLUMN($CI$5)+1),""))</f>
        <v/>
      </c>
      <c r="EI44" s="1753" t="str" cm="1">
        <f t="array" ref="EI44">IF($CG44="","",IF(INDEX($D$6:$CB$53,MATCH($CG44,$B$6:$B$53,0),COLUMN()-COLUMN($CI$5)+1)&gt;0,INDEX($D$6:$CB$53,MATCH($CG44,$B$6:$B$53,0),COLUMN()-COLUMN($CI$5)+1),""))</f>
        <v/>
      </c>
      <c r="EJ44" s="1753" t="str" cm="1">
        <f t="array" ref="EJ44">IF($CG44="","",IF(INDEX($D$6:$CB$53,MATCH($CG44,$B$6:$B$53,0),COLUMN()-COLUMN($CI$5)+1)&gt;0,INDEX($D$6:$CB$53,MATCH($CG44,$B$6:$B$53,0),COLUMN()-COLUMN($CI$5)+1),""))</f>
        <v/>
      </c>
      <c r="EK44" s="1753" t="str" cm="1">
        <f t="array" ref="EK44">IF($CG44="","",IF(INDEX($D$6:$CB$53,MATCH($CG44,$B$6:$B$53,0),COLUMN()-COLUMN($CI$5)+1)&gt;0,INDEX($D$6:$CB$53,MATCH($CG44,$B$6:$B$53,0),COLUMN()-COLUMN($CI$5)+1),""))</f>
        <v/>
      </c>
      <c r="EL44" s="1753" t="str" cm="1">
        <f t="array" ref="EL44">IF($CG44="","",IF(INDEX($D$6:$CB$53,MATCH($CG44,$B$6:$B$53,0),COLUMN()-COLUMN($CI$5)+1)&gt;0,INDEX($D$6:$CB$53,MATCH($CG44,$B$6:$B$53,0),COLUMN()-COLUMN($CI$5)+1),""))</f>
        <v/>
      </c>
      <c r="EM44" s="1753" t="str" cm="1">
        <f t="array" ref="EM44">IF($CG44="","",IF(INDEX($D$6:$CB$53,MATCH($CG44,$B$6:$B$53,0),COLUMN()-COLUMN($CI$5)+1)&gt;0,INDEX($D$6:$CB$53,MATCH($CG44,$B$6:$B$53,0),COLUMN()-COLUMN($CI$5)+1),""))</f>
        <v/>
      </c>
      <c r="EN44" s="1753" t="str" cm="1">
        <f t="array" ref="EN44">IF($CG44="","",IF(INDEX($D$6:$CB$53,MATCH($CG44,$B$6:$B$53,0),COLUMN()-COLUMN($CI$5)+1)&gt;0,INDEX($D$6:$CB$53,MATCH($CG44,$B$6:$B$53,0),COLUMN()-COLUMN($CI$5)+1),""))</f>
        <v/>
      </c>
      <c r="EO44" s="1753" t="str" cm="1">
        <f t="array" ref="EO44">IF($CG44="","",IF(INDEX($D$6:$CB$53,MATCH($CG44,$B$6:$B$53,0),COLUMN()-COLUMN($CI$5)+1)&gt;0,INDEX($D$6:$CB$53,MATCH($CG44,$B$6:$B$53,0),COLUMN()-COLUMN($CI$5)+1),""))</f>
        <v/>
      </c>
      <c r="EP44" s="1753" t="str" cm="1">
        <f t="array" ref="EP44">IF($CG44="","",IF(INDEX($D$6:$CB$53,MATCH($CG44,$B$6:$B$53,0),COLUMN()-COLUMN($CI$5)+1)&gt;0,INDEX($D$6:$CB$53,MATCH($CG44,$B$6:$B$53,0),COLUMN()-COLUMN($CI$5)+1),""))</f>
        <v/>
      </c>
      <c r="EQ44" s="1753" t="str" cm="1">
        <f t="array" ref="EQ44">IF($CG44="","",IF(INDEX($D$6:$CB$53,MATCH($CG44,$B$6:$B$53,0),COLUMN()-COLUMN($CI$5)+1)&gt;0,INDEX($D$6:$CB$53,MATCH($CG44,$B$6:$B$53,0),COLUMN()-COLUMN($CI$5)+1),""))</f>
        <v/>
      </c>
      <c r="ER44" s="1753" t="str" cm="1">
        <f t="array" ref="ER44">IF($CG44="","",IF(INDEX($D$6:$CB$53,MATCH($CG44,$B$6:$B$53,0),COLUMN()-COLUMN($CI$5)+1)&gt;0,INDEX($D$6:$CB$53,MATCH($CG44,$B$6:$B$53,0),COLUMN()-COLUMN($CI$5)+1),""))</f>
        <v/>
      </c>
      <c r="ES44" s="1753" t="str" cm="1">
        <f t="array" ref="ES44">IF($CG44="","",IF(INDEX($D$6:$CB$53,MATCH($CG44,$B$6:$B$53,0),COLUMN()-COLUMN($CI$5)+1)&gt;0,INDEX($D$6:$CB$53,MATCH($CG44,$B$6:$B$53,0),COLUMN()-COLUMN($CI$5)+1),""))</f>
        <v/>
      </c>
      <c r="ET44" s="1753" t="str" cm="1">
        <f t="array" ref="ET44">IF($CG44="","",IF(INDEX($D$6:$CB$53,MATCH($CG44,$B$6:$B$53,0),COLUMN()-COLUMN($CI$5)+1)&gt;0,INDEX($D$6:$CB$53,MATCH($CG44,$B$6:$B$53,0),COLUMN()-COLUMN($CI$5)+1),""))</f>
        <v/>
      </c>
      <c r="EU44" s="1753" t="str" cm="1">
        <f t="array" ref="EU44">IF($CG44="","",IF(INDEX($D$6:$CB$53,MATCH($CG44,$B$6:$B$53,0),COLUMN()-COLUMN($CI$5)+1)&gt;0,INDEX($D$6:$CB$53,MATCH($CG44,$B$6:$B$53,0),COLUMN()-COLUMN($CI$5)+1),""))</f>
        <v/>
      </c>
      <c r="EV44" s="1753" t="str" cm="1">
        <f t="array" ref="EV44">IF($CG44="","",IF(INDEX($D$6:$CB$53,MATCH($CG44,$B$6:$B$53,0),COLUMN()-COLUMN($CI$5)+1)&gt;0,INDEX($D$6:$CB$53,MATCH($CG44,$B$6:$B$53,0),COLUMN()-COLUMN($CI$5)+1),""))</f>
        <v/>
      </c>
      <c r="EW44" s="1753" t="str" cm="1">
        <f t="array" ref="EW44">IF($CG44="","",IF(INDEX($D$6:$CB$53,MATCH($CG44,$B$6:$B$53,0),COLUMN()-COLUMN($CI$5)+1)&gt;0,INDEX($D$6:$CB$53,MATCH($CG44,$B$6:$B$53,0),COLUMN()-COLUMN($CI$5)+1),""))</f>
        <v/>
      </c>
      <c r="EX44" s="1753" t="str" cm="1">
        <f t="array" ref="EX44">IF($CG44="","",IF(INDEX($D$6:$CB$53,MATCH($CG44,$B$6:$B$53,0),COLUMN()-COLUMN($CI$5)+1)&gt;0,INDEX($D$6:$CB$53,MATCH($CG44,$B$6:$B$53,0),COLUMN()-COLUMN($CI$5)+1),""))</f>
        <v/>
      </c>
      <c r="EY44" s="1753" t="str" cm="1">
        <f t="array" ref="EY44">IF($CG44="","",IF(INDEX($D$6:$CB$53,MATCH($CG44,$B$6:$B$53,0),COLUMN()-COLUMN($CI$5)+1)&gt;0,INDEX($D$6:$CB$53,MATCH($CG44,$B$6:$B$53,0),COLUMN()-COLUMN($CI$5)+1),""))</f>
        <v/>
      </c>
      <c r="EZ44" s="1753" t="str" cm="1">
        <f t="array" ref="EZ44">IF($CG44="","",IF(INDEX($D$6:$CB$53,MATCH($CG44,$B$6:$B$53,0),COLUMN()-COLUMN($CI$5)+1)&gt;0,INDEX($D$6:$CB$53,MATCH($CG44,$B$6:$B$53,0),COLUMN()-COLUMN($CI$5)+1),""))</f>
        <v/>
      </c>
      <c r="FA44" s="1753" t="str" cm="1">
        <f t="array" ref="FA44">IF($CG44="","",IF(INDEX($D$6:$CB$53,MATCH($CG44,$B$6:$B$53,0),COLUMN()-COLUMN($CI$5)+1)&gt;0,INDEX($D$6:$CB$53,MATCH($CG44,$B$6:$B$53,0),COLUMN()-COLUMN($CI$5)+1),""))</f>
        <v/>
      </c>
      <c r="FB44" s="1753" t="str" cm="1">
        <f t="array" ref="FB44">IF($CG44="","",IF(INDEX($D$6:$CB$53,MATCH($CG44,$B$6:$B$53,0),COLUMN()-COLUMN($CI$5)+1)&gt;0,INDEX($D$6:$CB$53,MATCH($CG44,$B$6:$B$53,0),COLUMN()-COLUMN($CI$5)+1),""))</f>
        <v/>
      </c>
      <c r="FC44" s="1753" t="str" cm="1">
        <f t="array" ref="FC44">IF($CG44="","",IF(INDEX($D$6:$CB$53,MATCH($CG44,$B$6:$B$53,0),COLUMN()-COLUMN($CI$5)+1)&gt;0,INDEX($D$6:$CB$53,MATCH($CG44,$B$6:$B$53,0),COLUMN()-COLUMN($CI$5)+1),""))</f>
        <v/>
      </c>
      <c r="FD44" s="1753" t="str" cm="1">
        <f t="array" ref="FD44">IF($CG44="","",IF(INDEX($D$6:$CB$53,MATCH($CG44,$B$6:$B$53,0),COLUMN()-COLUMN($CI$5)+1)&gt;0,INDEX($D$6:$CB$53,MATCH($CG44,$B$6:$B$53,0),COLUMN()-COLUMN($CI$5)+1),""))</f>
        <v/>
      </c>
      <c r="FE44" s="1753" t="str" cm="1">
        <f t="array" ref="FE44">IF($CG44="","",IF(INDEX($D$6:$CB$53,MATCH($CG44,$B$6:$B$53,0),COLUMN()-COLUMN($CI$5)+1)&gt;0,INDEX($D$6:$CB$53,MATCH($CG44,$B$6:$B$53,0),COLUMN()-COLUMN($CI$5)+1),""))</f>
        <v/>
      </c>
      <c r="FF44" s="1753" t="str" cm="1">
        <f t="array" ref="FF44">IF($CG44="","",IF(INDEX($D$6:$CB$53,MATCH($CG44,$B$6:$B$53,0),COLUMN()-COLUMN($CI$5)+1)&gt;0,INDEX($D$6:$CB$53,MATCH($CG44,$B$6:$B$53,0),COLUMN()-COLUMN($CI$5)+1),""))</f>
        <v/>
      </c>
      <c r="FG44" s="1753" t="str" cm="1">
        <f t="array" ref="FG44">IF($CG44="","",IF(INDEX($D$6:$CB$53,MATCH($CG44,$B$6:$B$53,0),COLUMN()-COLUMN($CI$5)+1)&gt;0,INDEX($D$6:$CB$53,MATCH($CG44,$B$6:$B$53,0),COLUMN()-COLUMN($CI$5)+1),""))</f>
        <v/>
      </c>
      <c r="FH44" s="1753" t="str">
        <f t="shared" si="7"/>
        <v/>
      </c>
      <c r="FI44" s="1753" t="str">
        <f t="shared" si="8"/>
        <v/>
      </c>
      <c r="FJ44" s="1753" t="str">
        <f t="shared" si="9"/>
        <v/>
      </c>
      <c r="FK44" s="1753"/>
    </row>
    <row r="45" spans="1:167" ht="15.75" customHeight="1">
      <c r="A45" s="1220"/>
      <c r="B45" s="1278">
        <f>+PP!B63</f>
        <v>40</v>
      </c>
      <c r="C45" s="1279" t="str">
        <f>+PP!C63</f>
        <v>TENTACULO C/B C/V SR 100-500 g/pza (SUCIO)</v>
      </c>
      <c r="D45" s="1404"/>
      <c r="E45" s="1405"/>
      <c r="F45" s="1405"/>
      <c r="G45" s="1405"/>
      <c r="H45" s="1405"/>
      <c r="I45" s="1405"/>
      <c r="J45" s="1405"/>
      <c r="K45" s="1405"/>
      <c r="L45" s="1405"/>
      <c r="M45" s="1405"/>
      <c r="N45" s="1405"/>
      <c r="O45" s="1405"/>
      <c r="P45" s="1405"/>
      <c r="Q45" s="1405"/>
      <c r="R45" s="1405"/>
      <c r="S45" s="1405"/>
      <c r="T45" s="1405"/>
      <c r="U45" s="1405"/>
      <c r="V45" s="1405"/>
      <c r="W45" s="1405"/>
      <c r="X45" s="1405"/>
      <c r="Y45" s="1405"/>
      <c r="Z45" s="1405"/>
      <c r="AA45" s="1405"/>
      <c r="AB45" s="1405"/>
      <c r="AC45" s="1405"/>
      <c r="AD45" s="1405"/>
      <c r="AE45" s="1405"/>
      <c r="AF45" s="1405"/>
      <c r="AG45" s="1405"/>
      <c r="AH45" s="1406"/>
      <c r="AI45" s="1235"/>
      <c r="AJ45" s="1235"/>
      <c r="AK45" s="1235"/>
      <c r="AL45" s="1235"/>
      <c r="AM45" s="1235"/>
      <c r="AN45" s="1235"/>
      <c r="AO45" s="1235"/>
      <c r="AP45" s="1218"/>
      <c r="AQ45" s="1218"/>
      <c r="AR45" s="1218"/>
      <c r="AS45" s="1218"/>
      <c r="AT45" s="1218"/>
      <c r="AU45" s="1218"/>
      <c r="AV45" s="1218"/>
      <c r="AW45" s="1218"/>
      <c r="AX45" s="1218"/>
      <c r="AY45" s="1218"/>
      <c r="AZ45" s="1218"/>
      <c r="BA45" s="1218"/>
      <c r="BB45" s="1218"/>
      <c r="BC45" s="1218"/>
      <c r="BD45" s="1218"/>
      <c r="BE45" s="1218"/>
      <c r="BF45" s="1218"/>
      <c r="BG45" s="1218"/>
      <c r="BH45" s="1218"/>
      <c r="BI45" s="1218"/>
      <c r="BJ45" s="1218"/>
      <c r="BK45" s="1218"/>
      <c r="BL45" s="1218"/>
      <c r="BM45" s="1218"/>
      <c r="BN45" s="1218"/>
      <c r="BO45" s="1218"/>
      <c r="BP45" s="1218"/>
      <c r="BQ45" s="1218"/>
      <c r="BR45" s="1557"/>
      <c r="BS45" s="1557"/>
      <c r="BT45" s="1557"/>
      <c r="BU45" s="1557"/>
      <c r="BV45" s="1557"/>
      <c r="BW45" s="1557"/>
      <c r="BX45" s="1557"/>
      <c r="BY45" s="1557"/>
      <c r="BZ45" s="1557"/>
      <c r="CA45" s="1557"/>
      <c r="CB45" s="1564"/>
      <c r="CC45" s="1550">
        <f t="shared" si="0"/>
        <v>0</v>
      </c>
      <c r="CD45" s="1236">
        <f t="shared" si="1"/>
        <v>0</v>
      </c>
      <c r="CE45" s="1237">
        <f t="shared" si="2"/>
        <v>0</v>
      </c>
      <c r="CF45" s="1220"/>
      <c r="CG45" s="1751" t="str" cm="1">
        <f t="array" ref="CG45">IFERROR(INDEX($B$6:$B$53,_xlfn.AGGREGATE(15,6,(ROW($B$6:$B$53)-ROW($B$6)+1)/(MMULT(--($D$6:$CB$53&gt;0),TRANSPOSE(COLUMN($D$6:$CB$6)^0))&gt;0),ROWS($CG$6:CG45))),"")</f>
        <v/>
      </c>
      <c r="CH45" s="1752" t="str">
        <f t="shared" si="3"/>
        <v/>
      </c>
      <c r="CI45" s="1753" t="str" cm="1">
        <f t="array" ref="CI45">IF($CG45="","",IF(INDEX($D$6:$CB$53,MATCH($CG45,$B$6:$B$53,0),COLUMN()-COLUMN($CI$5)+1)&gt;0,INDEX($D$6:$CB$53,MATCH($CG45,$B$6:$B$53,0),COLUMN()-COLUMN($CI$5)+1),""))</f>
        <v/>
      </c>
      <c r="CJ45" s="1753" t="str" cm="1">
        <f t="array" ref="CJ45">IF($CG45="","",IF(INDEX($D$6:$CB$53,MATCH($CG45,$B$6:$B$53,0),COLUMN()-COLUMN($CI$5)+1)&gt;0,INDEX($D$6:$CB$53,MATCH($CG45,$B$6:$B$53,0),COLUMN()-COLUMN($CI$5)+1),""))</f>
        <v/>
      </c>
      <c r="CK45" s="1753" t="str" cm="1">
        <f t="array" ref="CK45">IF($CG45="","",IF(INDEX($D$6:$CB$53,MATCH($CG45,$B$6:$B$53,0),COLUMN()-COLUMN($CI$5)+1)&gt;0,INDEX($D$6:$CB$53,MATCH($CG45,$B$6:$B$53,0),COLUMN()-COLUMN($CI$5)+1),""))</f>
        <v/>
      </c>
      <c r="CL45" s="1753" t="str" cm="1">
        <f t="array" ref="CL45">IF($CG45="","",IF(INDEX($D$6:$CB$53,MATCH($CG45,$B$6:$B$53,0),COLUMN()-COLUMN($CI$5)+1)&gt;0,INDEX($D$6:$CB$53,MATCH($CG45,$B$6:$B$53,0),COLUMN()-COLUMN($CI$5)+1),""))</f>
        <v/>
      </c>
      <c r="CM45" s="1753" t="str" cm="1">
        <f t="array" ref="CM45">IF($CG45="","",IF(INDEX($D$6:$CB$53,MATCH($CG45,$B$6:$B$53,0),COLUMN()-COLUMN($CI$5)+1)&gt;0,INDEX($D$6:$CB$53,MATCH($CG45,$B$6:$B$53,0),COLUMN()-COLUMN($CI$5)+1),""))</f>
        <v/>
      </c>
      <c r="CN45" s="1753" t="str" cm="1">
        <f t="array" ref="CN45">IF($CG45="","",IF(INDEX($D$6:$CB$53,MATCH($CG45,$B$6:$B$53,0),COLUMN()-COLUMN($CI$5)+1)&gt;0,INDEX($D$6:$CB$53,MATCH($CG45,$B$6:$B$53,0),COLUMN()-COLUMN($CI$5)+1),""))</f>
        <v/>
      </c>
      <c r="CO45" s="1753" t="str" cm="1">
        <f t="array" ref="CO45">IF($CG45="","",IF(INDEX($D$6:$CB$53,MATCH($CG45,$B$6:$B$53,0),COLUMN()-COLUMN($CI$5)+1)&gt;0,INDEX($D$6:$CB$53,MATCH($CG45,$B$6:$B$53,0),COLUMN()-COLUMN($CI$5)+1),""))</f>
        <v/>
      </c>
      <c r="CP45" s="1753" t="str" cm="1">
        <f t="array" ref="CP45">IF($CG45="","",IF(INDEX($D$6:$CB$53,MATCH($CG45,$B$6:$B$53,0),COLUMN()-COLUMN($CI$5)+1)&gt;0,INDEX($D$6:$CB$53,MATCH($CG45,$B$6:$B$53,0),COLUMN()-COLUMN($CI$5)+1),""))</f>
        <v/>
      </c>
      <c r="CQ45" s="1753" t="str" cm="1">
        <f t="array" ref="CQ45">IF($CG45="","",IF(INDEX($D$6:$CB$53,MATCH($CG45,$B$6:$B$53,0),COLUMN()-COLUMN($CI$5)+1)&gt;0,INDEX($D$6:$CB$53,MATCH($CG45,$B$6:$B$53,0),COLUMN()-COLUMN($CI$5)+1),""))</f>
        <v/>
      </c>
      <c r="CR45" s="1753" t="str" cm="1">
        <f t="array" ref="CR45">IF($CG45="","",IF(INDEX($D$6:$CB$53,MATCH($CG45,$B$6:$B$53,0),COLUMN()-COLUMN($CI$5)+1)&gt;0,INDEX($D$6:$CB$53,MATCH($CG45,$B$6:$B$53,0),COLUMN()-COLUMN($CI$5)+1),""))</f>
        <v/>
      </c>
      <c r="CS45" s="1753" t="str" cm="1">
        <f t="array" ref="CS45">IF($CG45="","",IF(INDEX($D$6:$CB$53,MATCH($CG45,$B$6:$B$53,0),COLUMN()-COLUMN($CI$5)+1)&gt;0,INDEX($D$6:$CB$53,MATCH($CG45,$B$6:$B$53,0),COLUMN()-COLUMN($CI$5)+1),""))</f>
        <v/>
      </c>
      <c r="CT45" s="1753" t="str" cm="1">
        <f t="array" ref="CT45">IF($CG45="","",IF(INDEX($D$6:$CB$53,MATCH($CG45,$B$6:$B$53,0),COLUMN()-COLUMN($CI$5)+1)&gt;0,INDEX($D$6:$CB$53,MATCH($CG45,$B$6:$B$53,0),COLUMN()-COLUMN($CI$5)+1),""))</f>
        <v/>
      </c>
      <c r="CU45" s="1753" t="str" cm="1">
        <f t="array" ref="CU45">IF($CG45="","",IF(INDEX($D$6:$CB$53,MATCH($CG45,$B$6:$B$53,0),COLUMN()-COLUMN($CI$5)+1)&gt;0,INDEX($D$6:$CB$53,MATCH($CG45,$B$6:$B$53,0),COLUMN()-COLUMN($CI$5)+1),""))</f>
        <v/>
      </c>
      <c r="CV45" s="1753" t="str" cm="1">
        <f t="array" ref="CV45">IF($CG45="","",IF(INDEX($D$6:$CB$53,MATCH($CG45,$B$6:$B$53,0),COLUMN()-COLUMN($CI$5)+1)&gt;0,INDEX($D$6:$CB$53,MATCH($CG45,$B$6:$B$53,0),COLUMN()-COLUMN($CI$5)+1),""))</f>
        <v/>
      </c>
      <c r="CW45" s="1753" t="str" cm="1">
        <f t="array" ref="CW45">IF($CG45="","",IF(INDEX($D$6:$CB$53,MATCH($CG45,$B$6:$B$53,0),COLUMN()-COLUMN($CI$5)+1)&gt;0,INDEX($D$6:$CB$53,MATCH($CG45,$B$6:$B$53,0),COLUMN()-COLUMN($CI$5)+1),""))</f>
        <v/>
      </c>
      <c r="CX45" s="1753" t="str" cm="1">
        <f t="array" ref="CX45">IF($CG45="","",IF(INDEX($D$6:$CB$53,MATCH($CG45,$B$6:$B$53,0),COLUMN()-COLUMN($CI$5)+1)&gt;0,INDEX($D$6:$CB$53,MATCH($CG45,$B$6:$B$53,0),COLUMN()-COLUMN($CI$5)+1),""))</f>
        <v/>
      </c>
      <c r="CY45" s="1753" t="str" cm="1">
        <f t="array" ref="CY45">IF($CG45="","",IF(INDEX($D$6:$CB$53,MATCH($CG45,$B$6:$B$53,0),COLUMN()-COLUMN($CI$5)+1)&gt;0,INDEX($D$6:$CB$53,MATCH($CG45,$B$6:$B$53,0),COLUMN()-COLUMN($CI$5)+1),""))</f>
        <v/>
      </c>
      <c r="CZ45" s="1753" t="str" cm="1">
        <f t="array" ref="CZ45">IF($CG45="","",IF(INDEX($D$6:$CB$53,MATCH($CG45,$B$6:$B$53,0),COLUMN()-COLUMN($CI$5)+1)&gt;0,INDEX($D$6:$CB$53,MATCH($CG45,$B$6:$B$53,0),COLUMN()-COLUMN($CI$5)+1),""))</f>
        <v/>
      </c>
      <c r="DA45" s="1753" t="str" cm="1">
        <f t="array" ref="DA45">IF($CG45="","",IF(INDEX($D$6:$CB$53,MATCH($CG45,$B$6:$B$53,0),COLUMN()-COLUMN($CI$5)+1)&gt;0,INDEX($D$6:$CB$53,MATCH($CG45,$B$6:$B$53,0),COLUMN()-COLUMN($CI$5)+1),""))</f>
        <v/>
      </c>
      <c r="DB45" s="1753" t="str" cm="1">
        <f t="array" ref="DB45">IF($CG45="","",IF(INDEX($D$6:$CB$53,MATCH($CG45,$B$6:$B$53,0),COLUMN()-COLUMN($CI$5)+1)&gt;0,INDEX($D$6:$CB$53,MATCH($CG45,$B$6:$B$53,0),COLUMN()-COLUMN($CI$5)+1),""))</f>
        <v/>
      </c>
      <c r="DC45" s="1753" t="str" cm="1">
        <f t="array" ref="DC45">IF($CG45="","",IF(INDEX($D$6:$CB$53,MATCH($CG45,$B$6:$B$53,0),COLUMN()-COLUMN($CI$5)+1)&gt;0,INDEX($D$6:$CB$53,MATCH($CG45,$B$6:$B$53,0),COLUMN()-COLUMN($CI$5)+1),""))</f>
        <v/>
      </c>
      <c r="DD45" s="1753" t="str" cm="1">
        <f t="array" ref="DD45">IF($CG45="","",IF(INDEX($D$6:$CB$53,MATCH($CG45,$B$6:$B$53,0),COLUMN()-COLUMN($CI$5)+1)&gt;0,INDEX($D$6:$CB$53,MATCH($CG45,$B$6:$B$53,0),COLUMN()-COLUMN($CI$5)+1),""))</f>
        <v/>
      </c>
      <c r="DE45" s="1753" t="str" cm="1">
        <f t="array" ref="DE45">IF($CG45="","",IF(INDEX($D$6:$CB$53,MATCH($CG45,$B$6:$B$53,0),COLUMN()-COLUMN($CI$5)+1)&gt;0,INDEX($D$6:$CB$53,MATCH($CG45,$B$6:$B$53,0),COLUMN()-COLUMN($CI$5)+1),""))</f>
        <v/>
      </c>
      <c r="DF45" s="1753" t="str" cm="1">
        <f t="array" ref="DF45">IF($CG45="","",IF(INDEX($D$6:$CB$53,MATCH($CG45,$B$6:$B$53,0),COLUMN()-COLUMN($CI$5)+1)&gt;0,INDEX($D$6:$CB$53,MATCH($CG45,$B$6:$B$53,0),COLUMN()-COLUMN($CI$5)+1),""))</f>
        <v/>
      </c>
      <c r="DG45" s="1753" t="str" cm="1">
        <f t="array" ref="DG45">IF($CG45="","",IF(INDEX($D$6:$CB$53,MATCH($CG45,$B$6:$B$53,0),COLUMN()-COLUMN($CI$5)+1)&gt;0,INDEX($D$6:$CB$53,MATCH($CG45,$B$6:$B$53,0),COLUMN()-COLUMN($CI$5)+1),""))</f>
        <v/>
      </c>
      <c r="DH45" s="1753" t="str" cm="1">
        <f t="array" ref="DH45">IF($CG45="","",IF(INDEX($D$6:$CB$53,MATCH($CG45,$B$6:$B$53,0),COLUMN()-COLUMN($CI$5)+1)&gt;0,INDEX($D$6:$CB$53,MATCH($CG45,$B$6:$B$53,0),COLUMN()-COLUMN($CI$5)+1),""))</f>
        <v/>
      </c>
      <c r="DI45" s="1753" t="str" cm="1">
        <f t="array" ref="DI45">IF($CG45="","",IF(INDEX($D$6:$CB$53,MATCH($CG45,$B$6:$B$53,0),COLUMN()-COLUMN($CI$5)+1)&gt;0,INDEX($D$6:$CB$53,MATCH($CG45,$B$6:$B$53,0),COLUMN()-COLUMN($CI$5)+1),""))</f>
        <v/>
      </c>
      <c r="DJ45" s="1753" t="str" cm="1">
        <f t="array" ref="DJ45">IF($CG45="","",IF(INDEX($D$6:$CB$53,MATCH($CG45,$B$6:$B$53,0),COLUMN()-COLUMN($CI$5)+1)&gt;0,INDEX($D$6:$CB$53,MATCH($CG45,$B$6:$B$53,0),COLUMN()-COLUMN($CI$5)+1),""))</f>
        <v/>
      </c>
      <c r="DK45" s="1753" t="str" cm="1">
        <f t="array" ref="DK45">IF($CG45="","",IF(INDEX($D$6:$CB$53,MATCH($CG45,$B$6:$B$53,0),COLUMN()-COLUMN($CI$5)+1)&gt;0,INDEX($D$6:$CB$53,MATCH($CG45,$B$6:$B$53,0),COLUMN()-COLUMN($CI$5)+1),""))</f>
        <v/>
      </c>
      <c r="DL45" s="1753" t="str" cm="1">
        <f t="array" ref="DL45">IF($CG45="","",IF(INDEX($D$6:$CB$53,MATCH($CG45,$B$6:$B$53,0),COLUMN()-COLUMN($CI$5)+1)&gt;0,INDEX($D$6:$CB$53,MATCH($CG45,$B$6:$B$53,0),COLUMN()-COLUMN($CI$5)+1),""))</f>
        <v/>
      </c>
      <c r="DM45" s="1753" t="str" cm="1">
        <f t="array" ref="DM45">IF($CG45="","",IF(INDEX($D$6:$CB$53,MATCH($CG45,$B$6:$B$53,0),COLUMN()-COLUMN($CI$5)+1)&gt;0,INDEX($D$6:$CB$53,MATCH($CG45,$B$6:$B$53,0),COLUMN()-COLUMN($CI$5)+1),""))</f>
        <v/>
      </c>
      <c r="DN45" s="1753" t="str" cm="1">
        <f t="array" ref="DN45">IF($CG45="","",IF(INDEX($D$6:$CB$53,MATCH($CG45,$B$6:$B$53,0),COLUMN()-COLUMN($CI$5)+1)&gt;0,INDEX($D$6:$CB$53,MATCH($CG45,$B$6:$B$53,0),COLUMN()-COLUMN($CI$5)+1),""))</f>
        <v/>
      </c>
      <c r="DO45" s="1753" t="str" cm="1">
        <f t="array" ref="DO45">IF($CG45="","",IF(INDEX($D$6:$CB$53,MATCH($CG45,$B$6:$B$53,0),COLUMN()-COLUMN($CI$5)+1)&gt;0,INDEX($D$6:$CB$53,MATCH($CG45,$B$6:$B$53,0),COLUMN()-COLUMN($CI$5)+1),""))</f>
        <v/>
      </c>
      <c r="DP45" s="1753" t="str" cm="1">
        <f t="array" ref="DP45">IF($CG45="","",IF(INDEX($D$6:$CB$53,MATCH($CG45,$B$6:$B$53,0),COLUMN()-COLUMN($CI$5)+1)&gt;0,INDEX($D$6:$CB$53,MATCH($CG45,$B$6:$B$53,0),COLUMN()-COLUMN($CI$5)+1),""))</f>
        <v/>
      </c>
      <c r="DQ45" s="1753" t="str" cm="1">
        <f t="array" ref="DQ45">IF($CG45="","",IF(INDEX($D$6:$CB$53,MATCH($CG45,$B$6:$B$53,0),COLUMN()-COLUMN($CI$5)+1)&gt;0,INDEX($D$6:$CB$53,MATCH($CG45,$B$6:$B$53,0),COLUMN()-COLUMN($CI$5)+1),""))</f>
        <v/>
      </c>
      <c r="DR45" s="1753" t="str" cm="1">
        <f t="array" ref="DR45">IF($CG45="","",IF(INDEX($D$6:$CB$53,MATCH($CG45,$B$6:$B$53,0),COLUMN()-COLUMN($CI$5)+1)&gt;0,INDEX($D$6:$CB$53,MATCH($CG45,$B$6:$B$53,0),COLUMN()-COLUMN($CI$5)+1),""))</f>
        <v/>
      </c>
      <c r="DS45" s="1753" t="str" cm="1">
        <f t="array" ref="DS45">IF($CG45="","",IF(INDEX($D$6:$CB$53,MATCH($CG45,$B$6:$B$53,0),COLUMN()-COLUMN($CI$5)+1)&gt;0,INDEX($D$6:$CB$53,MATCH($CG45,$B$6:$B$53,0),COLUMN()-COLUMN($CI$5)+1),""))</f>
        <v/>
      </c>
      <c r="DT45" s="1753" t="str" cm="1">
        <f t="array" ref="DT45">IF($CG45="","",IF(INDEX($D$6:$CB$53,MATCH($CG45,$B$6:$B$53,0),COLUMN()-COLUMN($CI$5)+1)&gt;0,INDEX($D$6:$CB$53,MATCH($CG45,$B$6:$B$53,0),COLUMN()-COLUMN($CI$5)+1),""))</f>
        <v/>
      </c>
      <c r="DU45" s="1753" t="str" cm="1">
        <f t="array" ref="DU45">IF($CG45="","",IF(INDEX($D$6:$CB$53,MATCH($CG45,$B$6:$B$53,0),COLUMN()-COLUMN($CI$5)+1)&gt;0,INDEX($D$6:$CB$53,MATCH($CG45,$B$6:$B$53,0),COLUMN()-COLUMN($CI$5)+1),""))</f>
        <v/>
      </c>
      <c r="DV45" s="1753" t="str" cm="1">
        <f t="array" ref="DV45">IF($CG45="","",IF(INDEX($D$6:$CB$53,MATCH($CG45,$B$6:$B$53,0),COLUMN()-COLUMN($CI$5)+1)&gt;0,INDEX($D$6:$CB$53,MATCH($CG45,$B$6:$B$53,0),COLUMN()-COLUMN($CI$5)+1),""))</f>
        <v/>
      </c>
      <c r="DW45" s="1753" t="str" cm="1">
        <f t="array" ref="DW45">IF($CG45="","",IF(INDEX($D$6:$CB$53,MATCH($CG45,$B$6:$B$53,0),COLUMN()-COLUMN($CI$5)+1)&gt;0,INDEX($D$6:$CB$53,MATCH($CG45,$B$6:$B$53,0),COLUMN()-COLUMN($CI$5)+1),""))</f>
        <v/>
      </c>
      <c r="DX45" s="1753" t="str" cm="1">
        <f t="array" ref="DX45">IF($CG45="","",IF(INDEX($D$6:$CB$53,MATCH($CG45,$B$6:$B$53,0),COLUMN()-COLUMN($CI$5)+1)&gt;0,INDEX($D$6:$CB$53,MATCH($CG45,$B$6:$B$53,0),COLUMN()-COLUMN($CI$5)+1),""))</f>
        <v/>
      </c>
      <c r="DY45" s="1753" t="str" cm="1">
        <f t="array" ref="DY45">IF($CG45="","",IF(INDEX($D$6:$CB$53,MATCH($CG45,$B$6:$B$53,0),COLUMN()-COLUMN($CI$5)+1)&gt;0,INDEX($D$6:$CB$53,MATCH($CG45,$B$6:$B$53,0),COLUMN()-COLUMN($CI$5)+1),""))</f>
        <v/>
      </c>
      <c r="DZ45" s="1753" t="str" cm="1">
        <f t="array" ref="DZ45">IF($CG45="","",IF(INDEX($D$6:$CB$53,MATCH($CG45,$B$6:$B$53,0),COLUMN()-COLUMN($CI$5)+1)&gt;0,INDEX($D$6:$CB$53,MATCH($CG45,$B$6:$B$53,0),COLUMN()-COLUMN($CI$5)+1),""))</f>
        <v/>
      </c>
      <c r="EA45" s="1753" t="str" cm="1">
        <f t="array" ref="EA45">IF($CG45="","",IF(INDEX($D$6:$CB$53,MATCH($CG45,$B$6:$B$53,0),COLUMN()-COLUMN($CI$5)+1)&gt;0,INDEX($D$6:$CB$53,MATCH($CG45,$B$6:$B$53,0),COLUMN()-COLUMN($CI$5)+1),""))</f>
        <v/>
      </c>
      <c r="EB45" s="1753" t="str" cm="1">
        <f t="array" ref="EB45">IF($CG45="","",IF(INDEX($D$6:$CB$53,MATCH($CG45,$B$6:$B$53,0),COLUMN()-COLUMN($CI$5)+1)&gt;0,INDEX($D$6:$CB$53,MATCH($CG45,$B$6:$B$53,0),COLUMN()-COLUMN($CI$5)+1),""))</f>
        <v/>
      </c>
      <c r="EC45" s="1753" t="str" cm="1">
        <f t="array" ref="EC45">IF($CG45="","",IF(INDEX($D$6:$CB$53,MATCH($CG45,$B$6:$B$53,0),COLUMN()-COLUMN($CI$5)+1)&gt;0,INDEX($D$6:$CB$53,MATCH($CG45,$B$6:$B$53,0),COLUMN()-COLUMN($CI$5)+1),""))</f>
        <v/>
      </c>
      <c r="ED45" s="1753" t="str" cm="1">
        <f t="array" ref="ED45">IF($CG45="","",IF(INDEX($D$6:$CB$53,MATCH($CG45,$B$6:$B$53,0),COLUMN()-COLUMN($CI$5)+1)&gt;0,INDEX($D$6:$CB$53,MATCH($CG45,$B$6:$B$53,0),COLUMN()-COLUMN($CI$5)+1),""))</f>
        <v/>
      </c>
      <c r="EE45" s="1753" t="str" cm="1">
        <f t="array" ref="EE45">IF($CG45="","",IF(INDEX($D$6:$CB$53,MATCH($CG45,$B$6:$B$53,0),COLUMN()-COLUMN($CI$5)+1)&gt;0,INDEX($D$6:$CB$53,MATCH($CG45,$B$6:$B$53,0),COLUMN()-COLUMN($CI$5)+1),""))</f>
        <v/>
      </c>
      <c r="EF45" s="1753" t="str" cm="1">
        <f t="array" ref="EF45">IF($CG45="","",IF(INDEX($D$6:$CB$53,MATCH($CG45,$B$6:$B$53,0),COLUMN()-COLUMN($CI$5)+1)&gt;0,INDEX($D$6:$CB$53,MATCH($CG45,$B$6:$B$53,0),COLUMN()-COLUMN($CI$5)+1),""))</f>
        <v/>
      </c>
      <c r="EG45" s="1753" t="str" cm="1">
        <f t="array" ref="EG45">IF($CG45="","",IF(INDEX($D$6:$CB$53,MATCH($CG45,$B$6:$B$53,0),COLUMN()-COLUMN($CI$5)+1)&gt;0,INDEX($D$6:$CB$53,MATCH($CG45,$B$6:$B$53,0),COLUMN()-COLUMN($CI$5)+1),""))</f>
        <v/>
      </c>
      <c r="EH45" s="1753" t="str" cm="1">
        <f t="array" ref="EH45">IF($CG45="","",IF(INDEX($D$6:$CB$53,MATCH($CG45,$B$6:$B$53,0),COLUMN()-COLUMN($CI$5)+1)&gt;0,INDEX($D$6:$CB$53,MATCH($CG45,$B$6:$B$53,0),COLUMN()-COLUMN($CI$5)+1),""))</f>
        <v/>
      </c>
      <c r="EI45" s="1753" t="str" cm="1">
        <f t="array" ref="EI45">IF($CG45="","",IF(INDEX($D$6:$CB$53,MATCH($CG45,$B$6:$B$53,0),COLUMN()-COLUMN($CI$5)+1)&gt;0,INDEX($D$6:$CB$53,MATCH($CG45,$B$6:$B$53,0),COLUMN()-COLUMN($CI$5)+1),""))</f>
        <v/>
      </c>
      <c r="EJ45" s="1753" t="str" cm="1">
        <f t="array" ref="EJ45">IF($CG45="","",IF(INDEX($D$6:$CB$53,MATCH($CG45,$B$6:$B$53,0),COLUMN()-COLUMN($CI$5)+1)&gt;0,INDEX($D$6:$CB$53,MATCH($CG45,$B$6:$B$53,0),COLUMN()-COLUMN($CI$5)+1),""))</f>
        <v/>
      </c>
      <c r="EK45" s="1753" t="str" cm="1">
        <f t="array" ref="EK45">IF($CG45="","",IF(INDEX($D$6:$CB$53,MATCH($CG45,$B$6:$B$53,0),COLUMN()-COLUMN($CI$5)+1)&gt;0,INDEX($D$6:$CB$53,MATCH($CG45,$B$6:$B$53,0),COLUMN()-COLUMN($CI$5)+1),""))</f>
        <v/>
      </c>
      <c r="EL45" s="1753" t="str" cm="1">
        <f t="array" ref="EL45">IF($CG45="","",IF(INDEX($D$6:$CB$53,MATCH($CG45,$B$6:$B$53,0),COLUMN()-COLUMN($CI$5)+1)&gt;0,INDEX($D$6:$CB$53,MATCH($CG45,$B$6:$B$53,0),COLUMN()-COLUMN($CI$5)+1),""))</f>
        <v/>
      </c>
      <c r="EM45" s="1753" t="str" cm="1">
        <f t="array" ref="EM45">IF($CG45="","",IF(INDEX($D$6:$CB$53,MATCH($CG45,$B$6:$B$53,0),COLUMN()-COLUMN($CI$5)+1)&gt;0,INDEX($D$6:$CB$53,MATCH($CG45,$B$6:$B$53,0),COLUMN()-COLUMN($CI$5)+1),""))</f>
        <v/>
      </c>
      <c r="EN45" s="1753" t="str" cm="1">
        <f t="array" ref="EN45">IF($CG45="","",IF(INDEX($D$6:$CB$53,MATCH($CG45,$B$6:$B$53,0),COLUMN()-COLUMN($CI$5)+1)&gt;0,INDEX($D$6:$CB$53,MATCH($CG45,$B$6:$B$53,0),COLUMN()-COLUMN($CI$5)+1),""))</f>
        <v/>
      </c>
      <c r="EO45" s="1753" t="str" cm="1">
        <f t="array" ref="EO45">IF($CG45="","",IF(INDEX($D$6:$CB$53,MATCH($CG45,$B$6:$B$53,0),COLUMN()-COLUMN($CI$5)+1)&gt;0,INDEX($D$6:$CB$53,MATCH($CG45,$B$6:$B$53,0),COLUMN()-COLUMN($CI$5)+1),""))</f>
        <v/>
      </c>
      <c r="EP45" s="1753" t="str" cm="1">
        <f t="array" ref="EP45">IF($CG45="","",IF(INDEX($D$6:$CB$53,MATCH($CG45,$B$6:$B$53,0),COLUMN()-COLUMN($CI$5)+1)&gt;0,INDEX($D$6:$CB$53,MATCH($CG45,$B$6:$B$53,0),COLUMN()-COLUMN($CI$5)+1),""))</f>
        <v/>
      </c>
      <c r="EQ45" s="1753" t="str" cm="1">
        <f t="array" ref="EQ45">IF($CG45="","",IF(INDEX($D$6:$CB$53,MATCH($CG45,$B$6:$B$53,0),COLUMN()-COLUMN($CI$5)+1)&gt;0,INDEX($D$6:$CB$53,MATCH($CG45,$B$6:$B$53,0),COLUMN()-COLUMN($CI$5)+1),""))</f>
        <v/>
      </c>
      <c r="ER45" s="1753" t="str" cm="1">
        <f t="array" ref="ER45">IF($CG45="","",IF(INDEX($D$6:$CB$53,MATCH($CG45,$B$6:$B$53,0),COLUMN()-COLUMN($CI$5)+1)&gt;0,INDEX($D$6:$CB$53,MATCH($CG45,$B$6:$B$53,0),COLUMN()-COLUMN($CI$5)+1),""))</f>
        <v/>
      </c>
      <c r="ES45" s="1753" t="str" cm="1">
        <f t="array" ref="ES45">IF($CG45="","",IF(INDEX($D$6:$CB$53,MATCH($CG45,$B$6:$B$53,0),COLUMN()-COLUMN($CI$5)+1)&gt;0,INDEX($D$6:$CB$53,MATCH($CG45,$B$6:$B$53,0),COLUMN()-COLUMN($CI$5)+1),""))</f>
        <v/>
      </c>
      <c r="ET45" s="1753" t="str" cm="1">
        <f t="array" ref="ET45">IF($CG45="","",IF(INDEX($D$6:$CB$53,MATCH($CG45,$B$6:$B$53,0),COLUMN()-COLUMN($CI$5)+1)&gt;0,INDEX($D$6:$CB$53,MATCH($CG45,$B$6:$B$53,0),COLUMN()-COLUMN($CI$5)+1),""))</f>
        <v/>
      </c>
      <c r="EU45" s="1753" t="str" cm="1">
        <f t="array" ref="EU45">IF($CG45="","",IF(INDEX($D$6:$CB$53,MATCH($CG45,$B$6:$B$53,0),COLUMN()-COLUMN($CI$5)+1)&gt;0,INDEX($D$6:$CB$53,MATCH($CG45,$B$6:$B$53,0),COLUMN()-COLUMN($CI$5)+1),""))</f>
        <v/>
      </c>
      <c r="EV45" s="1753" t="str" cm="1">
        <f t="array" ref="EV45">IF($CG45="","",IF(INDEX($D$6:$CB$53,MATCH($CG45,$B$6:$B$53,0),COLUMN()-COLUMN($CI$5)+1)&gt;0,INDEX($D$6:$CB$53,MATCH($CG45,$B$6:$B$53,0),COLUMN()-COLUMN($CI$5)+1),""))</f>
        <v/>
      </c>
      <c r="EW45" s="1753" t="str" cm="1">
        <f t="array" ref="EW45">IF($CG45="","",IF(INDEX($D$6:$CB$53,MATCH($CG45,$B$6:$B$53,0),COLUMN()-COLUMN($CI$5)+1)&gt;0,INDEX($D$6:$CB$53,MATCH($CG45,$B$6:$B$53,0),COLUMN()-COLUMN($CI$5)+1),""))</f>
        <v/>
      </c>
      <c r="EX45" s="1753" t="str" cm="1">
        <f t="array" ref="EX45">IF($CG45="","",IF(INDEX($D$6:$CB$53,MATCH($CG45,$B$6:$B$53,0),COLUMN()-COLUMN($CI$5)+1)&gt;0,INDEX($D$6:$CB$53,MATCH($CG45,$B$6:$B$53,0),COLUMN()-COLUMN($CI$5)+1),""))</f>
        <v/>
      </c>
      <c r="EY45" s="1753" t="str" cm="1">
        <f t="array" ref="EY45">IF($CG45="","",IF(INDEX($D$6:$CB$53,MATCH($CG45,$B$6:$B$53,0),COLUMN()-COLUMN($CI$5)+1)&gt;0,INDEX($D$6:$CB$53,MATCH($CG45,$B$6:$B$53,0),COLUMN()-COLUMN($CI$5)+1),""))</f>
        <v/>
      </c>
      <c r="EZ45" s="1753" t="str" cm="1">
        <f t="array" ref="EZ45">IF($CG45="","",IF(INDEX($D$6:$CB$53,MATCH($CG45,$B$6:$B$53,0),COLUMN()-COLUMN($CI$5)+1)&gt;0,INDEX($D$6:$CB$53,MATCH($CG45,$B$6:$B$53,0),COLUMN()-COLUMN($CI$5)+1),""))</f>
        <v/>
      </c>
      <c r="FA45" s="1753" t="str" cm="1">
        <f t="array" ref="FA45">IF($CG45="","",IF(INDEX($D$6:$CB$53,MATCH($CG45,$B$6:$B$53,0),COLUMN()-COLUMN($CI$5)+1)&gt;0,INDEX($D$6:$CB$53,MATCH($CG45,$B$6:$B$53,0),COLUMN()-COLUMN($CI$5)+1),""))</f>
        <v/>
      </c>
      <c r="FB45" s="1753" t="str" cm="1">
        <f t="array" ref="FB45">IF($CG45="","",IF(INDEX($D$6:$CB$53,MATCH($CG45,$B$6:$B$53,0),COLUMN()-COLUMN($CI$5)+1)&gt;0,INDEX($D$6:$CB$53,MATCH($CG45,$B$6:$B$53,0),COLUMN()-COLUMN($CI$5)+1),""))</f>
        <v/>
      </c>
      <c r="FC45" s="1753" t="str" cm="1">
        <f t="array" ref="FC45">IF($CG45="","",IF(INDEX($D$6:$CB$53,MATCH($CG45,$B$6:$B$53,0),COLUMN()-COLUMN($CI$5)+1)&gt;0,INDEX($D$6:$CB$53,MATCH($CG45,$B$6:$B$53,0),COLUMN()-COLUMN($CI$5)+1),""))</f>
        <v/>
      </c>
      <c r="FD45" s="1753" t="str" cm="1">
        <f t="array" ref="FD45">IF($CG45="","",IF(INDEX($D$6:$CB$53,MATCH($CG45,$B$6:$B$53,0),COLUMN()-COLUMN($CI$5)+1)&gt;0,INDEX($D$6:$CB$53,MATCH($CG45,$B$6:$B$53,0),COLUMN()-COLUMN($CI$5)+1),""))</f>
        <v/>
      </c>
      <c r="FE45" s="1753" t="str" cm="1">
        <f t="array" ref="FE45">IF($CG45="","",IF(INDEX($D$6:$CB$53,MATCH($CG45,$B$6:$B$53,0),COLUMN()-COLUMN($CI$5)+1)&gt;0,INDEX($D$6:$CB$53,MATCH($CG45,$B$6:$B$53,0),COLUMN()-COLUMN($CI$5)+1),""))</f>
        <v/>
      </c>
      <c r="FF45" s="1753" t="str" cm="1">
        <f t="array" ref="FF45">IF($CG45="","",IF(INDEX($D$6:$CB$53,MATCH($CG45,$B$6:$B$53,0),COLUMN()-COLUMN($CI$5)+1)&gt;0,INDEX($D$6:$CB$53,MATCH($CG45,$B$6:$B$53,0),COLUMN()-COLUMN($CI$5)+1),""))</f>
        <v/>
      </c>
      <c r="FG45" s="1753" t="str" cm="1">
        <f t="array" ref="FG45">IF($CG45="","",IF(INDEX($D$6:$CB$53,MATCH($CG45,$B$6:$B$53,0),COLUMN()-COLUMN($CI$5)+1)&gt;0,INDEX($D$6:$CB$53,MATCH($CG45,$B$6:$B$53,0),COLUMN()-COLUMN($CI$5)+1),""))</f>
        <v/>
      </c>
      <c r="FH45" s="1753" t="str">
        <f t="shared" si="7"/>
        <v/>
      </c>
      <c r="FI45" s="1753" t="str">
        <f t="shared" si="8"/>
        <v/>
      </c>
      <c r="FJ45" s="1753" t="str">
        <f t="shared" si="9"/>
        <v/>
      </c>
      <c r="FK45" s="1753"/>
    </row>
    <row r="46" spans="1:167" ht="15.75" customHeight="1">
      <c r="A46" s="1220"/>
      <c r="B46" s="1278">
        <f>+PP!B64</f>
        <v>41</v>
      </c>
      <c r="C46" s="1279" t="str">
        <f>+PP!C64</f>
        <v>TENTACULO C/B S/V SR 100-500 g/pza</v>
      </c>
      <c r="D46" s="1421"/>
      <c r="E46" s="1422"/>
      <c r="F46" s="1422"/>
      <c r="G46" s="1422"/>
      <c r="H46" s="1422"/>
      <c r="I46" s="1422"/>
      <c r="J46" s="1422"/>
      <c r="K46" s="1422"/>
      <c r="L46" s="1422"/>
      <c r="M46" s="1422"/>
      <c r="N46" s="1405"/>
      <c r="O46" s="1405"/>
      <c r="P46" s="1405"/>
      <c r="Q46" s="1405"/>
      <c r="R46" s="1405"/>
      <c r="S46" s="1405"/>
      <c r="T46" s="1405"/>
      <c r="U46" s="1405"/>
      <c r="V46" s="1405"/>
      <c r="W46" s="1405"/>
      <c r="X46" s="1405"/>
      <c r="Y46" s="1405"/>
      <c r="Z46" s="1405"/>
      <c r="AA46" s="1422"/>
      <c r="AB46" s="1422"/>
      <c r="AC46" s="1422"/>
      <c r="AD46" s="1422"/>
      <c r="AE46" s="1422"/>
      <c r="AF46" s="1422"/>
      <c r="AG46" s="1422"/>
      <c r="AH46" s="1235"/>
      <c r="AI46" s="1235"/>
      <c r="AJ46" s="1235"/>
      <c r="AK46" s="1235"/>
      <c r="AL46" s="1235"/>
      <c r="AM46" s="1235"/>
      <c r="AN46" s="1235"/>
      <c r="AO46" s="1235"/>
      <c r="AP46" s="1218"/>
      <c r="AQ46" s="1218"/>
      <c r="AR46" s="1218"/>
      <c r="AS46" s="1218"/>
      <c r="AT46" s="1218"/>
      <c r="AU46" s="1218"/>
      <c r="AV46" s="1218"/>
      <c r="AW46" s="1218"/>
      <c r="AX46" s="1218"/>
      <c r="AY46" s="1218"/>
      <c r="AZ46" s="1218"/>
      <c r="BA46" s="1218"/>
      <c r="BB46" s="1218"/>
      <c r="BC46" s="1218"/>
      <c r="BD46" s="1218"/>
      <c r="BE46" s="1218"/>
      <c r="BF46" s="1218"/>
      <c r="BG46" s="1218"/>
      <c r="BH46" s="1218"/>
      <c r="BI46" s="1218"/>
      <c r="BJ46" s="1218"/>
      <c r="BK46" s="1218"/>
      <c r="BL46" s="1218"/>
      <c r="BM46" s="1218"/>
      <c r="BN46" s="1218"/>
      <c r="BO46" s="1218"/>
      <c r="BP46" s="1218"/>
      <c r="BQ46" s="1218"/>
      <c r="BR46" s="1557"/>
      <c r="BS46" s="1557"/>
      <c r="BT46" s="1557"/>
      <c r="BU46" s="1557"/>
      <c r="BV46" s="1557"/>
      <c r="BW46" s="1557"/>
      <c r="BX46" s="1557"/>
      <c r="BY46" s="1557"/>
      <c r="BZ46" s="1557"/>
      <c r="CA46" s="1557"/>
      <c r="CB46" s="1564"/>
      <c r="CC46" s="1550">
        <f t="shared" si="0"/>
        <v>0</v>
      </c>
      <c r="CD46" s="1236">
        <f t="shared" si="1"/>
        <v>0</v>
      </c>
      <c r="CE46" s="1237">
        <f t="shared" si="2"/>
        <v>0</v>
      </c>
      <c r="CF46" s="1220"/>
      <c r="CG46" s="1751" t="str" cm="1">
        <f t="array" ref="CG46">IFERROR(INDEX($B$6:$B$53,_xlfn.AGGREGATE(15,6,(ROW($B$6:$B$53)-ROW($B$6)+1)/(MMULT(--($D$6:$CB$53&gt;0),TRANSPOSE(COLUMN($D$6:$CB$6)^0))&gt;0),ROWS($CG$6:CG46))),"")</f>
        <v/>
      </c>
      <c r="CH46" s="1752" t="str">
        <f t="shared" si="3"/>
        <v/>
      </c>
      <c r="CI46" s="1753" t="str" cm="1">
        <f t="array" ref="CI46">IF($CG46="","",IF(INDEX($D$6:$CB$53,MATCH($CG46,$B$6:$B$53,0),COLUMN()-COLUMN($CI$5)+1)&gt;0,INDEX($D$6:$CB$53,MATCH($CG46,$B$6:$B$53,0),COLUMN()-COLUMN($CI$5)+1),""))</f>
        <v/>
      </c>
      <c r="CJ46" s="1753" t="str" cm="1">
        <f t="array" ref="CJ46">IF($CG46="","",IF(INDEX($D$6:$CB$53,MATCH($CG46,$B$6:$B$53,0),COLUMN()-COLUMN($CI$5)+1)&gt;0,INDEX($D$6:$CB$53,MATCH($CG46,$B$6:$B$53,0),COLUMN()-COLUMN($CI$5)+1),""))</f>
        <v/>
      </c>
      <c r="CK46" s="1753" t="str" cm="1">
        <f t="array" ref="CK46">IF($CG46="","",IF(INDEX($D$6:$CB$53,MATCH($CG46,$B$6:$B$53,0),COLUMN()-COLUMN($CI$5)+1)&gt;0,INDEX($D$6:$CB$53,MATCH($CG46,$B$6:$B$53,0),COLUMN()-COLUMN($CI$5)+1),""))</f>
        <v/>
      </c>
      <c r="CL46" s="1753" t="str" cm="1">
        <f t="array" ref="CL46">IF($CG46="","",IF(INDEX($D$6:$CB$53,MATCH($CG46,$B$6:$B$53,0),COLUMN()-COLUMN($CI$5)+1)&gt;0,INDEX($D$6:$CB$53,MATCH($CG46,$B$6:$B$53,0),COLUMN()-COLUMN($CI$5)+1),""))</f>
        <v/>
      </c>
      <c r="CM46" s="1753" t="str" cm="1">
        <f t="array" ref="CM46">IF($CG46="","",IF(INDEX($D$6:$CB$53,MATCH($CG46,$B$6:$B$53,0),COLUMN()-COLUMN($CI$5)+1)&gt;0,INDEX($D$6:$CB$53,MATCH($CG46,$B$6:$B$53,0),COLUMN()-COLUMN($CI$5)+1),""))</f>
        <v/>
      </c>
      <c r="CN46" s="1753" t="str" cm="1">
        <f t="array" ref="CN46">IF($CG46="","",IF(INDEX($D$6:$CB$53,MATCH($CG46,$B$6:$B$53,0),COLUMN()-COLUMN($CI$5)+1)&gt;0,INDEX($D$6:$CB$53,MATCH($CG46,$B$6:$B$53,0),COLUMN()-COLUMN($CI$5)+1),""))</f>
        <v/>
      </c>
      <c r="CO46" s="1753" t="str" cm="1">
        <f t="array" ref="CO46">IF($CG46="","",IF(INDEX($D$6:$CB$53,MATCH($CG46,$B$6:$B$53,0),COLUMN()-COLUMN($CI$5)+1)&gt;0,INDEX($D$6:$CB$53,MATCH($CG46,$B$6:$B$53,0),COLUMN()-COLUMN($CI$5)+1),""))</f>
        <v/>
      </c>
      <c r="CP46" s="1753" t="str" cm="1">
        <f t="array" ref="CP46">IF($CG46="","",IF(INDEX($D$6:$CB$53,MATCH($CG46,$B$6:$B$53,0),COLUMN()-COLUMN($CI$5)+1)&gt;0,INDEX($D$6:$CB$53,MATCH($CG46,$B$6:$B$53,0),COLUMN()-COLUMN($CI$5)+1),""))</f>
        <v/>
      </c>
      <c r="CQ46" s="1753" t="str" cm="1">
        <f t="array" ref="CQ46">IF($CG46="","",IF(INDEX($D$6:$CB$53,MATCH($CG46,$B$6:$B$53,0),COLUMN()-COLUMN($CI$5)+1)&gt;0,INDEX($D$6:$CB$53,MATCH($CG46,$B$6:$B$53,0),COLUMN()-COLUMN($CI$5)+1),""))</f>
        <v/>
      </c>
      <c r="CR46" s="1753" t="str" cm="1">
        <f t="array" ref="CR46">IF($CG46="","",IF(INDEX($D$6:$CB$53,MATCH($CG46,$B$6:$B$53,0),COLUMN()-COLUMN($CI$5)+1)&gt;0,INDEX($D$6:$CB$53,MATCH($CG46,$B$6:$B$53,0),COLUMN()-COLUMN($CI$5)+1),""))</f>
        <v/>
      </c>
      <c r="CS46" s="1753" t="str" cm="1">
        <f t="array" ref="CS46">IF($CG46="","",IF(INDEX($D$6:$CB$53,MATCH($CG46,$B$6:$B$53,0),COLUMN()-COLUMN($CI$5)+1)&gt;0,INDEX($D$6:$CB$53,MATCH($CG46,$B$6:$B$53,0),COLUMN()-COLUMN($CI$5)+1),""))</f>
        <v/>
      </c>
      <c r="CT46" s="1753" t="str" cm="1">
        <f t="array" ref="CT46">IF($CG46="","",IF(INDEX($D$6:$CB$53,MATCH($CG46,$B$6:$B$53,0),COLUMN()-COLUMN($CI$5)+1)&gt;0,INDEX($D$6:$CB$53,MATCH($CG46,$B$6:$B$53,0),COLUMN()-COLUMN($CI$5)+1),""))</f>
        <v/>
      </c>
      <c r="CU46" s="1753" t="str" cm="1">
        <f t="array" ref="CU46">IF($CG46="","",IF(INDEX($D$6:$CB$53,MATCH($CG46,$B$6:$B$53,0),COLUMN()-COLUMN($CI$5)+1)&gt;0,INDEX($D$6:$CB$53,MATCH($CG46,$B$6:$B$53,0),COLUMN()-COLUMN($CI$5)+1),""))</f>
        <v/>
      </c>
      <c r="CV46" s="1753" t="str" cm="1">
        <f t="array" ref="CV46">IF($CG46="","",IF(INDEX($D$6:$CB$53,MATCH($CG46,$B$6:$B$53,0),COLUMN()-COLUMN($CI$5)+1)&gt;0,INDEX($D$6:$CB$53,MATCH($CG46,$B$6:$B$53,0),COLUMN()-COLUMN($CI$5)+1),""))</f>
        <v/>
      </c>
      <c r="CW46" s="1753" t="str" cm="1">
        <f t="array" ref="CW46">IF($CG46="","",IF(INDEX($D$6:$CB$53,MATCH($CG46,$B$6:$B$53,0),COLUMN()-COLUMN($CI$5)+1)&gt;0,INDEX($D$6:$CB$53,MATCH($CG46,$B$6:$B$53,0),COLUMN()-COLUMN($CI$5)+1),""))</f>
        <v/>
      </c>
      <c r="CX46" s="1753" t="str" cm="1">
        <f t="array" ref="CX46">IF($CG46="","",IF(INDEX($D$6:$CB$53,MATCH($CG46,$B$6:$B$53,0),COLUMN()-COLUMN($CI$5)+1)&gt;0,INDEX($D$6:$CB$53,MATCH($CG46,$B$6:$B$53,0),COLUMN()-COLUMN($CI$5)+1),""))</f>
        <v/>
      </c>
      <c r="CY46" s="1753" t="str" cm="1">
        <f t="array" ref="CY46">IF($CG46="","",IF(INDEX($D$6:$CB$53,MATCH($CG46,$B$6:$B$53,0),COLUMN()-COLUMN($CI$5)+1)&gt;0,INDEX($D$6:$CB$53,MATCH($CG46,$B$6:$B$53,0),COLUMN()-COLUMN($CI$5)+1),""))</f>
        <v/>
      </c>
      <c r="CZ46" s="1753" t="str" cm="1">
        <f t="array" ref="CZ46">IF($CG46="","",IF(INDEX($D$6:$CB$53,MATCH($CG46,$B$6:$B$53,0),COLUMN()-COLUMN($CI$5)+1)&gt;0,INDEX($D$6:$CB$53,MATCH($CG46,$B$6:$B$53,0),COLUMN()-COLUMN($CI$5)+1),""))</f>
        <v/>
      </c>
      <c r="DA46" s="1753" t="str" cm="1">
        <f t="array" ref="DA46">IF($CG46="","",IF(INDEX($D$6:$CB$53,MATCH($CG46,$B$6:$B$53,0),COLUMN()-COLUMN($CI$5)+1)&gt;0,INDEX($D$6:$CB$53,MATCH($CG46,$B$6:$B$53,0),COLUMN()-COLUMN($CI$5)+1),""))</f>
        <v/>
      </c>
      <c r="DB46" s="1753" t="str" cm="1">
        <f t="array" ref="DB46">IF($CG46="","",IF(INDEX($D$6:$CB$53,MATCH($CG46,$B$6:$B$53,0),COLUMN()-COLUMN($CI$5)+1)&gt;0,INDEX($D$6:$CB$53,MATCH($CG46,$B$6:$B$53,0),COLUMN()-COLUMN($CI$5)+1),""))</f>
        <v/>
      </c>
      <c r="DC46" s="1753" t="str" cm="1">
        <f t="array" ref="DC46">IF($CG46="","",IF(INDEX($D$6:$CB$53,MATCH($CG46,$B$6:$B$53,0),COLUMN()-COLUMN($CI$5)+1)&gt;0,INDEX($D$6:$CB$53,MATCH($CG46,$B$6:$B$53,0),COLUMN()-COLUMN($CI$5)+1),""))</f>
        <v/>
      </c>
      <c r="DD46" s="1753" t="str" cm="1">
        <f t="array" ref="DD46">IF($CG46="","",IF(INDEX($D$6:$CB$53,MATCH($CG46,$B$6:$B$53,0),COLUMN()-COLUMN($CI$5)+1)&gt;0,INDEX($D$6:$CB$53,MATCH($CG46,$B$6:$B$53,0),COLUMN()-COLUMN($CI$5)+1),""))</f>
        <v/>
      </c>
      <c r="DE46" s="1753" t="str" cm="1">
        <f t="array" ref="DE46">IF($CG46="","",IF(INDEX($D$6:$CB$53,MATCH($CG46,$B$6:$B$53,0),COLUMN()-COLUMN($CI$5)+1)&gt;0,INDEX($D$6:$CB$53,MATCH($CG46,$B$6:$B$53,0),COLUMN()-COLUMN($CI$5)+1),""))</f>
        <v/>
      </c>
      <c r="DF46" s="1753" t="str" cm="1">
        <f t="array" ref="DF46">IF($CG46="","",IF(INDEX($D$6:$CB$53,MATCH($CG46,$B$6:$B$53,0),COLUMN()-COLUMN($CI$5)+1)&gt;0,INDEX($D$6:$CB$53,MATCH($CG46,$B$6:$B$53,0),COLUMN()-COLUMN($CI$5)+1),""))</f>
        <v/>
      </c>
      <c r="DG46" s="1753" t="str" cm="1">
        <f t="array" ref="DG46">IF($CG46="","",IF(INDEX($D$6:$CB$53,MATCH($CG46,$B$6:$B$53,0),COLUMN()-COLUMN($CI$5)+1)&gt;0,INDEX($D$6:$CB$53,MATCH($CG46,$B$6:$B$53,0),COLUMN()-COLUMN($CI$5)+1),""))</f>
        <v/>
      </c>
      <c r="DH46" s="1753" t="str" cm="1">
        <f t="array" ref="DH46">IF($CG46="","",IF(INDEX($D$6:$CB$53,MATCH($CG46,$B$6:$B$53,0),COLUMN()-COLUMN($CI$5)+1)&gt;0,INDEX($D$6:$CB$53,MATCH($CG46,$B$6:$B$53,0),COLUMN()-COLUMN($CI$5)+1),""))</f>
        <v/>
      </c>
      <c r="DI46" s="1753" t="str" cm="1">
        <f t="array" ref="DI46">IF($CG46="","",IF(INDEX($D$6:$CB$53,MATCH($CG46,$B$6:$B$53,0),COLUMN()-COLUMN($CI$5)+1)&gt;0,INDEX($D$6:$CB$53,MATCH($CG46,$B$6:$B$53,0),COLUMN()-COLUMN($CI$5)+1),""))</f>
        <v/>
      </c>
      <c r="DJ46" s="1753" t="str" cm="1">
        <f t="array" ref="DJ46">IF($CG46="","",IF(INDEX($D$6:$CB$53,MATCH($CG46,$B$6:$B$53,0),COLUMN()-COLUMN($CI$5)+1)&gt;0,INDEX($D$6:$CB$53,MATCH($CG46,$B$6:$B$53,0),COLUMN()-COLUMN($CI$5)+1),""))</f>
        <v/>
      </c>
      <c r="DK46" s="1753" t="str" cm="1">
        <f t="array" ref="DK46">IF($CG46="","",IF(INDEX($D$6:$CB$53,MATCH($CG46,$B$6:$B$53,0),COLUMN()-COLUMN($CI$5)+1)&gt;0,INDEX($D$6:$CB$53,MATCH($CG46,$B$6:$B$53,0),COLUMN()-COLUMN($CI$5)+1),""))</f>
        <v/>
      </c>
      <c r="DL46" s="1753" t="str" cm="1">
        <f t="array" ref="DL46">IF($CG46="","",IF(INDEX($D$6:$CB$53,MATCH($CG46,$B$6:$B$53,0),COLUMN()-COLUMN($CI$5)+1)&gt;0,INDEX($D$6:$CB$53,MATCH($CG46,$B$6:$B$53,0),COLUMN()-COLUMN($CI$5)+1),""))</f>
        <v/>
      </c>
      <c r="DM46" s="1753" t="str" cm="1">
        <f t="array" ref="DM46">IF($CG46="","",IF(INDEX($D$6:$CB$53,MATCH($CG46,$B$6:$B$53,0),COLUMN()-COLUMN($CI$5)+1)&gt;0,INDEX($D$6:$CB$53,MATCH($CG46,$B$6:$B$53,0),COLUMN()-COLUMN($CI$5)+1),""))</f>
        <v/>
      </c>
      <c r="DN46" s="1753" t="str" cm="1">
        <f t="array" ref="DN46">IF($CG46="","",IF(INDEX($D$6:$CB$53,MATCH($CG46,$B$6:$B$53,0),COLUMN()-COLUMN($CI$5)+1)&gt;0,INDEX($D$6:$CB$53,MATCH($CG46,$B$6:$B$53,0),COLUMN()-COLUMN($CI$5)+1),""))</f>
        <v/>
      </c>
      <c r="DO46" s="1753" t="str" cm="1">
        <f t="array" ref="DO46">IF($CG46="","",IF(INDEX($D$6:$CB$53,MATCH($CG46,$B$6:$B$53,0),COLUMN()-COLUMN($CI$5)+1)&gt;0,INDEX($D$6:$CB$53,MATCH($CG46,$B$6:$B$53,0),COLUMN()-COLUMN($CI$5)+1),""))</f>
        <v/>
      </c>
      <c r="DP46" s="1753" t="str" cm="1">
        <f t="array" ref="DP46">IF($CG46="","",IF(INDEX($D$6:$CB$53,MATCH($CG46,$B$6:$B$53,0),COLUMN()-COLUMN($CI$5)+1)&gt;0,INDEX($D$6:$CB$53,MATCH($CG46,$B$6:$B$53,0),COLUMN()-COLUMN($CI$5)+1),""))</f>
        <v/>
      </c>
      <c r="DQ46" s="1753" t="str" cm="1">
        <f t="array" ref="DQ46">IF($CG46="","",IF(INDEX($D$6:$CB$53,MATCH($CG46,$B$6:$B$53,0),COLUMN()-COLUMN($CI$5)+1)&gt;0,INDEX($D$6:$CB$53,MATCH($CG46,$B$6:$B$53,0),COLUMN()-COLUMN($CI$5)+1),""))</f>
        <v/>
      </c>
      <c r="DR46" s="1753" t="str" cm="1">
        <f t="array" ref="DR46">IF($CG46="","",IF(INDEX($D$6:$CB$53,MATCH($CG46,$B$6:$B$53,0),COLUMN()-COLUMN($CI$5)+1)&gt;0,INDEX($D$6:$CB$53,MATCH($CG46,$B$6:$B$53,0),COLUMN()-COLUMN($CI$5)+1),""))</f>
        <v/>
      </c>
      <c r="DS46" s="1753" t="str" cm="1">
        <f t="array" ref="DS46">IF($CG46="","",IF(INDEX($D$6:$CB$53,MATCH($CG46,$B$6:$B$53,0),COLUMN()-COLUMN($CI$5)+1)&gt;0,INDEX($D$6:$CB$53,MATCH($CG46,$B$6:$B$53,0),COLUMN()-COLUMN($CI$5)+1),""))</f>
        <v/>
      </c>
      <c r="DT46" s="1753" t="str" cm="1">
        <f t="array" ref="DT46">IF($CG46="","",IF(INDEX($D$6:$CB$53,MATCH($CG46,$B$6:$B$53,0),COLUMN()-COLUMN($CI$5)+1)&gt;0,INDEX($D$6:$CB$53,MATCH($CG46,$B$6:$B$53,0),COLUMN()-COLUMN($CI$5)+1),""))</f>
        <v/>
      </c>
      <c r="DU46" s="1753" t="str" cm="1">
        <f t="array" ref="DU46">IF($CG46="","",IF(INDEX($D$6:$CB$53,MATCH($CG46,$B$6:$B$53,0),COLUMN()-COLUMN($CI$5)+1)&gt;0,INDEX($D$6:$CB$53,MATCH($CG46,$B$6:$B$53,0),COLUMN()-COLUMN($CI$5)+1),""))</f>
        <v/>
      </c>
      <c r="DV46" s="1753" t="str" cm="1">
        <f t="array" ref="DV46">IF($CG46="","",IF(INDEX($D$6:$CB$53,MATCH($CG46,$B$6:$B$53,0),COLUMN()-COLUMN($CI$5)+1)&gt;0,INDEX($D$6:$CB$53,MATCH($CG46,$B$6:$B$53,0),COLUMN()-COLUMN($CI$5)+1),""))</f>
        <v/>
      </c>
      <c r="DW46" s="1753" t="str" cm="1">
        <f t="array" ref="DW46">IF($CG46="","",IF(INDEX($D$6:$CB$53,MATCH($CG46,$B$6:$B$53,0),COLUMN()-COLUMN($CI$5)+1)&gt;0,INDEX($D$6:$CB$53,MATCH($CG46,$B$6:$B$53,0),COLUMN()-COLUMN($CI$5)+1),""))</f>
        <v/>
      </c>
      <c r="DX46" s="1753" t="str" cm="1">
        <f t="array" ref="DX46">IF($CG46="","",IF(INDEX($D$6:$CB$53,MATCH($CG46,$B$6:$B$53,0),COLUMN()-COLUMN($CI$5)+1)&gt;0,INDEX($D$6:$CB$53,MATCH($CG46,$B$6:$B$53,0),COLUMN()-COLUMN($CI$5)+1),""))</f>
        <v/>
      </c>
      <c r="DY46" s="1753" t="str" cm="1">
        <f t="array" ref="DY46">IF($CG46="","",IF(INDEX($D$6:$CB$53,MATCH($CG46,$B$6:$B$53,0),COLUMN()-COLUMN($CI$5)+1)&gt;0,INDEX($D$6:$CB$53,MATCH($CG46,$B$6:$B$53,0),COLUMN()-COLUMN($CI$5)+1),""))</f>
        <v/>
      </c>
      <c r="DZ46" s="1753" t="str" cm="1">
        <f t="array" ref="DZ46">IF($CG46="","",IF(INDEX($D$6:$CB$53,MATCH($CG46,$B$6:$B$53,0),COLUMN()-COLUMN($CI$5)+1)&gt;0,INDEX($D$6:$CB$53,MATCH($CG46,$B$6:$B$53,0),COLUMN()-COLUMN($CI$5)+1),""))</f>
        <v/>
      </c>
      <c r="EA46" s="1753" t="str" cm="1">
        <f t="array" ref="EA46">IF($CG46="","",IF(INDEX($D$6:$CB$53,MATCH($CG46,$B$6:$B$53,0),COLUMN()-COLUMN($CI$5)+1)&gt;0,INDEX($D$6:$CB$53,MATCH($CG46,$B$6:$B$53,0),COLUMN()-COLUMN($CI$5)+1),""))</f>
        <v/>
      </c>
      <c r="EB46" s="1753" t="str" cm="1">
        <f t="array" ref="EB46">IF($CG46="","",IF(INDEX($D$6:$CB$53,MATCH($CG46,$B$6:$B$53,0),COLUMN()-COLUMN($CI$5)+1)&gt;0,INDEX($D$6:$CB$53,MATCH($CG46,$B$6:$B$53,0),COLUMN()-COLUMN($CI$5)+1),""))</f>
        <v/>
      </c>
      <c r="EC46" s="1753" t="str" cm="1">
        <f t="array" ref="EC46">IF($CG46="","",IF(INDEX($D$6:$CB$53,MATCH($CG46,$B$6:$B$53,0),COLUMN()-COLUMN($CI$5)+1)&gt;0,INDEX($D$6:$CB$53,MATCH($CG46,$B$6:$B$53,0),COLUMN()-COLUMN($CI$5)+1),""))</f>
        <v/>
      </c>
      <c r="ED46" s="1753" t="str" cm="1">
        <f t="array" ref="ED46">IF($CG46="","",IF(INDEX($D$6:$CB$53,MATCH($CG46,$B$6:$B$53,0),COLUMN()-COLUMN($CI$5)+1)&gt;0,INDEX($D$6:$CB$53,MATCH($CG46,$B$6:$B$53,0),COLUMN()-COLUMN($CI$5)+1),""))</f>
        <v/>
      </c>
      <c r="EE46" s="1753" t="str" cm="1">
        <f t="array" ref="EE46">IF($CG46="","",IF(INDEX($D$6:$CB$53,MATCH($CG46,$B$6:$B$53,0),COLUMN()-COLUMN($CI$5)+1)&gt;0,INDEX($D$6:$CB$53,MATCH($CG46,$B$6:$B$53,0),COLUMN()-COLUMN($CI$5)+1),""))</f>
        <v/>
      </c>
      <c r="EF46" s="1753" t="str" cm="1">
        <f t="array" ref="EF46">IF($CG46="","",IF(INDEX($D$6:$CB$53,MATCH($CG46,$B$6:$B$53,0),COLUMN()-COLUMN($CI$5)+1)&gt;0,INDEX($D$6:$CB$53,MATCH($CG46,$B$6:$B$53,0),COLUMN()-COLUMN($CI$5)+1),""))</f>
        <v/>
      </c>
      <c r="EG46" s="1753" t="str" cm="1">
        <f t="array" ref="EG46">IF($CG46="","",IF(INDEX($D$6:$CB$53,MATCH($CG46,$B$6:$B$53,0),COLUMN()-COLUMN($CI$5)+1)&gt;0,INDEX($D$6:$CB$53,MATCH($CG46,$B$6:$B$53,0),COLUMN()-COLUMN($CI$5)+1),""))</f>
        <v/>
      </c>
      <c r="EH46" s="1753" t="str" cm="1">
        <f t="array" ref="EH46">IF($CG46="","",IF(INDEX($D$6:$CB$53,MATCH($CG46,$B$6:$B$53,0),COLUMN()-COLUMN($CI$5)+1)&gt;0,INDEX($D$6:$CB$53,MATCH($CG46,$B$6:$B$53,0),COLUMN()-COLUMN($CI$5)+1),""))</f>
        <v/>
      </c>
      <c r="EI46" s="1753" t="str" cm="1">
        <f t="array" ref="EI46">IF($CG46="","",IF(INDEX($D$6:$CB$53,MATCH($CG46,$B$6:$B$53,0),COLUMN()-COLUMN($CI$5)+1)&gt;0,INDEX($D$6:$CB$53,MATCH($CG46,$B$6:$B$53,0),COLUMN()-COLUMN($CI$5)+1),""))</f>
        <v/>
      </c>
      <c r="EJ46" s="1753" t="str" cm="1">
        <f t="array" ref="EJ46">IF($CG46="","",IF(INDEX($D$6:$CB$53,MATCH($CG46,$B$6:$B$53,0),COLUMN()-COLUMN($CI$5)+1)&gt;0,INDEX($D$6:$CB$53,MATCH($CG46,$B$6:$B$53,0),COLUMN()-COLUMN($CI$5)+1),""))</f>
        <v/>
      </c>
      <c r="EK46" s="1753" t="str" cm="1">
        <f t="array" ref="EK46">IF($CG46="","",IF(INDEX($D$6:$CB$53,MATCH($CG46,$B$6:$B$53,0),COLUMN()-COLUMN($CI$5)+1)&gt;0,INDEX($D$6:$CB$53,MATCH($CG46,$B$6:$B$53,0),COLUMN()-COLUMN($CI$5)+1),""))</f>
        <v/>
      </c>
      <c r="EL46" s="1753" t="str" cm="1">
        <f t="array" ref="EL46">IF($CG46="","",IF(INDEX($D$6:$CB$53,MATCH($CG46,$B$6:$B$53,0),COLUMN()-COLUMN($CI$5)+1)&gt;0,INDEX($D$6:$CB$53,MATCH($CG46,$B$6:$B$53,0),COLUMN()-COLUMN($CI$5)+1),""))</f>
        <v/>
      </c>
      <c r="EM46" s="1753" t="str" cm="1">
        <f t="array" ref="EM46">IF($CG46="","",IF(INDEX($D$6:$CB$53,MATCH($CG46,$B$6:$B$53,0),COLUMN()-COLUMN($CI$5)+1)&gt;0,INDEX($D$6:$CB$53,MATCH($CG46,$B$6:$B$53,0),COLUMN()-COLUMN($CI$5)+1),""))</f>
        <v/>
      </c>
      <c r="EN46" s="1753" t="str" cm="1">
        <f t="array" ref="EN46">IF($CG46="","",IF(INDEX($D$6:$CB$53,MATCH($CG46,$B$6:$B$53,0),COLUMN()-COLUMN($CI$5)+1)&gt;0,INDEX($D$6:$CB$53,MATCH($CG46,$B$6:$B$53,0),COLUMN()-COLUMN($CI$5)+1),""))</f>
        <v/>
      </c>
      <c r="EO46" s="1753" t="str" cm="1">
        <f t="array" ref="EO46">IF($CG46="","",IF(INDEX($D$6:$CB$53,MATCH($CG46,$B$6:$B$53,0),COLUMN()-COLUMN($CI$5)+1)&gt;0,INDEX($D$6:$CB$53,MATCH($CG46,$B$6:$B$53,0),COLUMN()-COLUMN($CI$5)+1),""))</f>
        <v/>
      </c>
      <c r="EP46" s="1753" t="str" cm="1">
        <f t="array" ref="EP46">IF($CG46="","",IF(INDEX($D$6:$CB$53,MATCH($CG46,$B$6:$B$53,0),COLUMN()-COLUMN($CI$5)+1)&gt;0,INDEX($D$6:$CB$53,MATCH($CG46,$B$6:$B$53,0),COLUMN()-COLUMN($CI$5)+1),""))</f>
        <v/>
      </c>
      <c r="EQ46" s="1753" t="str" cm="1">
        <f t="array" ref="EQ46">IF($CG46="","",IF(INDEX($D$6:$CB$53,MATCH($CG46,$B$6:$B$53,0),COLUMN()-COLUMN($CI$5)+1)&gt;0,INDEX($D$6:$CB$53,MATCH($CG46,$B$6:$B$53,0),COLUMN()-COLUMN($CI$5)+1),""))</f>
        <v/>
      </c>
      <c r="ER46" s="1753" t="str" cm="1">
        <f t="array" ref="ER46">IF($CG46="","",IF(INDEX($D$6:$CB$53,MATCH($CG46,$B$6:$B$53,0),COLUMN()-COLUMN($CI$5)+1)&gt;0,INDEX($D$6:$CB$53,MATCH($CG46,$B$6:$B$53,0),COLUMN()-COLUMN($CI$5)+1),""))</f>
        <v/>
      </c>
      <c r="ES46" s="1753" t="str" cm="1">
        <f t="array" ref="ES46">IF($CG46="","",IF(INDEX($D$6:$CB$53,MATCH($CG46,$B$6:$B$53,0),COLUMN()-COLUMN($CI$5)+1)&gt;0,INDEX($D$6:$CB$53,MATCH($CG46,$B$6:$B$53,0),COLUMN()-COLUMN($CI$5)+1),""))</f>
        <v/>
      </c>
      <c r="ET46" s="1753" t="str" cm="1">
        <f t="array" ref="ET46">IF($CG46="","",IF(INDEX($D$6:$CB$53,MATCH($CG46,$B$6:$B$53,0),COLUMN()-COLUMN($CI$5)+1)&gt;0,INDEX($D$6:$CB$53,MATCH($CG46,$B$6:$B$53,0),COLUMN()-COLUMN($CI$5)+1),""))</f>
        <v/>
      </c>
      <c r="EU46" s="1753" t="str" cm="1">
        <f t="array" ref="EU46">IF($CG46="","",IF(INDEX($D$6:$CB$53,MATCH($CG46,$B$6:$B$53,0),COLUMN()-COLUMN($CI$5)+1)&gt;0,INDEX($D$6:$CB$53,MATCH($CG46,$B$6:$B$53,0),COLUMN()-COLUMN($CI$5)+1),""))</f>
        <v/>
      </c>
      <c r="EV46" s="1753" t="str" cm="1">
        <f t="array" ref="EV46">IF($CG46="","",IF(INDEX($D$6:$CB$53,MATCH($CG46,$B$6:$B$53,0),COLUMN()-COLUMN($CI$5)+1)&gt;0,INDEX($D$6:$CB$53,MATCH($CG46,$B$6:$B$53,0),COLUMN()-COLUMN($CI$5)+1),""))</f>
        <v/>
      </c>
      <c r="EW46" s="1753" t="str" cm="1">
        <f t="array" ref="EW46">IF($CG46="","",IF(INDEX($D$6:$CB$53,MATCH($CG46,$B$6:$B$53,0),COLUMN()-COLUMN($CI$5)+1)&gt;0,INDEX($D$6:$CB$53,MATCH($CG46,$B$6:$B$53,0),COLUMN()-COLUMN($CI$5)+1),""))</f>
        <v/>
      </c>
      <c r="EX46" s="1753" t="str" cm="1">
        <f t="array" ref="EX46">IF($CG46="","",IF(INDEX($D$6:$CB$53,MATCH($CG46,$B$6:$B$53,0),COLUMN()-COLUMN($CI$5)+1)&gt;0,INDEX($D$6:$CB$53,MATCH($CG46,$B$6:$B$53,0),COLUMN()-COLUMN($CI$5)+1),""))</f>
        <v/>
      </c>
      <c r="EY46" s="1753" t="str" cm="1">
        <f t="array" ref="EY46">IF($CG46="","",IF(INDEX($D$6:$CB$53,MATCH($CG46,$B$6:$B$53,0),COLUMN()-COLUMN($CI$5)+1)&gt;0,INDEX($D$6:$CB$53,MATCH($CG46,$B$6:$B$53,0),COLUMN()-COLUMN($CI$5)+1),""))</f>
        <v/>
      </c>
      <c r="EZ46" s="1753" t="str" cm="1">
        <f t="array" ref="EZ46">IF($CG46="","",IF(INDEX($D$6:$CB$53,MATCH($CG46,$B$6:$B$53,0),COLUMN()-COLUMN($CI$5)+1)&gt;0,INDEX($D$6:$CB$53,MATCH($CG46,$B$6:$B$53,0),COLUMN()-COLUMN($CI$5)+1),""))</f>
        <v/>
      </c>
      <c r="FA46" s="1753" t="str" cm="1">
        <f t="array" ref="FA46">IF($CG46="","",IF(INDEX($D$6:$CB$53,MATCH($CG46,$B$6:$B$53,0),COLUMN()-COLUMN($CI$5)+1)&gt;0,INDEX($D$6:$CB$53,MATCH($CG46,$B$6:$B$53,0),COLUMN()-COLUMN($CI$5)+1),""))</f>
        <v/>
      </c>
      <c r="FB46" s="1753" t="str" cm="1">
        <f t="array" ref="FB46">IF($CG46="","",IF(INDEX($D$6:$CB$53,MATCH($CG46,$B$6:$B$53,0),COLUMN()-COLUMN($CI$5)+1)&gt;0,INDEX($D$6:$CB$53,MATCH($CG46,$B$6:$B$53,0),COLUMN()-COLUMN($CI$5)+1),""))</f>
        <v/>
      </c>
      <c r="FC46" s="1753" t="str" cm="1">
        <f t="array" ref="FC46">IF($CG46="","",IF(INDEX($D$6:$CB$53,MATCH($CG46,$B$6:$B$53,0),COLUMN()-COLUMN($CI$5)+1)&gt;0,INDEX($D$6:$CB$53,MATCH($CG46,$B$6:$B$53,0),COLUMN()-COLUMN($CI$5)+1),""))</f>
        <v/>
      </c>
      <c r="FD46" s="1753" t="str" cm="1">
        <f t="array" ref="FD46">IF($CG46="","",IF(INDEX($D$6:$CB$53,MATCH($CG46,$B$6:$B$53,0),COLUMN()-COLUMN($CI$5)+1)&gt;0,INDEX($D$6:$CB$53,MATCH($CG46,$B$6:$B$53,0),COLUMN()-COLUMN($CI$5)+1),""))</f>
        <v/>
      </c>
      <c r="FE46" s="1753" t="str" cm="1">
        <f t="array" ref="FE46">IF($CG46="","",IF(INDEX($D$6:$CB$53,MATCH($CG46,$B$6:$B$53,0),COLUMN()-COLUMN($CI$5)+1)&gt;0,INDEX($D$6:$CB$53,MATCH($CG46,$B$6:$B$53,0),COLUMN()-COLUMN($CI$5)+1),""))</f>
        <v/>
      </c>
      <c r="FF46" s="1753" t="str" cm="1">
        <f t="array" ref="FF46">IF($CG46="","",IF(INDEX($D$6:$CB$53,MATCH($CG46,$B$6:$B$53,0),COLUMN()-COLUMN($CI$5)+1)&gt;0,INDEX($D$6:$CB$53,MATCH($CG46,$B$6:$B$53,0),COLUMN()-COLUMN($CI$5)+1),""))</f>
        <v/>
      </c>
      <c r="FG46" s="1753" t="str" cm="1">
        <f t="array" ref="FG46">IF($CG46="","",IF(INDEX($D$6:$CB$53,MATCH($CG46,$B$6:$B$53,0),COLUMN()-COLUMN($CI$5)+1)&gt;0,INDEX($D$6:$CB$53,MATCH($CG46,$B$6:$B$53,0),COLUMN()-COLUMN($CI$5)+1),""))</f>
        <v/>
      </c>
      <c r="FH46" s="1753" t="str">
        <f t="shared" si="7"/>
        <v/>
      </c>
      <c r="FI46" s="1753" t="str">
        <f t="shared" si="8"/>
        <v/>
      </c>
      <c r="FJ46" s="1753" t="str">
        <f t="shared" si="9"/>
        <v/>
      </c>
      <c r="FK46" s="1753"/>
    </row>
    <row r="47" spans="1:167" ht="15.75" customHeight="1">
      <c r="A47" s="1220"/>
      <c r="B47" s="1278">
        <f>+PP!B65</f>
        <v>42</v>
      </c>
      <c r="C47" s="1279" t="str">
        <f>+PP!C65</f>
        <v>TENTACULO C/B S/V SR 300-500 g/pza</v>
      </c>
      <c r="D47" s="1421"/>
      <c r="E47" s="1422"/>
      <c r="F47" s="1422"/>
      <c r="G47" s="1422"/>
      <c r="H47" s="1422"/>
      <c r="I47" s="1422"/>
      <c r="J47" s="1422"/>
      <c r="K47" s="1422"/>
      <c r="L47" s="1422"/>
      <c r="M47" s="1422"/>
      <c r="N47" s="1405"/>
      <c r="O47" s="1405"/>
      <c r="P47" s="1405"/>
      <c r="Q47" s="1405"/>
      <c r="R47" s="1405"/>
      <c r="S47" s="1405"/>
      <c r="T47" s="1405"/>
      <c r="U47" s="1405"/>
      <c r="V47" s="1405"/>
      <c r="W47" s="1405"/>
      <c r="X47" s="1405"/>
      <c r="Y47" s="1405"/>
      <c r="Z47" s="1405"/>
      <c r="AA47" s="1422"/>
      <c r="AB47" s="1422"/>
      <c r="AC47" s="1422"/>
      <c r="AD47" s="1422"/>
      <c r="AE47" s="1422"/>
      <c r="AF47" s="1422"/>
      <c r="AG47" s="1422"/>
      <c r="AH47" s="1235"/>
      <c r="AI47" s="1235"/>
      <c r="AJ47" s="1235"/>
      <c r="AK47" s="1235"/>
      <c r="AL47" s="1235"/>
      <c r="AM47" s="1235"/>
      <c r="AN47" s="1235"/>
      <c r="AO47" s="1235"/>
      <c r="AP47" s="1218"/>
      <c r="AQ47" s="1218"/>
      <c r="AR47" s="1218"/>
      <c r="AS47" s="1218"/>
      <c r="AT47" s="1218"/>
      <c r="AU47" s="1218"/>
      <c r="AV47" s="1218"/>
      <c r="AW47" s="1218"/>
      <c r="AX47" s="1218"/>
      <c r="AY47" s="1218"/>
      <c r="AZ47" s="1218"/>
      <c r="BA47" s="1218"/>
      <c r="BB47" s="1218"/>
      <c r="BC47" s="1218"/>
      <c r="BD47" s="1218"/>
      <c r="BE47" s="1218"/>
      <c r="BF47" s="1218"/>
      <c r="BG47" s="1218"/>
      <c r="BH47" s="1218"/>
      <c r="BI47" s="1218"/>
      <c r="BJ47" s="1218"/>
      <c r="BK47" s="1218"/>
      <c r="BL47" s="1218"/>
      <c r="BM47" s="1218"/>
      <c r="BN47" s="1218"/>
      <c r="BO47" s="1218"/>
      <c r="BP47" s="1218"/>
      <c r="BQ47" s="1218"/>
      <c r="BR47" s="1557"/>
      <c r="BS47" s="1557"/>
      <c r="BT47" s="1557"/>
      <c r="BU47" s="1557"/>
      <c r="BV47" s="1557"/>
      <c r="BW47" s="1557"/>
      <c r="BX47" s="1557"/>
      <c r="BY47" s="1557"/>
      <c r="BZ47" s="1557"/>
      <c r="CA47" s="1557"/>
      <c r="CB47" s="1564"/>
      <c r="CC47" s="1550">
        <f t="shared" si="0"/>
        <v>0</v>
      </c>
      <c r="CD47" s="1236">
        <f t="shared" si="1"/>
        <v>0</v>
      </c>
      <c r="CE47" s="1237">
        <f t="shared" si="2"/>
        <v>0</v>
      </c>
      <c r="CF47" s="1220"/>
      <c r="CG47" s="1751" t="str" cm="1">
        <f t="array" ref="CG47">IFERROR(INDEX($B$6:$B$53,_xlfn.AGGREGATE(15,6,(ROW($B$6:$B$53)-ROW($B$6)+1)/(MMULT(--($D$6:$CB$53&gt;0),TRANSPOSE(COLUMN($D$6:$CB$6)^0))&gt;0),ROWS($CG$6:CG47))),"")</f>
        <v/>
      </c>
      <c r="CH47" s="1752" t="str">
        <f t="shared" si="3"/>
        <v/>
      </c>
      <c r="CI47" s="1753" t="str" cm="1">
        <f t="array" ref="CI47">IF($CG47="","",IF(INDEX($D$6:$CB$53,MATCH($CG47,$B$6:$B$53,0),COLUMN()-COLUMN($CI$5)+1)&gt;0,INDEX($D$6:$CB$53,MATCH($CG47,$B$6:$B$53,0),COLUMN()-COLUMN($CI$5)+1),""))</f>
        <v/>
      </c>
      <c r="CJ47" s="1753" t="str" cm="1">
        <f t="array" ref="CJ47">IF($CG47="","",IF(INDEX($D$6:$CB$53,MATCH($CG47,$B$6:$B$53,0),COLUMN()-COLUMN($CI$5)+1)&gt;0,INDEX($D$6:$CB$53,MATCH($CG47,$B$6:$B$53,0),COLUMN()-COLUMN($CI$5)+1),""))</f>
        <v/>
      </c>
      <c r="CK47" s="1753" t="str" cm="1">
        <f t="array" ref="CK47">IF($CG47="","",IF(INDEX($D$6:$CB$53,MATCH($CG47,$B$6:$B$53,0),COLUMN()-COLUMN($CI$5)+1)&gt;0,INDEX($D$6:$CB$53,MATCH($CG47,$B$6:$B$53,0),COLUMN()-COLUMN($CI$5)+1),""))</f>
        <v/>
      </c>
      <c r="CL47" s="1753" t="str" cm="1">
        <f t="array" ref="CL47">IF($CG47="","",IF(INDEX($D$6:$CB$53,MATCH($CG47,$B$6:$B$53,0),COLUMN()-COLUMN($CI$5)+1)&gt;0,INDEX($D$6:$CB$53,MATCH($CG47,$B$6:$B$53,0),COLUMN()-COLUMN($CI$5)+1),""))</f>
        <v/>
      </c>
      <c r="CM47" s="1753" t="str" cm="1">
        <f t="array" ref="CM47">IF($CG47="","",IF(INDEX($D$6:$CB$53,MATCH($CG47,$B$6:$B$53,0),COLUMN()-COLUMN($CI$5)+1)&gt;0,INDEX($D$6:$CB$53,MATCH($CG47,$B$6:$B$53,0),COLUMN()-COLUMN($CI$5)+1),""))</f>
        <v/>
      </c>
      <c r="CN47" s="1753" t="str" cm="1">
        <f t="array" ref="CN47">IF($CG47="","",IF(INDEX($D$6:$CB$53,MATCH($CG47,$B$6:$B$53,0),COLUMN()-COLUMN($CI$5)+1)&gt;0,INDEX($D$6:$CB$53,MATCH($CG47,$B$6:$B$53,0),COLUMN()-COLUMN($CI$5)+1),""))</f>
        <v/>
      </c>
      <c r="CO47" s="1753" t="str" cm="1">
        <f t="array" ref="CO47">IF($CG47="","",IF(INDEX($D$6:$CB$53,MATCH($CG47,$B$6:$B$53,0),COLUMN()-COLUMN($CI$5)+1)&gt;0,INDEX($D$6:$CB$53,MATCH($CG47,$B$6:$B$53,0),COLUMN()-COLUMN($CI$5)+1),""))</f>
        <v/>
      </c>
      <c r="CP47" s="1753" t="str" cm="1">
        <f t="array" ref="CP47">IF($CG47="","",IF(INDEX($D$6:$CB$53,MATCH($CG47,$B$6:$B$53,0),COLUMN()-COLUMN($CI$5)+1)&gt;0,INDEX($D$6:$CB$53,MATCH($CG47,$B$6:$B$53,0),COLUMN()-COLUMN($CI$5)+1),""))</f>
        <v/>
      </c>
      <c r="CQ47" s="1753" t="str" cm="1">
        <f t="array" ref="CQ47">IF($CG47="","",IF(INDEX($D$6:$CB$53,MATCH($CG47,$B$6:$B$53,0),COLUMN()-COLUMN($CI$5)+1)&gt;0,INDEX($D$6:$CB$53,MATCH($CG47,$B$6:$B$53,0),COLUMN()-COLUMN($CI$5)+1),""))</f>
        <v/>
      </c>
      <c r="CR47" s="1753" t="str" cm="1">
        <f t="array" ref="CR47">IF($CG47="","",IF(INDEX($D$6:$CB$53,MATCH($CG47,$B$6:$B$53,0),COLUMN()-COLUMN($CI$5)+1)&gt;0,INDEX($D$6:$CB$53,MATCH($CG47,$B$6:$B$53,0),COLUMN()-COLUMN($CI$5)+1),""))</f>
        <v/>
      </c>
      <c r="CS47" s="1753" t="str" cm="1">
        <f t="array" ref="CS47">IF($CG47="","",IF(INDEX($D$6:$CB$53,MATCH($CG47,$B$6:$B$53,0),COLUMN()-COLUMN($CI$5)+1)&gt;0,INDEX($D$6:$CB$53,MATCH($CG47,$B$6:$B$53,0),COLUMN()-COLUMN($CI$5)+1),""))</f>
        <v/>
      </c>
      <c r="CT47" s="1753" t="str" cm="1">
        <f t="array" ref="CT47">IF($CG47="","",IF(INDEX($D$6:$CB$53,MATCH($CG47,$B$6:$B$53,0),COLUMN()-COLUMN($CI$5)+1)&gt;0,INDEX($D$6:$CB$53,MATCH($CG47,$B$6:$B$53,0),COLUMN()-COLUMN($CI$5)+1),""))</f>
        <v/>
      </c>
      <c r="CU47" s="1753" t="str" cm="1">
        <f t="array" ref="CU47">IF($CG47="","",IF(INDEX($D$6:$CB$53,MATCH($CG47,$B$6:$B$53,0),COLUMN()-COLUMN($CI$5)+1)&gt;0,INDEX($D$6:$CB$53,MATCH($CG47,$B$6:$B$53,0),COLUMN()-COLUMN($CI$5)+1),""))</f>
        <v/>
      </c>
      <c r="CV47" s="1753" t="str" cm="1">
        <f t="array" ref="CV47">IF($CG47="","",IF(INDEX($D$6:$CB$53,MATCH($CG47,$B$6:$B$53,0),COLUMN()-COLUMN($CI$5)+1)&gt;0,INDEX($D$6:$CB$53,MATCH($CG47,$B$6:$B$53,0),COLUMN()-COLUMN($CI$5)+1),""))</f>
        <v/>
      </c>
      <c r="CW47" s="1753" t="str" cm="1">
        <f t="array" ref="CW47">IF($CG47="","",IF(INDEX($D$6:$CB$53,MATCH($CG47,$B$6:$B$53,0),COLUMN()-COLUMN($CI$5)+1)&gt;0,INDEX($D$6:$CB$53,MATCH($CG47,$B$6:$B$53,0),COLUMN()-COLUMN($CI$5)+1),""))</f>
        <v/>
      </c>
      <c r="CX47" s="1753" t="str" cm="1">
        <f t="array" ref="CX47">IF($CG47="","",IF(INDEX($D$6:$CB$53,MATCH($CG47,$B$6:$B$53,0),COLUMN()-COLUMN($CI$5)+1)&gt;0,INDEX($D$6:$CB$53,MATCH($CG47,$B$6:$B$53,0),COLUMN()-COLUMN($CI$5)+1),""))</f>
        <v/>
      </c>
      <c r="CY47" s="1753" t="str" cm="1">
        <f t="array" ref="CY47">IF($CG47="","",IF(INDEX($D$6:$CB$53,MATCH($CG47,$B$6:$B$53,0),COLUMN()-COLUMN($CI$5)+1)&gt;0,INDEX($D$6:$CB$53,MATCH($CG47,$B$6:$B$53,0),COLUMN()-COLUMN($CI$5)+1),""))</f>
        <v/>
      </c>
      <c r="CZ47" s="1753" t="str" cm="1">
        <f t="array" ref="CZ47">IF($CG47="","",IF(INDEX($D$6:$CB$53,MATCH($CG47,$B$6:$B$53,0),COLUMN()-COLUMN($CI$5)+1)&gt;0,INDEX($D$6:$CB$53,MATCH($CG47,$B$6:$B$53,0),COLUMN()-COLUMN($CI$5)+1),""))</f>
        <v/>
      </c>
      <c r="DA47" s="1753" t="str" cm="1">
        <f t="array" ref="DA47">IF($CG47="","",IF(INDEX($D$6:$CB$53,MATCH($CG47,$B$6:$B$53,0),COLUMN()-COLUMN($CI$5)+1)&gt;0,INDEX($D$6:$CB$53,MATCH($CG47,$B$6:$B$53,0),COLUMN()-COLUMN($CI$5)+1),""))</f>
        <v/>
      </c>
      <c r="DB47" s="1753" t="str" cm="1">
        <f t="array" ref="DB47">IF($CG47="","",IF(INDEX($D$6:$CB$53,MATCH($CG47,$B$6:$B$53,0),COLUMN()-COLUMN($CI$5)+1)&gt;0,INDEX($D$6:$CB$53,MATCH($CG47,$B$6:$B$53,0),COLUMN()-COLUMN($CI$5)+1),""))</f>
        <v/>
      </c>
      <c r="DC47" s="1753" t="str" cm="1">
        <f t="array" ref="DC47">IF($CG47="","",IF(INDEX($D$6:$CB$53,MATCH($CG47,$B$6:$B$53,0),COLUMN()-COLUMN($CI$5)+1)&gt;0,INDEX($D$6:$CB$53,MATCH($CG47,$B$6:$B$53,0),COLUMN()-COLUMN($CI$5)+1),""))</f>
        <v/>
      </c>
      <c r="DD47" s="1753" t="str" cm="1">
        <f t="array" ref="DD47">IF($CG47="","",IF(INDEX($D$6:$CB$53,MATCH($CG47,$B$6:$B$53,0),COLUMN()-COLUMN($CI$5)+1)&gt;0,INDEX($D$6:$CB$53,MATCH($CG47,$B$6:$B$53,0),COLUMN()-COLUMN($CI$5)+1),""))</f>
        <v/>
      </c>
      <c r="DE47" s="1753" t="str" cm="1">
        <f t="array" ref="DE47">IF($CG47="","",IF(INDEX($D$6:$CB$53,MATCH($CG47,$B$6:$B$53,0),COLUMN()-COLUMN($CI$5)+1)&gt;0,INDEX($D$6:$CB$53,MATCH($CG47,$B$6:$B$53,0),COLUMN()-COLUMN($CI$5)+1),""))</f>
        <v/>
      </c>
      <c r="DF47" s="1753" t="str" cm="1">
        <f t="array" ref="DF47">IF($CG47="","",IF(INDEX($D$6:$CB$53,MATCH($CG47,$B$6:$B$53,0),COLUMN()-COLUMN($CI$5)+1)&gt;0,INDEX($D$6:$CB$53,MATCH($CG47,$B$6:$B$53,0),COLUMN()-COLUMN($CI$5)+1),""))</f>
        <v/>
      </c>
      <c r="DG47" s="1753" t="str" cm="1">
        <f t="array" ref="DG47">IF($CG47="","",IF(INDEX($D$6:$CB$53,MATCH($CG47,$B$6:$B$53,0),COLUMN()-COLUMN($CI$5)+1)&gt;0,INDEX($D$6:$CB$53,MATCH($CG47,$B$6:$B$53,0),COLUMN()-COLUMN($CI$5)+1),""))</f>
        <v/>
      </c>
      <c r="DH47" s="1753" t="str" cm="1">
        <f t="array" ref="DH47">IF($CG47="","",IF(INDEX($D$6:$CB$53,MATCH($CG47,$B$6:$B$53,0),COLUMN()-COLUMN($CI$5)+1)&gt;0,INDEX($D$6:$CB$53,MATCH($CG47,$B$6:$B$53,0),COLUMN()-COLUMN($CI$5)+1),""))</f>
        <v/>
      </c>
      <c r="DI47" s="1753" t="str" cm="1">
        <f t="array" ref="DI47">IF($CG47="","",IF(INDEX($D$6:$CB$53,MATCH($CG47,$B$6:$B$53,0),COLUMN()-COLUMN($CI$5)+1)&gt;0,INDEX($D$6:$CB$53,MATCH($CG47,$B$6:$B$53,0),COLUMN()-COLUMN($CI$5)+1),""))</f>
        <v/>
      </c>
      <c r="DJ47" s="1753" t="str" cm="1">
        <f t="array" ref="DJ47">IF($CG47="","",IF(INDEX($D$6:$CB$53,MATCH($CG47,$B$6:$B$53,0),COLUMN()-COLUMN($CI$5)+1)&gt;0,INDEX($D$6:$CB$53,MATCH($CG47,$B$6:$B$53,0),COLUMN()-COLUMN($CI$5)+1),""))</f>
        <v/>
      </c>
      <c r="DK47" s="1753" t="str" cm="1">
        <f t="array" ref="DK47">IF($CG47="","",IF(INDEX($D$6:$CB$53,MATCH($CG47,$B$6:$B$53,0),COLUMN()-COLUMN($CI$5)+1)&gt;0,INDEX($D$6:$CB$53,MATCH($CG47,$B$6:$B$53,0),COLUMN()-COLUMN($CI$5)+1),""))</f>
        <v/>
      </c>
      <c r="DL47" s="1753" t="str" cm="1">
        <f t="array" ref="DL47">IF($CG47="","",IF(INDEX($D$6:$CB$53,MATCH($CG47,$B$6:$B$53,0),COLUMN()-COLUMN($CI$5)+1)&gt;0,INDEX($D$6:$CB$53,MATCH($CG47,$B$6:$B$53,0),COLUMN()-COLUMN($CI$5)+1),""))</f>
        <v/>
      </c>
      <c r="DM47" s="1753" t="str" cm="1">
        <f t="array" ref="DM47">IF($CG47="","",IF(INDEX($D$6:$CB$53,MATCH($CG47,$B$6:$B$53,0),COLUMN()-COLUMN($CI$5)+1)&gt;0,INDEX($D$6:$CB$53,MATCH($CG47,$B$6:$B$53,0),COLUMN()-COLUMN($CI$5)+1),""))</f>
        <v/>
      </c>
      <c r="DN47" s="1753" t="str" cm="1">
        <f t="array" ref="DN47">IF($CG47="","",IF(INDEX($D$6:$CB$53,MATCH($CG47,$B$6:$B$53,0),COLUMN()-COLUMN($CI$5)+1)&gt;0,INDEX($D$6:$CB$53,MATCH($CG47,$B$6:$B$53,0),COLUMN()-COLUMN($CI$5)+1),""))</f>
        <v/>
      </c>
      <c r="DO47" s="1753" t="str" cm="1">
        <f t="array" ref="DO47">IF($CG47="","",IF(INDEX($D$6:$CB$53,MATCH($CG47,$B$6:$B$53,0),COLUMN()-COLUMN($CI$5)+1)&gt;0,INDEX($D$6:$CB$53,MATCH($CG47,$B$6:$B$53,0),COLUMN()-COLUMN($CI$5)+1),""))</f>
        <v/>
      </c>
      <c r="DP47" s="1753" t="str" cm="1">
        <f t="array" ref="DP47">IF($CG47="","",IF(INDEX($D$6:$CB$53,MATCH($CG47,$B$6:$B$53,0),COLUMN()-COLUMN($CI$5)+1)&gt;0,INDEX($D$6:$CB$53,MATCH($CG47,$B$6:$B$53,0),COLUMN()-COLUMN($CI$5)+1),""))</f>
        <v/>
      </c>
      <c r="DQ47" s="1753" t="str" cm="1">
        <f t="array" ref="DQ47">IF($CG47="","",IF(INDEX($D$6:$CB$53,MATCH($CG47,$B$6:$B$53,0),COLUMN()-COLUMN($CI$5)+1)&gt;0,INDEX($D$6:$CB$53,MATCH($CG47,$B$6:$B$53,0),COLUMN()-COLUMN($CI$5)+1),""))</f>
        <v/>
      </c>
      <c r="DR47" s="1753" t="str" cm="1">
        <f t="array" ref="DR47">IF($CG47="","",IF(INDEX($D$6:$CB$53,MATCH($CG47,$B$6:$B$53,0),COLUMN()-COLUMN($CI$5)+1)&gt;0,INDEX($D$6:$CB$53,MATCH($CG47,$B$6:$B$53,0),COLUMN()-COLUMN($CI$5)+1),""))</f>
        <v/>
      </c>
      <c r="DS47" s="1753" t="str" cm="1">
        <f t="array" ref="DS47">IF($CG47="","",IF(INDEX($D$6:$CB$53,MATCH($CG47,$B$6:$B$53,0),COLUMN()-COLUMN($CI$5)+1)&gt;0,INDEX($D$6:$CB$53,MATCH($CG47,$B$6:$B$53,0),COLUMN()-COLUMN($CI$5)+1),""))</f>
        <v/>
      </c>
      <c r="DT47" s="1753" t="str" cm="1">
        <f t="array" ref="DT47">IF($CG47="","",IF(INDEX($D$6:$CB$53,MATCH($CG47,$B$6:$B$53,0),COLUMN()-COLUMN($CI$5)+1)&gt;0,INDEX($D$6:$CB$53,MATCH($CG47,$B$6:$B$53,0),COLUMN()-COLUMN($CI$5)+1),""))</f>
        <v/>
      </c>
      <c r="DU47" s="1753" t="str" cm="1">
        <f t="array" ref="DU47">IF($CG47="","",IF(INDEX($D$6:$CB$53,MATCH($CG47,$B$6:$B$53,0),COLUMN()-COLUMN($CI$5)+1)&gt;0,INDEX($D$6:$CB$53,MATCH($CG47,$B$6:$B$53,0),COLUMN()-COLUMN($CI$5)+1),""))</f>
        <v/>
      </c>
      <c r="DV47" s="1753" t="str" cm="1">
        <f t="array" ref="DV47">IF($CG47="","",IF(INDEX($D$6:$CB$53,MATCH($CG47,$B$6:$B$53,0),COLUMN()-COLUMN($CI$5)+1)&gt;0,INDEX($D$6:$CB$53,MATCH($CG47,$B$6:$B$53,0),COLUMN()-COLUMN($CI$5)+1),""))</f>
        <v/>
      </c>
      <c r="DW47" s="1753" t="str" cm="1">
        <f t="array" ref="DW47">IF($CG47="","",IF(INDEX($D$6:$CB$53,MATCH($CG47,$B$6:$B$53,0),COLUMN()-COLUMN($CI$5)+1)&gt;0,INDEX($D$6:$CB$53,MATCH($CG47,$B$6:$B$53,0),COLUMN()-COLUMN($CI$5)+1),""))</f>
        <v/>
      </c>
      <c r="DX47" s="1753" t="str" cm="1">
        <f t="array" ref="DX47">IF($CG47="","",IF(INDEX($D$6:$CB$53,MATCH($CG47,$B$6:$B$53,0),COLUMN()-COLUMN($CI$5)+1)&gt;0,INDEX($D$6:$CB$53,MATCH($CG47,$B$6:$B$53,0),COLUMN()-COLUMN($CI$5)+1),""))</f>
        <v/>
      </c>
      <c r="DY47" s="1753" t="str" cm="1">
        <f t="array" ref="DY47">IF($CG47="","",IF(INDEX($D$6:$CB$53,MATCH($CG47,$B$6:$B$53,0),COLUMN()-COLUMN($CI$5)+1)&gt;0,INDEX($D$6:$CB$53,MATCH($CG47,$B$6:$B$53,0),COLUMN()-COLUMN($CI$5)+1),""))</f>
        <v/>
      </c>
      <c r="DZ47" s="1753" t="str" cm="1">
        <f t="array" ref="DZ47">IF($CG47="","",IF(INDEX($D$6:$CB$53,MATCH($CG47,$B$6:$B$53,0),COLUMN()-COLUMN($CI$5)+1)&gt;0,INDEX($D$6:$CB$53,MATCH($CG47,$B$6:$B$53,0),COLUMN()-COLUMN($CI$5)+1),""))</f>
        <v/>
      </c>
      <c r="EA47" s="1753" t="str" cm="1">
        <f t="array" ref="EA47">IF($CG47="","",IF(INDEX($D$6:$CB$53,MATCH($CG47,$B$6:$B$53,0),COLUMN()-COLUMN($CI$5)+1)&gt;0,INDEX($D$6:$CB$53,MATCH($CG47,$B$6:$B$53,0),COLUMN()-COLUMN($CI$5)+1),""))</f>
        <v/>
      </c>
      <c r="EB47" s="1753" t="str" cm="1">
        <f t="array" ref="EB47">IF($CG47="","",IF(INDEX($D$6:$CB$53,MATCH($CG47,$B$6:$B$53,0),COLUMN()-COLUMN($CI$5)+1)&gt;0,INDEX($D$6:$CB$53,MATCH($CG47,$B$6:$B$53,0),COLUMN()-COLUMN($CI$5)+1),""))</f>
        <v/>
      </c>
      <c r="EC47" s="1753" t="str" cm="1">
        <f t="array" ref="EC47">IF($CG47="","",IF(INDEX($D$6:$CB$53,MATCH($CG47,$B$6:$B$53,0),COLUMN()-COLUMN($CI$5)+1)&gt;0,INDEX($D$6:$CB$53,MATCH($CG47,$B$6:$B$53,0),COLUMN()-COLUMN($CI$5)+1),""))</f>
        <v/>
      </c>
      <c r="ED47" s="1753" t="str" cm="1">
        <f t="array" ref="ED47">IF($CG47="","",IF(INDEX($D$6:$CB$53,MATCH($CG47,$B$6:$B$53,0),COLUMN()-COLUMN($CI$5)+1)&gt;0,INDEX($D$6:$CB$53,MATCH($CG47,$B$6:$B$53,0),COLUMN()-COLUMN($CI$5)+1),""))</f>
        <v/>
      </c>
      <c r="EE47" s="1753" t="str" cm="1">
        <f t="array" ref="EE47">IF($CG47="","",IF(INDEX($D$6:$CB$53,MATCH($CG47,$B$6:$B$53,0),COLUMN()-COLUMN($CI$5)+1)&gt;0,INDEX($D$6:$CB$53,MATCH($CG47,$B$6:$B$53,0),COLUMN()-COLUMN($CI$5)+1),""))</f>
        <v/>
      </c>
      <c r="EF47" s="1753" t="str" cm="1">
        <f t="array" ref="EF47">IF($CG47="","",IF(INDEX($D$6:$CB$53,MATCH($CG47,$B$6:$B$53,0),COLUMN()-COLUMN($CI$5)+1)&gt;0,INDEX($D$6:$CB$53,MATCH($CG47,$B$6:$B$53,0),COLUMN()-COLUMN($CI$5)+1),""))</f>
        <v/>
      </c>
      <c r="EG47" s="1753" t="str" cm="1">
        <f t="array" ref="EG47">IF($CG47="","",IF(INDEX($D$6:$CB$53,MATCH($CG47,$B$6:$B$53,0),COLUMN()-COLUMN($CI$5)+1)&gt;0,INDEX($D$6:$CB$53,MATCH($CG47,$B$6:$B$53,0),COLUMN()-COLUMN($CI$5)+1),""))</f>
        <v/>
      </c>
      <c r="EH47" s="1753" t="str" cm="1">
        <f t="array" ref="EH47">IF($CG47="","",IF(INDEX($D$6:$CB$53,MATCH($CG47,$B$6:$B$53,0),COLUMN()-COLUMN($CI$5)+1)&gt;0,INDEX($D$6:$CB$53,MATCH($CG47,$B$6:$B$53,0),COLUMN()-COLUMN($CI$5)+1),""))</f>
        <v/>
      </c>
      <c r="EI47" s="1753" t="str" cm="1">
        <f t="array" ref="EI47">IF($CG47="","",IF(INDEX($D$6:$CB$53,MATCH($CG47,$B$6:$B$53,0),COLUMN()-COLUMN($CI$5)+1)&gt;0,INDEX($D$6:$CB$53,MATCH($CG47,$B$6:$B$53,0),COLUMN()-COLUMN($CI$5)+1),""))</f>
        <v/>
      </c>
      <c r="EJ47" s="1753" t="str" cm="1">
        <f t="array" ref="EJ47">IF($CG47="","",IF(INDEX($D$6:$CB$53,MATCH($CG47,$B$6:$B$53,0),COLUMN()-COLUMN($CI$5)+1)&gt;0,INDEX($D$6:$CB$53,MATCH($CG47,$B$6:$B$53,0),COLUMN()-COLUMN($CI$5)+1),""))</f>
        <v/>
      </c>
      <c r="EK47" s="1753" t="str" cm="1">
        <f t="array" ref="EK47">IF($CG47="","",IF(INDEX($D$6:$CB$53,MATCH($CG47,$B$6:$B$53,0),COLUMN()-COLUMN($CI$5)+1)&gt;0,INDEX($D$6:$CB$53,MATCH($CG47,$B$6:$B$53,0),COLUMN()-COLUMN($CI$5)+1),""))</f>
        <v/>
      </c>
      <c r="EL47" s="1753" t="str" cm="1">
        <f t="array" ref="EL47">IF($CG47="","",IF(INDEX($D$6:$CB$53,MATCH($CG47,$B$6:$B$53,0),COLUMN()-COLUMN($CI$5)+1)&gt;0,INDEX($D$6:$CB$53,MATCH($CG47,$B$6:$B$53,0),COLUMN()-COLUMN($CI$5)+1),""))</f>
        <v/>
      </c>
      <c r="EM47" s="1753" t="str" cm="1">
        <f t="array" ref="EM47">IF($CG47="","",IF(INDEX($D$6:$CB$53,MATCH($CG47,$B$6:$B$53,0),COLUMN()-COLUMN($CI$5)+1)&gt;0,INDEX($D$6:$CB$53,MATCH($CG47,$B$6:$B$53,0),COLUMN()-COLUMN($CI$5)+1),""))</f>
        <v/>
      </c>
      <c r="EN47" s="1753" t="str" cm="1">
        <f t="array" ref="EN47">IF($CG47="","",IF(INDEX($D$6:$CB$53,MATCH($CG47,$B$6:$B$53,0),COLUMN()-COLUMN($CI$5)+1)&gt;0,INDEX($D$6:$CB$53,MATCH($CG47,$B$6:$B$53,0),COLUMN()-COLUMN($CI$5)+1),""))</f>
        <v/>
      </c>
      <c r="EO47" s="1753" t="str" cm="1">
        <f t="array" ref="EO47">IF($CG47="","",IF(INDEX($D$6:$CB$53,MATCH($CG47,$B$6:$B$53,0),COLUMN()-COLUMN($CI$5)+1)&gt;0,INDEX($D$6:$CB$53,MATCH($CG47,$B$6:$B$53,0),COLUMN()-COLUMN($CI$5)+1),""))</f>
        <v/>
      </c>
      <c r="EP47" s="1753" t="str" cm="1">
        <f t="array" ref="EP47">IF($CG47="","",IF(INDEX($D$6:$CB$53,MATCH($CG47,$B$6:$B$53,0),COLUMN()-COLUMN($CI$5)+1)&gt;0,INDEX($D$6:$CB$53,MATCH($CG47,$B$6:$B$53,0),COLUMN()-COLUMN($CI$5)+1),""))</f>
        <v/>
      </c>
      <c r="EQ47" s="1753" t="str" cm="1">
        <f t="array" ref="EQ47">IF($CG47="","",IF(INDEX($D$6:$CB$53,MATCH($CG47,$B$6:$B$53,0),COLUMN()-COLUMN($CI$5)+1)&gt;0,INDEX($D$6:$CB$53,MATCH($CG47,$B$6:$B$53,0),COLUMN()-COLUMN($CI$5)+1),""))</f>
        <v/>
      </c>
      <c r="ER47" s="1753" t="str" cm="1">
        <f t="array" ref="ER47">IF($CG47="","",IF(INDEX($D$6:$CB$53,MATCH($CG47,$B$6:$B$53,0),COLUMN()-COLUMN($CI$5)+1)&gt;0,INDEX($D$6:$CB$53,MATCH($CG47,$B$6:$B$53,0),COLUMN()-COLUMN($CI$5)+1),""))</f>
        <v/>
      </c>
      <c r="ES47" s="1753" t="str" cm="1">
        <f t="array" ref="ES47">IF($CG47="","",IF(INDEX($D$6:$CB$53,MATCH($CG47,$B$6:$B$53,0),COLUMN()-COLUMN($CI$5)+1)&gt;0,INDEX($D$6:$CB$53,MATCH($CG47,$B$6:$B$53,0),COLUMN()-COLUMN($CI$5)+1),""))</f>
        <v/>
      </c>
      <c r="ET47" s="1753" t="str" cm="1">
        <f t="array" ref="ET47">IF($CG47="","",IF(INDEX($D$6:$CB$53,MATCH($CG47,$B$6:$B$53,0),COLUMN()-COLUMN($CI$5)+1)&gt;0,INDEX($D$6:$CB$53,MATCH($CG47,$B$6:$B$53,0),COLUMN()-COLUMN($CI$5)+1),""))</f>
        <v/>
      </c>
      <c r="EU47" s="1753" t="str" cm="1">
        <f t="array" ref="EU47">IF($CG47="","",IF(INDEX($D$6:$CB$53,MATCH($CG47,$B$6:$B$53,0),COLUMN()-COLUMN($CI$5)+1)&gt;0,INDEX($D$6:$CB$53,MATCH($CG47,$B$6:$B$53,0),COLUMN()-COLUMN($CI$5)+1),""))</f>
        <v/>
      </c>
      <c r="EV47" s="1753" t="str" cm="1">
        <f t="array" ref="EV47">IF($CG47="","",IF(INDEX($D$6:$CB$53,MATCH($CG47,$B$6:$B$53,0),COLUMN()-COLUMN($CI$5)+1)&gt;0,INDEX($D$6:$CB$53,MATCH($CG47,$B$6:$B$53,0),COLUMN()-COLUMN($CI$5)+1),""))</f>
        <v/>
      </c>
      <c r="EW47" s="1753" t="str" cm="1">
        <f t="array" ref="EW47">IF($CG47="","",IF(INDEX($D$6:$CB$53,MATCH($CG47,$B$6:$B$53,0),COLUMN()-COLUMN($CI$5)+1)&gt;0,INDEX($D$6:$CB$53,MATCH($CG47,$B$6:$B$53,0),COLUMN()-COLUMN($CI$5)+1),""))</f>
        <v/>
      </c>
      <c r="EX47" s="1753" t="str" cm="1">
        <f t="array" ref="EX47">IF($CG47="","",IF(INDEX($D$6:$CB$53,MATCH($CG47,$B$6:$B$53,0),COLUMN()-COLUMN($CI$5)+1)&gt;0,INDEX($D$6:$CB$53,MATCH($CG47,$B$6:$B$53,0),COLUMN()-COLUMN($CI$5)+1),""))</f>
        <v/>
      </c>
      <c r="EY47" s="1753" t="str" cm="1">
        <f t="array" ref="EY47">IF($CG47="","",IF(INDEX($D$6:$CB$53,MATCH($CG47,$B$6:$B$53,0),COLUMN()-COLUMN($CI$5)+1)&gt;0,INDEX($D$6:$CB$53,MATCH($CG47,$B$6:$B$53,0),COLUMN()-COLUMN($CI$5)+1),""))</f>
        <v/>
      </c>
      <c r="EZ47" s="1753" t="str" cm="1">
        <f t="array" ref="EZ47">IF($CG47="","",IF(INDEX($D$6:$CB$53,MATCH($CG47,$B$6:$B$53,0),COLUMN()-COLUMN($CI$5)+1)&gt;0,INDEX($D$6:$CB$53,MATCH($CG47,$B$6:$B$53,0),COLUMN()-COLUMN($CI$5)+1),""))</f>
        <v/>
      </c>
      <c r="FA47" s="1753" t="str" cm="1">
        <f t="array" ref="FA47">IF($CG47="","",IF(INDEX($D$6:$CB$53,MATCH($CG47,$B$6:$B$53,0),COLUMN()-COLUMN($CI$5)+1)&gt;0,INDEX($D$6:$CB$53,MATCH($CG47,$B$6:$B$53,0),COLUMN()-COLUMN($CI$5)+1),""))</f>
        <v/>
      </c>
      <c r="FB47" s="1753" t="str" cm="1">
        <f t="array" ref="FB47">IF($CG47="","",IF(INDEX($D$6:$CB$53,MATCH($CG47,$B$6:$B$53,0),COLUMN()-COLUMN($CI$5)+1)&gt;0,INDEX($D$6:$CB$53,MATCH($CG47,$B$6:$B$53,0),COLUMN()-COLUMN($CI$5)+1),""))</f>
        <v/>
      </c>
      <c r="FC47" s="1753" t="str" cm="1">
        <f t="array" ref="FC47">IF($CG47="","",IF(INDEX($D$6:$CB$53,MATCH($CG47,$B$6:$B$53,0),COLUMN()-COLUMN($CI$5)+1)&gt;0,INDEX($D$6:$CB$53,MATCH($CG47,$B$6:$B$53,0),COLUMN()-COLUMN($CI$5)+1),""))</f>
        <v/>
      </c>
      <c r="FD47" s="1753" t="str" cm="1">
        <f t="array" ref="FD47">IF($CG47="","",IF(INDEX($D$6:$CB$53,MATCH($CG47,$B$6:$B$53,0),COLUMN()-COLUMN($CI$5)+1)&gt;0,INDEX($D$6:$CB$53,MATCH($CG47,$B$6:$B$53,0),COLUMN()-COLUMN($CI$5)+1),""))</f>
        <v/>
      </c>
      <c r="FE47" s="1753" t="str" cm="1">
        <f t="array" ref="FE47">IF($CG47="","",IF(INDEX($D$6:$CB$53,MATCH($CG47,$B$6:$B$53,0),COLUMN()-COLUMN($CI$5)+1)&gt;0,INDEX($D$6:$CB$53,MATCH($CG47,$B$6:$B$53,0),COLUMN()-COLUMN($CI$5)+1),""))</f>
        <v/>
      </c>
      <c r="FF47" s="1753" t="str" cm="1">
        <f t="array" ref="FF47">IF($CG47="","",IF(INDEX($D$6:$CB$53,MATCH($CG47,$B$6:$B$53,0),COLUMN()-COLUMN($CI$5)+1)&gt;0,INDEX($D$6:$CB$53,MATCH($CG47,$B$6:$B$53,0),COLUMN()-COLUMN($CI$5)+1),""))</f>
        <v/>
      </c>
      <c r="FG47" s="1753" t="str" cm="1">
        <f t="array" ref="FG47">IF($CG47="","",IF(INDEX($D$6:$CB$53,MATCH($CG47,$B$6:$B$53,0),COLUMN()-COLUMN($CI$5)+1)&gt;0,INDEX($D$6:$CB$53,MATCH($CG47,$B$6:$B$53,0),COLUMN()-COLUMN($CI$5)+1),""))</f>
        <v/>
      </c>
      <c r="FH47" s="1753" t="str">
        <f t="shared" si="7"/>
        <v/>
      </c>
      <c r="FI47" s="1753" t="str">
        <f t="shared" si="8"/>
        <v/>
      </c>
      <c r="FJ47" s="1753" t="str">
        <f t="shared" si="9"/>
        <v/>
      </c>
      <c r="FK47" s="1753"/>
    </row>
    <row r="48" spans="1:167" ht="15.75" customHeight="1">
      <c r="A48" s="1220"/>
      <c r="B48" s="1278">
        <f>+PP!B66</f>
        <v>43</v>
      </c>
      <c r="C48" s="1279" t="str">
        <f>+PP!C66</f>
        <v>TENTACULO C/B C/V SR 500-1000 g/pza (SUCIO)</v>
      </c>
      <c r="D48" s="1404"/>
      <c r="E48" s="1405"/>
      <c r="F48" s="1405"/>
      <c r="G48" s="1405"/>
      <c r="H48" s="1405"/>
      <c r="I48" s="1405"/>
      <c r="J48" s="1405"/>
      <c r="K48" s="1405"/>
      <c r="L48" s="1405"/>
      <c r="M48" s="1405"/>
      <c r="N48" s="1405"/>
      <c r="O48" s="1405"/>
      <c r="P48" s="1405"/>
      <c r="Q48" s="1405"/>
      <c r="R48" s="1405"/>
      <c r="S48" s="1405"/>
      <c r="T48" s="1405"/>
      <c r="U48" s="1405"/>
      <c r="V48" s="1405"/>
      <c r="W48" s="1405"/>
      <c r="X48" s="1405"/>
      <c r="Y48" s="1405"/>
      <c r="Z48" s="1405"/>
      <c r="AA48" s="1405"/>
      <c r="AB48" s="1405"/>
      <c r="AC48" s="1405"/>
      <c r="AD48" s="1405"/>
      <c r="AE48" s="1405"/>
      <c r="AF48" s="1422"/>
      <c r="AG48" s="1422"/>
      <c r="AH48" s="1235"/>
      <c r="AI48" s="1235"/>
      <c r="AJ48" s="1235"/>
      <c r="AK48" s="1235"/>
      <c r="AL48" s="1235"/>
      <c r="AM48" s="1235"/>
      <c r="AN48" s="1235"/>
      <c r="AO48" s="1235"/>
      <c r="AP48" s="1218"/>
      <c r="AQ48" s="1218"/>
      <c r="AR48" s="1218"/>
      <c r="AS48" s="1218"/>
      <c r="AT48" s="1218"/>
      <c r="AU48" s="1218"/>
      <c r="AV48" s="1218"/>
      <c r="AW48" s="1218"/>
      <c r="AX48" s="1218"/>
      <c r="AY48" s="1218"/>
      <c r="AZ48" s="1218"/>
      <c r="BA48" s="1218"/>
      <c r="BB48" s="1218"/>
      <c r="BC48" s="1218"/>
      <c r="BD48" s="1218"/>
      <c r="BE48" s="1218"/>
      <c r="BF48" s="1218"/>
      <c r="BG48" s="1218"/>
      <c r="BH48" s="1218"/>
      <c r="BI48" s="1218"/>
      <c r="BJ48" s="1218"/>
      <c r="BK48" s="1218"/>
      <c r="BL48" s="1218"/>
      <c r="BM48" s="1218"/>
      <c r="BN48" s="1218"/>
      <c r="BO48" s="1218"/>
      <c r="BP48" s="1218"/>
      <c r="BQ48" s="1218"/>
      <c r="BR48" s="1557"/>
      <c r="BS48" s="1557"/>
      <c r="BT48" s="1557"/>
      <c r="BU48" s="1557"/>
      <c r="BV48" s="1557"/>
      <c r="BW48" s="1557"/>
      <c r="BX48" s="1557"/>
      <c r="BY48" s="1557"/>
      <c r="BZ48" s="1557"/>
      <c r="CA48" s="1557"/>
      <c r="CB48" s="1564"/>
      <c r="CC48" s="1550">
        <f t="shared" si="0"/>
        <v>0</v>
      </c>
      <c r="CD48" s="1236">
        <f t="shared" si="1"/>
        <v>0</v>
      </c>
      <c r="CE48" s="1237">
        <f t="shared" si="2"/>
        <v>0</v>
      </c>
      <c r="CF48" s="1220"/>
      <c r="CG48" s="1751" t="str" cm="1">
        <f t="array" ref="CG48">IFERROR(INDEX($B$6:$B$53,_xlfn.AGGREGATE(15,6,(ROW($B$6:$B$53)-ROW($B$6)+1)/(MMULT(--($D$6:$CB$53&gt;0),TRANSPOSE(COLUMN($D$6:$CB$6)^0))&gt;0),ROWS($CG$6:CG48))),"")</f>
        <v/>
      </c>
      <c r="CH48" s="1752" t="str">
        <f t="shared" si="3"/>
        <v/>
      </c>
      <c r="CI48" s="1753" t="str" cm="1">
        <f t="array" ref="CI48">IF($CG48="","",IF(INDEX($D$6:$CB$53,MATCH($CG48,$B$6:$B$53,0),COLUMN()-COLUMN($CI$5)+1)&gt;0,INDEX($D$6:$CB$53,MATCH($CG48,$B$6:$B$53,0),COLUMN()-COLUMN($CI$5)+1),""))</f>
        <v/>
      </c>
      <c r="CJ48" s="1753" t="str" cm="1">
        <f t="array" ref="CJ48">IF($CG48="","",IF(INDEX($D$6:$CB$53,MATCH($CG48,$B$6:$B$53,0),COLUMN()-COLUMN($CI$5)+1)&gt;0,INDEX($D$6:$CB$53,MATCH($CG48,$B$6:$B$53,0),COLUMN()-COLUMN($CI$5)+1),""))</f>
        <v/>
      </c>
      <c r="CK48" s="1753" t="str" cm="1">
        <f t="array" ref="CK48">IF($CG48="","",IF(INDEX($D$6:$CB$53,MATCH($CG48,$B$6:$B$53,0),COLUMN()-COLUMN($CI$5)+1)&gt;0,INDEX($D$6:$CB$53,MATCH($CG48,$B$6:$B$53,0),COLUMN()-COLUMN($CI$5)+1),""))</f>
        <v/>
      </c>
      <c r="CL48" s="1753" t="str" cm="1">
        <f t="array" ref="CL48">IF($CG48="","",IF(INDEX($D$6:$CB$53,MATCH($CG48,$B$6:$B$53,0),COLUMN()-COLUMN($CI$5)+1)&gt;0,INDEX($D$6:$CB$53,MATCH($CG48,$B$6:$B$53,0),COLUMN()-COLUMN($CI$5)+1),""))</f>
        <v/>
      </c>
      <c r="CM48" s="1753" t="str" cm="1">
        <f t="array" ref="CM48">IF($CG48="","",IF(INDEX($D$6:$CB$53,MATCH($CG48,$B$6:$B$53,0),COLUMN()-COLUMN($CI$5)+1)&gt;0,INDEX($D$6:$CB$53,MATCH($CG48,$B$6:$B$53,0),COLUMN()-COLUMN($CI$5)+1),""))</f>
        <v/>
      </c>
      <c r="CN48" s="1753" t="str" cm="1">
        <f t="array" ref="CN48">IF($CG48="","",IF(INDEX($D$6:$CB$53,MATCH($CG48,$B$6:$B$53,0),COLUMN()-COLUMN($CI$5)+1)&gt;0,INDEX($D$6:$CB$53,MATCH($CG48,$B$6:$B$53,0),COLUMN()-COLUMN($CI$5)+1),""))</f>
        <v/>
      </c>
      <c r="CO48" s="1753" t="str" cm="1">
        <f t="array" ref="CO48">IF($CG48="","",IF(INDEX($D$6:$CB$53,MATCH($CG48,$B$6:$B$53,0),COLUMN()-COLUMN($CI$5)+1)&gt;0,INDEX($D$6:$CB$53,MATCH($CG48,$B$6:$B$53,0),COLUMN()-COLUMN($CI$5)+1),""))</f>
        <v/>
      </c>
      <c r="CP48" s="1753" t="str" cm="1">
        <f t="array" ref="CP48">IF($CG48="","",IF(INDEX($D$6:$CB$53,MATCH($CG48,$B$6:$B$53,0),COLUMN()-COLUMN($CI$5)+1)&gt;0,INDEX($D$6:$CB$53,MATCH($CG48,$B$6:$B$53,0),COLUMN()-COLUMN($CI$5)+1),""))</f>
        <v/>
      </c>
      <c r="CQ48" s="1753" t="str" cm="1">
        <f t="array" ref="CQ48">IF($CG48="","",IF(INDEX($D$6:$CB$53,MATCH($CG48,$B$6:$B$53,0),COLUMN()-COLUMN($CI$5)+1)&gt;0,INDEX($D$6:$CB$53,MATCH($CG48,$B$6:$B$53,0),COLUMN()-COLUMN($CI$5)+1),""))</f>
        <v/>
      </c>
      <c r="CR48" s="1753" t="str" cm="1">
        <f t="array" ref="CR48">IF($CG48="","",IF(INDEX($D$6:$CB$53,MATCH($CG48,$B$6:$B$53,0),COLUMN()-COLUMN($CI$5)+1)&gt;0,INDEX($D$6:$CB$53,MATCH($CG48,$B$6:$B$53,0),COLUMN()-COLUMN($CI$5)+1),""))</f>
        <v/>
      </c>
      <c r="CS48" s="1753" t="str" cm="1">
        <f t="array" ref="CS48">IF($CG48="","",IF(INDEX($D$6:$CB$53,MATCH($CG48,$B$6:$B$53,0),COLUMN()-COLUMN($CI$5)+1)&gt;0,INDEX($D$6:$CB$53,MATCH($CG48,$B$6:$B$53,0),COLUMN()-COLUMN($CI$5)+1),""))</f>
        <v/>
      </c>
      <c r="CT48" s="1753" t="str" cm="1">
        <f t="array" ref="CT48">IF($CG48="","",IF(INDEX($D$6:$CB$53,MATCH($CG48,$B$6:$B$53,0),COLUMN()-COLUMN($CI$5)+1)&gt;0,INDEX($D$6:$CB$53,MATCH($CG48,$B$6:$B$53,0),COLUMN()-COLUMN($CI$5)+1),""))</f>
        <v/>
      </c>
      <c r="CU48" s="1753" t="str" cm="1">
        <f t="array" ref="CU48">IF($CG48="","",IF(INDEX($D$6:$CB$53,MATCH($CG48,$B$6:$B$53,0),COLUMN()-COLUMN($CI$5)+1)&gt;0,INDEX($D$6:$CB$53,MATCH($CG48,$B$6:$B$53,0),COLUMN()-COLUMN($CI$5)+1),""))</f>
        <v/>
      </c>
      <c r="CV48" s="1753" t="str" cm="1">
        <f t="array" ref="CV48">IF($CG48="","",IF(INDEX($D$6:$CB$53,MATCH($CG48,$B$6:$B$53,0),COLUMN()-COLUMN($CI$5)+1)&gt;0,INDEX($D$6:$CB$53,MATCH($CG48,$B$6:$B$53,0),COLUMN()-COLUMN($CI$5)+1),""))</f>
        <v/>
      </c>
      <c r="CW48" s="1753" t="str" cm="1">
        <f t="array" ref="CW48">IF($CG48="","",IF(INDEX($D$6:$CB$53,MATCH($CG48,$B$6:$B$53,0),COLUMN()-COLUMN($CI$5)+1)&gt;0,INDEX($D$6:$CB$53,MATCH($CG48,$B$6:$B$53,0),COLUMN()-COLUMN($CI$5)+1),""))</f>
        <v/>
      </c>
      <c r="CX48" s="1753" t="str" cm="1">
        <f t="array" ref="CX48">IF($CG48="","",IF(INDEX($D$6:$CB$53,MATCH($CG48,$B$6:$B$53,0),COLUMN()-COLUMN($CI$5)+1)&gt;0,INDEX($D$6:$CB$53,MATCH($CG48,$B$6:$B$53,0),COLUMN()-COLUMN($CI$5)+1),""))</f>
        <v/>
      </c>
      <c r="CY48" s="1753" t="str" cm="1">
        <f t="array" ref="CY48">IF($CG48="","",IF(INDEX($D$6:$CB$53,MATCH($CG48,$B$6:$B$53,0),COLUMN()-COLUMN($CI$5)+1)&gt;0,INDEX($D$6:$CB$53,MATCH($CG48,$B$6:$B$53,0),COLUMN()-COLUMN($CI$5)+1),""))</f>
        <v/>
      </c>
      <c r="CZ48" s="1753" t="str" cm="1">
        <f t="array" ref="CZ48">IF($CG48="","",IF(INDEX($D$6:$CB$53,MATCH($CG48,$B$6:$B$53,0),COLUMN()-COLUMN($CI$5)+1)&gt;0,INDEX($D$6:$CB$53,MATCH($CG48,$B$6:$B$53,0),COLUMN()-COLUMN($CI$5)+1),""))</f>
        <v/>
      </c>
      <c r="DA48" s="1753" t="str" cm="1">
        <f t="array" ref="DA48">IF($CG48="","",IF(INDEX($D$6:$CB$53,MATCH($CG48,$B$6:$B$53,0),COLUMN()-COLUMN($CI$5)+1)&gt;0,INDEX($D$6:$CB$53,MATCH($CG48,$B$6:$B$53,0),COLUMN()-COLUMN($CI$5)+1),""))</f>
        <v/>
      </c>
      <c r="DB48" s="1753" t="str" cm="1">
        <f t="array" ref="DB48">IF($CG48="","",IF(INDEX($D$6:$CB$53,MATCH($CG48,$B$6:$B$53,0),COLUMN()-COLUMN($CI$5)+1)&gt;0,INDEX($D$6:$CB$53,MATCH($CG48,$B$6:$B$53,0),COLUMN()-COLUMN($CI$5)+1),""))</f>
        <v/>
      </c>
      <c r="DC48" s="1753" t="str" cm="1">
        <f t="array" ref="DC48">IF($CG48="","",IF(INDEX($D$6:$CB$53,MATCH($CG48,$B$6:$B$53,0),COLUMN()-COLUMN($CI$5)+1)&gt;0,INDEX($D$6:$CB$53,MATCH($CG48,$B$6:$B$53,0),COLUMN()-COLUMN($CI$5)+1),""))</f>
        <v/>
      </c>
      <c r="DD48" s="1753" t="str" cm="1">
        <f t="array" ref="DD48">IF($CG48="","",IF(INDEX($D$6:$CB$53,MATCH($CG48,$B$6:$B$53,0),COLUMN()-COLUMN($CI$5)+1)&gt;0,INDEX($D$6:$CB$53,MATCH($CG48,$B$6:$B$53,0),COLUMN()-COLUMN($CI$5)+1),""))</f>
        <v/>
      </c>
      <c r="DE48" s="1753" t="str" cm="1">
        <f t="array" ref="DE48">IF($CG48="","",IF(INDEX($D$6:$CB$53,MATCH($CG48,$B$6:$B$53,0),COLUMN()-COLUMN($CI$5)+1)&gt;0,INDEX($D$6:$CB$53,MATCH($CG48,$B$6:$B$53,0),COLUMN()-COLUMN($CI$5)+1),""))</f>
        <v/>
      </c>
      <c r="DF48" s="1753" t="str" cm="1">
        <f t="array" ref="DF48">IF($CG48="","",IF(INDEX($D$6:$CB$53,MATCH($CG48,$B$6:$B$53,0),COLUMN()-COLUMN($CI$5)+1)&gt;0,INDEX($D$6:$CB$53,MATCH($CG48,$B$6:$B$53,0),COLUMN()-COLUMN($CI$5)+1),""))</f>
        <v/>
      </c>
      <c r="DG48" s="1753" t="str" cm="1">
        <f t="array" ref="DG48">IF($CG48="","",IF(INDEX($D$6:$CB$53,MATCH($CG48,$B$6:$B$53,0),COLUMN()-COLUMN($CI$5)+1)&gt;0,INDEX($D$6:$CB$53,MATCH($CG48,$B$6:$B$53,0),COLUMN()-COLUMN($CI$5)+1),""))</f>
        <v/>
      </c>
      <c r="DH48" s="1753" t="str" cm="1">
        <f t="array" ref="DH48">IF($CG48="","",IF(INDEX($D$6:$CB$53,MATCH($CG48,$B$6:$B$53,0),COLUMN()-COLUMN($CI$5)+1)&gt;0,INDEX($D$6:$CB$53,MATCH($CG48,$B$6:$B$53,0),COLUMN()-COLUMN($CI$5)+1),""))</f>
        <v/>
      </c>
      <c r="DI48" s="1753" t="str" cm="1">
        <f t="array" ref="DI48">IF($CG48="","",IF(INDEX($D$6:$CB$53,MATCH($CG48,$B$6:$B$53,0),COLUMN()-COLUMN($CI$5)+1)&gt;0,INDEX($D$6:$CB$53,MATCH($CG48,$B$6:$B$53,0),COLUMN()-COLUMN($CI$5)+1),""))</f>
        <v/>
      </c>
      <c r="DJ48" s="1753" t="str" cm="1">
        <f t="array" ref="DJ48">IF($CG48="","",IF(INDEX($D$6:$CB$53,MATCH($CG48,$B$6:$B$53,0),COLUMN()-COLUMN($CI$5)+1)&gt;0,INDEX($D$6:$CB$53,MATCH($CG48,$B$6:$B$53,0),COLUMN()-COLUMN($CI$5)+1),""))</f>
        <v/>
      </c>
      <c r="DK48" s="1753" t="str" cm="1">
        <f t="array" ref="DK48">IF($CG48="","",IF(INDEX($D$6:$CB$53,MATCH($CG48,$B$6:$B$53,0),COLUMN()-COLUMN($CI$5)+1)&gt;0,INDEX($D$6:$CB$53,MATCH($CG48,$B$6:$B$53,0),COLUMN()-COLUMN($CI$5)+1),""))</f>
        <v/>
      </c>
      <c r="DL48" s="1753" t="str" cm="1">
        <f t="array" ref="DL48">IF($CG48="","",IF(INDEX($D$6:$CB$53,MATCH($CG48,$B$6:$B$53,0),COLUMN()-COLUMN($CI$5)+1)&gt;0,INDEX($D$6:$CB$53,MATCH($CG48,$B$6:$B$53,0),COLUMN()-COLUMN($CI$5)+1),""))</f>
        <v/>
      </c>
      <c r="DM48" s="1753" t="str" cm="1">
        <f t="array" ref="DM48">IF($CG48="","",IF(INDEX($D$6:$CB$53,MATCH($CG48,$B$6:$B$53,0),COLUMN()-COLUMN($CI$5)+1)&gt;0,INDEX($D$6:$CB$53,MATCH($CG48,$B$6:$B$53,0),COLUMN()-COLUMN($CI$5)+1),""))</f>
        <v/>
      </c>
      <c r="DN48" s="1753" t="str" cm="1">
        <f t="array" ref="DN48">IF($CG48="","",IF(INDEX($D$6:$CB$53,MATCH($CG48,$B$6:$B$53,0),COLUMN()-COLUMN($CI$5)+1)&gt;0,INDEX($D$6:$CB$53,MATCH($CG48,$B$6:$B$53,0),COLUMN()-COLUMN($CI$5)+1),""))</f>
        <v/>
      </c>
      <c r="DO48" s="1753" t="str" cm="1">
        <f t="array" ref="DO48">IF($CG48="","",IF(INDEX($D$6:$CB$53,MATCH($CG48,$B$6:$B$53,0),COLUMN()-COLUMN($CI$5)+1)&gt;0,INDEX($D$6:$CB$53,MATCH($CG48,$B$6:$B$53,0),COLUMN()-COLUMN($CI$5)+1),""))</f>
        <v/>
      </c>
      <c r="DP48" s="1753" t="str" cm="1">
        <f t="array" ref="DP48">IF($CG48="","",IF(INDEX($D$6:$CB$53,MATCH($CG48,$B$6:$B$53,0),COLUMN()-COLUMN($CI$5)+1)&gt;0,INDEX($D$6:$CB$53,MATCH($CG48,$B$6:$B$53,0),COLUMN()-COLUMN($CI$5)+1),""))</f>
        <v/>
      </c>
      <c r="DQ48" s="1753" t="str" cm="1">
        <f t="array" ref="DQ48">IF($CG48="","",IF(INDEX($D$6:$CB$53,MATCH($CG48,$B$6:$B$53,0),COLUMN()-COLUMN($CI$5)+1)&gt;0,INDEX($D$6:$CB$53,MATCH($CG48,$B$6:$B$53,0),COLUMN()-COLUMN($CI$5)+1),""))</f>
        <v/>
      </c>
      <c r="DR48" s="1753" t="str" cm="1">
        <f t="array" ref="DR48">IF($CG48="","",IF(INDEX($D$6:$CB$53,MATCH($CG48,$B$6:$B$53,0),COLUMN()-COLUMN($CI$5)+1)&gt;0,INDEX($D$6:$CB$53,MATCH($CG48,$B$6:$B$53,0),COLUMN()-COLUMN($CI$5)+1),""))</f>
        <v/>
      </c>
      <c r="DS48" s="1753" t="str" cm="1">
        <f t="array" ref="DS48">IF($CG48="","",IF(INDEX($D$6:$CB$53,MATCH($CG48,$B$6:$B$53,0),COLUMN()-COLUMN($CI$5)+1)&gt;0,INDEX($D$6:$CB$53,MATCH($CG48,$B$6:$B$53,0),COLUMN()-COLUMN($CI$5)+1),""))</f>
        <v/>
      </c>
      <c r="DT48" s="1753" t="str" cm="1">
        <f t="array" ref="DT48">IF($CG48="","",IF(INDEX($D$6:$CB$53,MATCH($CG48,$B$6:$B$53,0),COLUMN()-COLUMN($CI$5)+1)&gt;0,INDEX($D$6:$CB$53,MATCH($CG48,$B$6:$B$53,0),COLUMN()-COLUMN($CI$5)+1),""))</f>
        <v/>
      </c>
      <c r="DU48" s="1753" t="str" cm="1">
        <f t="array" ref="DU48">IF($CG48="","",IF(INDEX($D$6:$CB$53,MATCH($CG48,$B$6:$B$53,0),COLUMN()-COLUMN($CI$5)+1)&gt;0,INDEX($D$6:$CB$53,MATCH($CG48,$B$6:$B$53,0),COLUMN()-COLUMN($CI$5)+1),""))</f>
        <v/>
      </c>
      <c r="DV48" s="1753" t="str" cm="1">
        <f t="array" ref="DV48">IF($CG48="","",IF(INDEX($D$6:$CB$53,MATCH($CG48,$B$6:$B$53,0),COLUMN()-COLUMN($CI$5)+1)&gt;0,INDEX($D$6:$CB$53,MATCH($CG48,$B$6:$B$53,0),COLUMN()-COLUMN($CI$5)+1),""))</f>
        <v/>
      </c>
      <c r="DW48" s="1753" t="str" cm="1">
        <f t="array" ref="DW48">IF($CG48="","",IF(INDEX($D$6:$CB$53,MATCH($CG48,$B$6:$B$53,0),COLUMN()-COLUMN($CI$5)+1)&gt;0,INDEX($D$6:$CB$53,MATCH($CG48,$B$6:$B$53,0),COLUMN()-COLUMN($CI$5)+1),""))</f>
        <v/>
      </c>
      <c r="DX48" s="1753" t="str" cm="1">
        <f t="array" ref="DX48">IF($CG48="","",IF(INDEX($D$6:$CB$53,MATCH($CG48,$B$6:$B$53,0),COLUMN()-COLUMN($CI$5)+1)&gt;0,INDEX($D$6:$CB$53,MATCH($CG48,$B$6:$B$53,0),COLUMN()-COLUMN($CI$5)+1),""))</f>
        <v/>
      </c>
      <c r="DY48" s="1753" t="str" cm="1">
        <f t="array" ref="DY48">IF($CG48="","",IF(INDEX($D$6:$CB$53,MATCH($CG48,$B$6:$B$53,0),COLUMN()-COLUMN($CI$5)+1)&gt;0,INDEX($D$6:$CB$53,MATCH($CG48,$B$6:$B$53,0),COLUMN()-COLUMN($CI$5)+1),""))</f>
        <v/>
      </c>
      <c r="DZ48" s="1753" t="str" cm="1">
        <f t="array" ref="DZ48">IF($CG48="","",IF(INDEX($D$6:$CB$53,MATCH($CG48,$B$6:$B$53,0),COLUMN()-COLUMN($CI$5)+1)&gt;0,INDEX($D$6:$CB$53,MATCH($CG48,$B$6:$B$53,0),COLUMN()-COLUMN($CI$5)+1),""))</f>
        <v/>
      </c>
      <c r="EA48" s="1753" t="str" cm="1">
        <f t="array" ref="EA48">IF($CG48="","",IF(INDEX($D$6:$CB$53,MATCH($CG48,$B$6:$B$53,0),COLUMN()-COLUMN($CI$5)+1)&gt;0,INDEX($D$6:$CB$53,MATCH($CG48,$B$6:$B$53,0),COLUMN()-COLUMN($CI$5)+1),""))</f>
        <v/>
      </c>
      <c r="EB48" s="1753" t="str" cm="1">
        <f t="array" ref="EB48">IF($CG48="","",IF(INDEX($D$6:$CB$53,MATCH($CG48,$B$6:$B$53,0),COLUMN()-COLUMN($CI$5)+1)&gt;0,INDEX($D$6:$CB$53,MATCH($CG48,$B$6:$B$53,0),COLUMN()-COLUMN($CI$5)+1),""))</f>
        <v/>
      </c>
      <c r="EC48" s="1753" t="str" cm="1">
        <f t="array" ref="EC48">IF($CG48="","",IF(INDEX($D$6:$CB$53,MATCH($CG48,$B$6:$B$53,0),COLUMN()-COLUMN($CI$5)+1)&gt;0,INDEX($D$6:$CB$53,MATCH($CG48,$B$6:$B$53,0),COLUMN()-COLUMN($CI$5)+1),""))</f>
        <v/>
      </c>
      <c r="ED48" s="1753" t="str" cm="1">
        <f t="array" ref="ED48">IF($CG48="","",IF(INDEX($D$6:$CB$53,MATCH($CG48,$B$6:$B$53,0),COLUMN()-COLUMN($CI$5)+1)&gt;0,INDEX($D$6:$CB$53,MATCH($CG48,$B$6:$B$53,0),COLUMN()-COLUMN($CI$5)+1),""))</f>
        <v/>
      </c>
      <c r="EE48" s="1753" t="str" cm="1">
        <f t="array" ref="EE48">IF($CG48="","",IF(INDEX($D$6:$CB$53,MATCH($CG48,$B$6:$B$53,0),COLUMN()-COLUMN($CI$5)+1)&gt;0,INDEX($D$6:$CB$53,MATCH($CG48,$B$6:$B$53,0),COLUMN()-COLUMN($CI$5)+1),""))</f>
        <v/>
      </c>
      <c r="EF48" s="1753" t="str" cm="1">
        <f t="array" ref="EF48">IF($CG48="","",IF(INDEX($D$6:$CB$53,MATCH($CG48,$B$6:$B$53,0),COLUMN()-COLUMN($CI$5)+1)&gt;0,INDEX($D$6:$CB$53,MATCH($CG48,$B$6:$B$53,0),COLUMN()-COLUMN($CI$5)+1),""))</f>
        <v/>
      </c>
      <c r="EG48" s="1753" t="str" cm="1">
        <f t="array" ref="EG48">IF($CG48="","",IF(INDEX($D$6:$CB$53,MATCH($CG48,$B$6:$B$53,0),COLUMN()-COLUMN($CI$5)+1)&gt;0,INDEX($D$6:$CB$53,MATCH($CG48,$B$6:$B$53,0),COLUMN()-COLUMN($CI$5)+1),""))</f>
        <v/>
      </c>
      <c r="EH48" s="1753" t="str" cm="1">
        <f t="array" ref="EH48">IF($CG48="","",IF(INDEX($D$6:$CB$53,MATCH($CG48,$B$6:$B$53,0),COLUMN()-COLUMN($CI$5)+1)&gt;0,INDEX($D$6:$CB$53,MATCH($CG48,$B$6:$B$53,0),COLUMN()-COLUMN($CI$5)+1),""))</f>
        <v/>
      </c>
      <c r="EI48" s="1753" t="str" cm="1">
        <f t="array" ref="EI48">IF($CG48="","",IF(INDEX($D$6:$CB$53,MATCH($CG48,$B$6:$B$53,0),COLUMN()-COLUMN($CI$5)+1)&gt;0,INDEX($D$6:$CB$53,MATCH($CG48,$B$6:$B$53,0),COLUMN()-COLUMN($CI$5)+1),""))</f>
        <v/>
      </c>
      <c r="EJ48" s="1753" t="str" cm="1">
        <f t="array" ref="EJ48">IF($CG48="","",IF(INDEX($D$6:$CB$53,MATCH($CG48,$B$6:$B$53,0),COLUMN()-COLUMN($CI$5)+1)&gt;0,INDEX($D$6:$CB$53,MATCH($CG48,$B$6:$B$53,0),COLUMN()-COLUMN($CI$5)+1),""))</f>
        <v/>
      </c>
      <c r="EK48" s="1753" t="str" cm="1">
        <f t="array" ref="EK48">IF($CG48="","",IF(INDEX($D$6:$CB$53,MATCH($CG48,$B$6:$B$53,0),COLUMN()-COLUMN($CI$5)+1)&gt;0,INDEX($D$6:$CB$53,MATCH($CG48,$B$6:$B$53,0),COLUMN()-COLUMN($CI$5)+1),""))</f>
        <v/>
      </c>
      <c r="EL48" s="1753" t="str" cm="1">
        <f t="array" ref="EL48">IF($CG48="","",IF(INDEX($D$6:$CB$53,MATCH($CG48,$B$6:$B$53,0),COLUMN()-COLUMN($CI$5)+1)&gt;0,INDEX($D$6:$CB$53,MATCH($CG48,$B$6:$B$53,0),COLUMN()-COLUMN($CI$5)+1),""))</f>
        <v/>
      </c>
      <c r="EM48" s="1753" t="str" cm="1">
        <f t="array" ref="EM48">IF($CG48="","",IF(INDEX($D$6:$CB$53,MATCH($CG48,$B$6:$B$53,0),COLUMN()-COLUMN($CI$5)+1)&gt;0,INDEX($D$6:$CB$53,MATCH($CG48,$B$6:$B$53,0),COLUMN()-COLUMN($CI$5)+1),""))</f>
        <v/>
      </c>
      <c r="EN48" s="1753" t="str" cm="1">
        <f t="array" ref="EN48">IF($CG48="","",IF(INDEX($D$6:$CB$53,MATCH($CG48,$B$6:$B$53,0),COLUMN()-COLUMN($CI$5)+1)&gt;0,INDEX($D$6:$CB$53,MATCH($CG48,$B$6:$B$53,0),COLUMN()-COLUMN($CI$5)+1),""))</f>
        <v/>
      </c>
      <c r="EO48" s="1753" t="str" cm="1">
        <f t="array" ref="EO48">IF($CG48="","",IF(INDEX($D$6:$CB$53,MATCH($CG48,$B$6:$B$53,0),COLUMN()-COLUMN($CI$5)+1)&gt;0,INDEX($D$6:$CB$53,MATCH($CG48,$B$6:$B$53,0),COLUMN()-COLUMN($CI$5)+1),""))</f>
        <v/>
      </c>
      <c r="EP48" s="1753" t="str" cm="1">
        <f t="array" ref="EP48">IF($CG48="","",IF(INDEX($D$6:$CB$53,MATCH($CG48,$B$6:$B$53,0),COLUMN()-COLUMN($CI$5)+1)&gt;0,INDEX($D$6:$CB$53,MATCH($CG48,$B$6:$B$53,0),COLUMN()-COLUMN($CI$5)+1),""))</f>
        <v/>
      </c>
      <c r="EQ48" s="1753" t="str" cm="1">
        <f t="array" ref="EQ48">IF($CG48="","",IF(INDEX($D$6:$CB$53,MATCH($CG48,$B$6:$B$53,0),COLUMN()-COLUMN($CI$5)+1)&gt;0,INDEX($D$6:$CB$53,MATCH($CG48,$B$6:$B$53,0),COLUMN()-COLUMN($CI$5)+1),""))</f>
        <v/>
      </c>
      <c r="ER48" s="1753" t="str" cm="1">
        <f t="array" ref="ER48">IF($CG48="","",IF(INDEX($D$6:$CB$53,MATCH($CG48,$B$6:$B$53,0),COLUMN()-COLUMN($CI$5)+1)&gt;0,INDEX($D$6:$CB$53,MATCH($CG48,$B$6:$B$53,0),COLUMN()-COLUMN($CI$5)+1),""))</f>
        <v/>
      </c>
      <c r="ES48" s="1753" t="str" cm="1">
        <f t="array" ref="ES48">IF($CG48="","",IF(INDEX($D$6:$CB$53,MATCH($CG48,$B$6:$B$53,0),COLUMN()-COLUMN($CI$5)+1)&gt;0,INDEX($D$6:$CB$53,MATCH($CG48,$B$6:$B$53,0),COLUMN()-COLUMN($CI$5)+1),""))</f>
        <v/>
      </c>
      <c r="ET48" s="1753" t="str" cm="1">
        <f t="array" ref="ET48">IF($CG48="","",IF(INDEX($D$6:$CB$53,MATCH($CG48,$B$6:$B$53,0),COLUMN()-COLUMN($CI$5)+1)&gt;0,INDEX($D$6:$CB$53,MATCH($CG48,$B$6:$B$53,0),COLUMN()-COLUMN($CI$5)+1),""))</f>
        <v/>
      </c>
      <c r="EU48" s="1753" t="str" cm="1">
        <f t="array" ref="EU48">IF($CG48="","",IF(INDEX($D$6:$CB$53,MATCH($CG48,$B$6:$B$53,0),COLUMN()-COLUMN($CI$5)+1)&gt;0,INDEX($D$6:$CB$53,MATCH($CG48,$B$6:$B$53,0),COLUMN()-COLUMN($CI$5)+1),""))</f>
        <v/>
      </c>
      <c r="EV48" s="1753" t="str" cm="1">
        <f t="array" ref="EV48">IF($CG48="","",IF(INDEX($D$6:$CB$53,MATCH($CG48,$B$6:$B$53,0),COLUMN()-COLUMN($CI$5)+1)&gt;0,INDEX($D$6:$CB$53,MATCH($CG48,$B$6:$B$53,0),COLUMN()-COLUMN($CI$5)+1),""))</f>
        <v/>
      </c>
      <c r="EW48" s="1753" t="str" cm="1">
        <f t="array" ref="EW48">IF($CG48="","",IF(INDEX($D$6:$CB$53,MATCH($CG48,$B$6:$B$53,0),COLUMN()-COLUMN($CI$5)+1)&gt;0,INDEX($D$6:$CB$53,MATCH($CG48,$B$6:$B$53,0),COLUMN()-COLUMN($CI$5)+1),""))</f>
        <v/>
      </c>
      <c r="EX48" s="1753" t="str" cm="1">
        <f t="array" ref="EX48">IF($CG48="","",IF(INDEX($D$6:$CB$53,MATCH($CG48,$B$6:$B$53,0),COLUMN()-COLUMN($CI$5)+1)&gt;0,INDEX($D$6:$CB$53,MATCH($CG48,$B$6:$B$53,0),COLUMN()-COLUMN($CI$5)+1),""))</f>
        <v/>
      </c>
      <c r="EY48" s="1753" t="str" cm="1">
        <f t="array" ref="EY48">IF($CG48="","",IF(INDEX($D$6:$CB$53,MATCH($CG48,$B$6:$B$53,0),COLUMN()-COLUMN($CI$5)+1)&gt;0,INDEX($D$6:$CB$53,MATCH($CG48,$B$6:$B$53,0),COLUMN()-COLUMN($CI$5)+1),""))</f>
        <v/>
      </c>
      <c r="EZ48" s="1753" t="str" cm="1">
        <f t="array" ref="EZ48">IF($CG48="","",IF(INDEX($D$6:$CB$53,MATCH($CG48,$B$6:$B$53,0),COLUMN()-COLUMN($CI$5)+1)&gt;0,INDEX($D$6:$CB$53,MATCH($CG48,$B$6:$B$53,0),COLUMN()-COLUMN($CI$5)+1),""))</f>
        <v/>
      </c>
      <c r="FA48" s="1753" t="str" cm="1">
        <f t="array" ref="FA48">IF($CG48="","",IF(INDEX($D$6:$CB$53,MATCH($CG48,$B$6:$B$53,0),COLUMN()-COLUMN($CI$5)+1)&gt;0,INDEX($D$6:$CB$53,MATCH($CG48,$B$6:$B$53,0),COLUMN()-COLUMN($CI$5)+1),""))</f>
        <v/>
      </c>
      <c r="FB48" s="1753" t="str" cm="1">
        <f t="array" ref="FB48">IF($CG48="","",IF(INDEX($D$6:$CB$53,MATCH($CG48,$B$6:$B$53,0),COLUMN()-COLUMN($CI$5)+1)&gt;0,INDEX($D$6:$CB$53,MATCH($CG48,$B$6:$B$53,0),COLUMN()-COLUMN($CI$5)+1),""))</f>
        <v/>
      </c>
      <c r="FC48" s="1753" t="str" cm="1">
        <f t="array" ref="FC48">IF($CG48="","",IF(INDEX($D$6:$CB$53,MATCH($CG48,$B$6:$B$53,0),COLUMN()-COLUMN($CI$5)+1)&gt;0,INDEX($D$6:$CB$53,MATCH($CG48,$B$6:$B$53,0),COLUMN()-COLUMN($CI$5)+1),""))</f>
        <v/>
      </c>
      <c r="FD48" s="1753" t="str" cm="1">
        <f t="array" ref="FD48">IF($CG48="","",IF(INDEX($D$6:$CB$53,MATCH($CG48,$B$6:$B$53,0),COLUMN()-COLUMN($CI$5)+1)&gt;0,INDEX($D$6:$CB$53,MATCH($CG48,$B$6:$B$53,0),COLUMN()-COLUMN($CI$5)+1),""))</f>
        <v/>
      </c>
      <c r="FE48" s="1753" t="str" cm="1">
        <f t="array" ref="FE48">IF($CG48="","",IF(INDEX($D$6:$CB$53,MATCH($CG48,$B$6:$B$53,0),COLUMN()-COLUMN($CI$5)+1)&gt;0,INDEX($D$6:$CB$53,MATCH($CG48,$B$6:$B$53,0),COLUMN()-COLUMN($CI$5)+1),""))</f>
        <v/>
      </c>
      <c r="FF48" s="1753" t="str" cm="1">
        <f t="array" ref="FF48">IF($CG48="","",IF(INDEX($D$6:$CB$53,MATCH($CG48,$B$6:$B$53,0),COLUMN()-COLUMN($CI$5)+1)&gt;0,INDEX($D$6:$CB$53,MATCH($CG48,$B$6:$B$53,0),COLUMN()-COLUMN($CI$5)+1),""))</f>
        <v/>
      </c>
      <c r="FG48" s="1753" t="str" cm="1">
        <f t="array" ref="FG48">IF($CG48="","",IF(INDEX($D$6:$CB$53,MATCH($CG48,$B$6:$B$53,0),COLUMN()-COLUMN($CI$5)+1)&gt;0,INDEX($D$6:$CB$53,MATCH($CG48,$B$6:$B$53,0),COLUMN()-COLUMN($CI$5)+1),""))</f>
        <v/>
      </c>
      <c r="FH48" s="1753" t="str">
        <f t="shared" si="7"/>
        <v/>
      </c>
      <c r="FI48" s="1753" t="str">
        <f t="shared" si="8"/>
        <v/>
      </c>
      <c r="FJ48" s="1753" t="str">
        <f t="shared" si="9"/>
        <v/>
      </c>
      <c r="FK48" s="1753"/>
    </row>
    <row r="49" spans="1:167" ht="15.75" customHeight="1">
      <c r="A49" s="1220"/>
      <c r="B49" s="1278">
        <f>+PP!B67</f>
        <v>44</v>
      </c>
      <c r="C49" s="1279" t="str">
        <f>+PP!C67</f>
        <v>TENTACULO C/B S/V SR 500-1000 g/pza</v>
      </c>
      <c r="D49" s="1421"/>
      <c r="E49" s="1422"/>
      <c r="F49" s="1422"/>
      <c r="G49" s="1422"/>
      <c r="H49" s="1422"/>
      <c r="I49" s="1422"/>
      <c r="J49" s="1422"/>
      <c r="K49" s="1422"/>
      <c r="L49" s="1422"/>
      <c r="M49" s="1422"/>
      <c r="N49" s="1405"/>
      <c r="O49" s="1405"/>
      <c r="P49" s="1405"/>
      <c r="Q49" s="1405"/>
      <c r="R49" s="1405"/>
      <c r="S49" s="1405"/>
      <c r="T49" s="1405"/>
      <c r="U49" s="1405"/>
      <c r="V49" s="1405"/>
      <c r="W49" s="1405"/>
      <c r="X49" s="1405"/>
      <c r="Y49" s="1405"/>
      <c r="Z49" s="1405"/>
      <c r="AA49" s="1422"/>
      <c r="AB49" s="1422"/>
      <c r="AC49" s="1405"/>
      <c r="AD49" s="1422"/>
      <c r="AE49" s="1422"/>
      <c r="AF49" s="1422"/>
      <c r="AG49" s="1422"/>
      <c r="AH49" s="1235"/>
      <c r="AI49" s="1235"/>
      <c r="AJ49" s="1235"/>
      <c r="AK49" s="1235"/>
      <c r="AL49" s="1235"/>
      <c r="AM49" s="1235"/>
      <c r="AN49" s="1235"/>
      <c r="AO49" s="1235"/>
      <c r="AP49" s="1218"/>
      <c r="AQ49" s="1218"/>
      <c r="AR49" s="1218"/>
      <c r="AS49" s="1218"/>
      <c r="AT49" s="1218"/>
      <c r="AU49" s="1218"/>
      <c r="AV49" s="1218"/>
      <c r="AW49" s="1218"/>
      <c r="AX49" s="1218"/>
      <c r="AY49" s="1218"/>
      <c r="AZ49" s="1218"/>
      <c r="BA49" s="1218"/>
      <c r="BB49" s="1218"/>
      <c r="BC49" s="1218"/>
      <c r="BD49" s="1218"/>
      <c r="BE49" s="1218"/>
      <c r="BF49" s="1218"/>
      <c r="BG49" s="1218"/>
      <c r="BH49" s="1218"/>
      <c r="BI49" s="1218"/>
      <c r="BJ49" s="1218"/>
      <c r="BK49" s="1218"/>
      <c r="BL49" s="1218"/>
      <c r="BM49" s="1218"/>
      <c r="BN49" s="1218"/>
      <c r="BO49" s="1218"/>
      <c r="BP49" s="1218"/>
      <c r="BQ49" s="1218"/>
      <c r="BR49" s="1557"/>
      <c r="BS49" s="1557"/>
      <c r="BT49" s="1557"/>
      <c r="BU49" s="1557"/>
      <c r="BV49" s="1557"/>
      <c r="BW49" s="1557"/>
      <c r="BX49" s="1557"/>
      <c r="BY49" s="1557"/>
      <c r="BZ49" s="1557"/>
      <c r="CA49" s="1557"/>
      <c r="CB49" s="1564"/>
      <c r="CC49" s="1550">
        <f t="shared" si="0"/>
        <v>0</v>
      </c>
      <c r="CD49" s="1236">
        <f t="shared" si="1"/>
        <v>0</v>
      </c>
      <c r="CE49" s="1237">
        <f t="shared" si="2"/>
        <v>0</v>
      </c>
      <c r="CF49" s="1220"/>
      <c r="CG49" s="1751" t="str" cm="1">
        <f t="array" ref="CG49">IFERROR(INDEX($B$6:$B$53,_xlfn.AGGREGATE(15,6,(ROW($B$6:$B$53)-ROW($B$6)+1)/(MMULT(--($D$6:$CB$53&gt;0),TRANSPOSE(COLUMN($D$6:$CB$6)^0))&gt;0),ROWS($CG$6:CG49))),"")</f>
        <v/>
      </c>
      <c r="CH49" s="1752" t="str">
        <f t="shared" si="3"/>
        <v/>
      </c>
      <c r="CI49" s="1753" t="str" cm="1">
        <f t="array" ref="CI49">IF($CG49="","",IF(INDEX($D$6:$CB$53,MATCH($CG49,$B$6:$B$53,0),COLUMN()-COLUMN($CI$5)+1)&gt;0,INDEX($D$6:$CB$53,MATCH($CG49,$B$6:$B$53,0),COLUMN()-COLUMN($CI$5)+1),""))</f>
        <v/>
      </c>
      <c r="CJ49" s="1753" t="str" cm="1">
        <f t="array" ref="CJ49">IF($CG49="","",IF(INDEX($D$6:$CB$53,MATCH($CG49,$B$6:$B$53,0),COLUMN()-COLUMN($CI$5)+1)&gt;0,INDEX($D$6:$CB$53,MATCH($CG49,$B$6:$B$53,0),COLUMN()-COLUMN($CI$5)+1),""))</f>
        <v/>
      </c>
      <c r="CK49" s="1753" t="str" cm="1">
        <f t="array" ref="CK49">IF($CG49="","",IF(INDEX($D$6:$CB$53,MATCH($CG49,$B$6:$B$53,0),COLUMN()-COLUMN($CI$5)+1)&gt;0,INDEX($D$6:$CB$53,MATCH($CG49,$B$6:$B$53,0),COLUMN()-COLUMN($CI$5)+1),""))</f>
        <v/>
      </c>
      <c r="CL49" s="1753" t="str" cm="1">
        <f t="array" ref="CL49">IF($CG49="","",IF(INDEX($D$6:$CB$53,MATCH($CG49,$B$6:$B$53,0),COLUMN()-COLUMN($CI$5)+1)&gt;0,INDEX($D$6:$CB$53,MATCH($CG49,$B$6:$B$53,0),COLUMN()-COLUMN($CI$5)+1),""))</f>
        <v/>
      </c>
      <c r="CM49" s="1753" t="str" cm="1">
        <f t="array" ref="CM49">IF($CG49="","",IF(INDEX($D$6:$CB$53,MATCH($CG49,$B$6:$B$53,0),COLUMN()-COLUMN($CI$5)+1)&gt;0,INDEX($D$6:$CB$53,MATCH($CG49,$B$6:$B$53,0),COLUMN()-COLUMN($CI$5)+1),""))</f>
        <v/>
      </c>
      <c r="CN49" s="1753" t="str" cm="1">
        <f t="array" ref="CN49">IF($CG49="","",IF(INDEX($D$6:$CB$53,MATCH($CG49,$B$6:$B$53,0),COLUMN()-COLUMN($CI$5)+1)&gt;0,INDEX($D$6:$CB$53,MATCH($CG49,$B$6:$B$53,0),COLUMN()-COLUMN($CI$5)+1),""))</f>
        <v/>
      </c>
      <c r="CO49" s="1753" t="str" cm="1">
        <f t="array" ref="CO49">IF($CG49="","",IF(INDEX($D$6:$CB$53,MATCH($CG49,$B$6:$B$53,0),COLUMN()-COLUMN($CI$5)+1)&gt;0,INDEX($D$6:$CB$53,MATCH($CG49,$B$6:$B$53,0),COLUMN()-COLUMN($CI$5)+1),""))</f>
        <v/>
      </c>
      <c r="CP49" s="1753" t="str" cm="1">
        <f t="array" ref="CP49">IF($CG49="","",IF(INDEX($D$6:$CB$53,MATCH($CG49,$B$6:$B$53,0),COLUMN()-COLUMN($CI$5)+1)&gt;0,INDEX($D$6:$CB$53,MATCH($CG49,$B$6:$B$53,0),COLUMN()-COLUMN($CI$5)+1),""))</f>
        <v/>
      </c>
      <c r="CQ49" s="1753" t="str" cm="1">
        <f t="array" ref="CQ49">IF($CG49="","",IF(INDEX($D$6:$CB$53,MATCH($CG49,$B$6:$B$53,0),COLUMN()-COLUMN($CI$5)+1)&gt;0,INDEX($D$6:$CB$53,MATCH($CG49,$B$6:$B$53,0),COLUMN()-COLUMN($CI$5)+1),""))</f>
        <v/>
      </c>
      <c r="CR49" s="1753" t="str" cm="1">
        <f t="array" ref="CR49">IF($CG49="","",IF(INDEX($D$6:$CB$53,MATCH($CG49,$B$6:$B$53,0),COLUMN()-COLUMN($CI$5)+1)&gt;0,INDEX($D$6:$CB$53,MATCH($CG49,$B$6:$B$53,0),COLUMN()-COLUMN($CI$5)+1),""))</f>
        <v/>
      </c>
      <c r="CS49" s="1753" t="str" cm="1">
        <f t="array" ref="CS49">IF($CG49="","",IF(INDEX($D$6:$CB$53,MATCH($CG49,$B$6:$B$53,0),COLUMN()-COLUMN($CI$5)+1)&gt;0,INDEX($D$6:$CB$53,MATCH($CG49,$B$6:$B$53,0),COLUMN()-COLUMN($CI$5)+1),""))</f>
        <v/>
      </c>
      <c r="CT49" s="1753" t="str" cm="1">
        <f t="array" ref="CT49">IF($CG49="","",IF(INDEX($D$6:$CB$53,MATCH($CG49,$B$6:$B$53,0),COLUMN()-COLUMN($CI$5)+1)&gt;0,INDEX($D$6:$CB$53,MATCH($CG49,$B$6:$B$53,0),COLUMN()-COLUMN($CI$5)+1),""))</f>
        <v/>
      </c>
      <c r="CU49" s="1753" t="str" cm="1">
        <f t="array" ref="CU49">IF($CG49="","",IF(INDEX($D$6:$CB$53,MATCH($CG49,$B$6:$B$53,0),COLUMN()-COLUMN($CI$5)+1)&gt;0,INDEX($D$6:$CB$53,MATCH($CG49,$B$6:$B$53,0),COLUMN()-COLUMN($CI$5)+1),""))</f>
        <v/>
      </c>
      <c r="CV49" s="1753" t="str" cm="1">
        <f t="array" ref="CV49">IF($CG49="","",IF(INDEX($D$6:$CB$53,MATCH($CG49,$B$6:$B$53,0),COLUMN()-COLUMN($CI$5)+1)&gt;0,INDEX($D$6:$CB$53,MATCH($CG49,$B$6:$B$53,0),COLUMN()-COLUMN($CI$5)+1),""))</f>
        <v/>
      </c>
      <c r="CW49" s="1753" t="str" cm="1">
        <f t="array" ref="CW49">IF($CG49="","",IF(INDEX($D$6:$CB$53,MATCH($CG49,$B$6:$B$53,0),COLUMN()-COLUMN($CI$5)+1)&gt;0,INDEX($D$6:$CB$53,MATCH($CG49,$B$6:$B$53,0),COLUMN()-COLUMN($CI$5)+1),""))</f>
        <v/>
      </c>
      <c r="CX49" s="1753" t="str" cm="1">
        <f t="array" ref="CX49">IF($CG49="","",IF(INDEX($D$6:$CB$53,MATCH($CG49,$B$6:$B$53,0),COLUMN()-COLUMN($CI$5)+1)&gt;0,INDEX($D$6:$CB$53,MATCH($CG49,$B$6:$B$53,0),COLUMN()-COLUMN($CI$5)+1),""))</f>
        <v/>
      </c>
      <c r="CY49" s="1753" t="str" cm="1">
        <f t="array" ref="CY49">IF($CG49="","",IF(INDEX($D$6:$CB$53,MATCH($CG49,$B$6:$B$53,0),COLUMN()-COLUMN($CI$5)+1)&gt;0,INDEX($D$6:$CB$53,MATCH($CG49,$B$6:$B$53,0),COLUMN()-COLUMN($CI$5)+1),""))</f>
        <v/>
      </c>
      <c r="CZ49" s="1753" t="str" cm="1">
        <f t="array" ref="CZ49">IF($CG49="","",IF(INDEX($D$6:$CB$53,MATCH($CG49,$B$6:$B$53,0),COLUMN()-COLUMN($CI$5)+1)&gt;0,INDEX($D$6:$CB$53,MATCH($CG49,$B$6:$B$53,0),COLUMN()-COLUMN($CI$5)+1),""))</f>
        <v/>
      </c>
      <c r="DA49" s="1753" t="str" cm="1">
        <f t="array" ref="DA49">IF($CG49="","",IF(INDEX($D$6:$CB$53,MATCH($CG49,$B$6:$B$53,0),COLUMN()-COLUMN($CI$5)+1)&gt;0,INDEX($D$6:$CB$53,MATCH($CG49,$B$6:$B$53,0),COLUMN()-COLUMN($CI$5)+1),""))</f>
        <v/>
      </c>
      <c r="DB49" s="1753" t="str" cm="1">
        <f t="array" ref="DB49">IF($CG49="","",IF(INDEX($D$6:$CB$53,MATCH($CG49,$B$6:$B$53,0),COLUMN()-COLUMN($CI$5)+1)&gt;0,INDEX($D$6:$CB$53,MATCH($CG49,$B$6:$B$53,0),COLUMN()-COLUMN($CI$5)+1),""))</f>
        <v/>
      </c>
      <c r="DC49" s="1753" t="str" cm="1">
        <f t="array" ref="DC49">IF($CG49="","",IF(INDEX($D$6:$CB$53,MATCH($CG49,$B$6:$B$53,0),COLUMN()-COLUMN($CI$5)+1)&gt;0,INDEX($D$6:$CB$53,MATCH($CG49,$B$6:$B$53,0),COLUMN()-COLUMN($CI$5)+1),""))</f>
        <v/>
      </c>
      <c r="DD49" s="1753" t="str" cm="1">
        <f t="array" ref="DD49">IF($CG49="","",IF(INDEX($D$6:$CB$53,MATCH($CG49,$B$6:$B$53,0),COLUMN()-COLUMN($CI$5)+1)&gt;0,INDEX($D$6:$CB$53,MATCH($CG49,$B$6:$B$53,0),COLUMN()-COLUMN($CI$5)+1),""))</f>
        <v/>
      </c>
      <c r="DE49" s="1753" t="str" cm="1">
        <f t="array" ref="DE49">IF($CG49="","",IF(INDEX($D$6:$CB$53,MATCH($CG49,$B$6:$B$53,0),COLUMN()-COLUMN($CI$5)+1)&gt;0,INDEX($D$6:$CB$53,MATCH($CG49,$B$6:$B$53,0),COLUMN()-COLUMN($CI$5)+1),""))</f>
        <v/>
      </c>
      <c r="DF49" s="1753" t="str" cm="1">
        <f t="array" ref="DF49">IF($CG49="","",IF(INDEX($D$6:$CB$53,MATCH($CG49,$B$6:$B$53,0),COLUMN()-COLUMN($CI$5)+1)&gt;0,INDEX($D$6:$CB$53,MATCH($CG49,$B$6:$B$53,0),COLUMN()-COLUMN($CI$5)+1),""))</f>
        <v/>
      </c>
      <c r="DG49" s="1753" t="str" cm="1">
        <f t="array" ref="DG49">IF($CG49="","",IF(INDEX($D$6:$CB$53,MATCH($CG49,$B$6:$B$53,0),COLUMN()-COLUMN($CI$5)+1)&gt;0,INDEX($D$6:$CB$53,MATCH($CG49,$B$6:$B$53,0),COLUMN()-COLUMN($CI$5)+1),""))</f>
        <v/>
      </c>
      <c r="DH49" s="1753" t="str" cm="1">
        <f t="array" ref="DH49">IF($CG49="","",IF(INDEX($D$6:$CB$53,MATCH($CG49,$B$6:$B$53,0),COLUMN()-COLUMN($CI$5)+1)&gt;0,INDEX($D$6:$CB$53,MATCH($CG49,$B$6:$B$53,0),COLUMN()-COLUMN($CI$5)+1),""))</f>
        <v/>
      </c>
      <c r="DI49" s="1753" t="str" cm="1">
        <f t="array" ref="DI49">IF($CG49="","",IF(INDEX($D$6:$CB$53,MATCH($CG49,$B$6:$B$53,0),COLUMN()-COLUMN($CI$5)+1)&gt;0,INDEX($D$6:$CB$53,MATCH($CG49,$B$6:$B$53,0),COLUMN()-COLUMN($CI$5)+1),""))</f>
        <v/>
      </c>
      <c r="DJ49" s="1753" t="str" cm="1">
        <f t="array" ref="DJ49">IF($CG49="","",IF(INDEX($D$6:$CB$53,MATCH($CG49,$B$6:$B$53,0),COLUMN()-COLUMN($CI$5)+1)&gt;0,INDEX($D$6:$CB$53,MATCH($CG49,$B$6:$B$53,0),COLUMN()-COLUMN($CI$5)+1),""))</f>
        <v/>
      </c>
      <c r="DK49" s="1753" t="str" cm="1">
        <f t="array" ref="DK49">IF($CG49="","",IF(INDEX($D$6:$CB$53,MATCH($CG49,$B$6:$B$53,0),COLUMN()-COLUMN($CI$5)+1)&gt;0,INDEX($D$6:$CB$53,MATCH($CG49,$B$6:$B$53,0),COLUMN()-COLUMN($CI$5)+1),""))</f>
        <v/>
      </c>
      <c r="DL49" s="1753" t="str" cm="1">
        <f t="array" ref="DL49">IF($CG49="","",IF(INDEX($D$6:$CB$53,MATCH($CG49,$B$6:$B$53,0),COLUMN()-COLUMN($CI$5)+1)&gt;0,INDEX($D$6:$CB$53,MATCH($CG49,$B$6:$B$53,0),COLUMN()-COLUMN($CI$5)+1),""))</f>
        <v/>
      </c>
      <c r="DM49" s="1753" t="str" cm="1">
        <f t="array" ref="DM49">IF($CG49="","",IF(INDEX($D$6:$CB$53,MATCH($CG49,$B$6:$B$53,0),COLUMN()-COLUMN($CI$5)+1)&gt;0,INDEX($D$6:$CB$53,MATCH($CG49,$B$6:$B$53,0),COLUMN()-COLUMN($CI$5)+1),""))</f>
        <v/>
      </c>
      <c r="DN49" s="1753" t="str" cm="1">
        <f t="array" ref="DN49">IF($CG49="","",IF(INDEX($D$6:$CB$53,MATCH($CG49,$B$6:$B$53,0),COLUMN()-COLUMN($CI$5)+1)&gt;0,INDEX($D$6:$CB$53,MATCH($CG49,$B$6:$B$53,0),COLUMN()-COLUMN($CI$5)+1),""))</f>
        <v/>
      </c>
      <c r="DO49" s="1753" t="str" cm="1">
        <f t="array" ref="DO49">IF($CG49="","",IF(INDEX($D$6:$CB$53,MATCH($CG49,$B$6:$B$53,0),COLUMN()-COLUMN($CI$5)+1)&gt;0,INDEX($D$6:$CB$53,MATCH($CG49,$B$6:$B$53,0),COLUMN()-COLUMN($CI$5)+1),""))</f>
        <v/>
      </c>
      <c r="DP49" s="1753" t="str" cm="1">
        <f t="array" ref="DP49">IF($CG49="","",IF(INDEX($D$6:$CB$53,MATCH($CG49,$B$6:$B$53,0),COLUMN()-COLUMN($CI$5)+1)&gt;0,INDEX($D$6:$CB$53,MATCH($CG49,$B$6:$B$53,0),COLUMN()-COLUMN($CI$5)+1),""))</f>
        <v/>
      </c>
      <c r="DQ49" s="1753" t="str" cm="1">
        <f t="array" ref="DQ49">IF($CG49="","",IF(INDEX($D$6:$CB$53,MATCH($CG49,$B$6:$B$53,0),COLUMN()-COLUMN($CI$5)+1)&gt;0,INDEX($D$6:$CB$53,MATCH($CG49,$B$6:$B$53,0),COLUMN()-COLUMN($CI$5)+1),""))</f>
        <v/>
      </c>
      <c r="DR49" s="1753" t="str" cm="1">
        <f t="array" ref="DR49">IF($CG49="","",IF(INDEX($D$6:$CB$53,MATCH($CG49,$B$6:$B$53,0),COLUMN()-COLUMN($CI$5)+1)&gt;0,INDEX($D$6:$CB$53,MATCH($CG49,$B$6:$B$53,0),COLUMN()-COLUMN($CI$5)+1),""))</f>
        <v/>
      </c>
      <c r="DS49" s="1753" t="str" cm="1">
        <f t="array" ref="DS49">IF($CG49="","",IF(INDEX($D$6:$CB$53,MATCH($CG49,$B$6:$B$53,0),COLUMN()-COLUMN($CI$5)+1)&gt;0,INDEX($D$6:$CB$53,MATCH($CG49,$B$6:$B$53,0),COLUMN()-COLUMN($CI$5)+1),""))</f>
        <v/>
      </c>
      <c r="DT49" s="1753" t="str" cm="1">
        <f t="array" ref="DT49">IF($CG49="","",IF(INDEX($D$6:$CB$53,MATCH($CG49,$B$6:$B$53,0),COLUMN()-COLUMN($CI$5)+1)&gt;0,INDEX($D$6:$CB$53,MATCH($CG49,$B$6:$B$53,0),COLUMN()-COLUMN($CI$5)+1),""))</f>
        <v/>
      </c>
      <c r="DU49" s="1753" t="str" cm="1">
        <f t="array" ref="DU49">IF($CG49="","",IF(INDEX($D$6:$CB$53,MATCH($CG49,$B$6:$B$53,0),COLUMN()-COLUMN($CI$5)+1)&gt;0,INDEX($D$6:$CB$53,MATCH($CG49,$B$6:$B$53,0),COLUMN()-COLUMN($CI$5)+1),""))</f>
        <v/>
      </c>
      <c r="DV49" s="1753" t="str" cm="1">
        <f t="array" ref="DV49">IF($CG49="","",IF(INDEX($D$6:$CB$53,MATCH($CG49,$B$6:$B$53,0),COLUMN()-COLUMN($CI$5)+1)&gt;0,INDEX($D$6:$CB$53,MATCH($CG49,$B$6:$B$53,0),COLUMN()-COLUMN($CI$5)+1),""))</f>
        <v/>
      </c>
      <c r="DW49" s="1753" t="str" cm="1">
        <f t="array" ref="DW49">IF($CG49="","",IF(INDEX($D$6:$CB$53,MATCH($CG49,$B$6:$B$53,0),COLUMN()-COLUMN($CI$5)+1)&gt;0,INDEX($D$6:$CB$53,MATCH($CG49,$B$6:$B$53,0),COLUMN()-COLUMN($CI$5)+1),""))</f>
        <v/>
      </c>
      <c r="DX49" s="1753" t="str" cm="1">
        <f t="array" ref="DX49">IF($CG49="","",IF(INDEX($D$6:$CB$53,MATCH($CG49,$B$6:$B$53,0),COLUMN()-COLUMN($CI$5)+1)&gt;0,INDEX($D$6:$CB$53,MATCH($CG49,$B$6:$B$53,0),COLUMN()-COLUMN($CI$5)+1),""))</f>
        <v/>
      </c>
      <c r="DY49" s="1753" t="str" cm="1">
        <f t="array" ref="DY49">IF($CG49="","",IF(INDEX($D$6:$CB$53,MATCH($CG49,$B$6:$B$53,0),COLUMN()-COLUMN($CI$5)+1)&gt;0,INDEX($D$6:$CB$53,MATCH($CG49,$B$6:$B$53,0),COLUMN()-COLUMN($CI$5)+1),""))</f>
        <v/>
      </c>
      <c r="DZ49" s="1753" t="str" cm="1">
        <f t="array" ref="DZ49">IF($CG49="","",IF(INDEX($D$6:$CB$53,MATCH($CG49,$B$6:$B$53,0),COLUMN()-COLUMN($CI$5)+1)&gt;0,INDEX($D$6:$CB$53,MATCH($CG49,$B$6:$B$53,0),COLUMN()-COLUMN($CI$5)+1),""))</f>
        <v/>
      </c>
      <c r="EA49" s="1753" t="str" cm="1">
        <f t="array" ref="EA49">IF($CG49="","",IF(INDEX($D$6:$CB$53,MATCH($CG49,$B$6:$B$53,0),COLUMN()-COLUMN($CI$5)+1)&gt;0,INDEX($D$6:$CB$53,MATCH($CG49,$B$6:$B$53,0),COLUMN()-COLUMN($CI$5)+1),""))</f>
        <v/>
      </c>
      <c r="EB49" s="1753" t="str" cm="1">
        <f t="array" ref="EB49">IF($CG49="","",IF(INDEX($D$6:$CB$53,MATCH($CG49,$B$6:$B$53,0),COLUMN()-COLUMN($CI$5)+1)&gt;0,INDEX($D$6:$CB$53,MATCH($CG49,$B$6:$B$53,0),COLUMN()-COLUMN($CI$5)+1),""))</f>
        <v/>
      </c>
      <c r="EC49" s="1753" t="str" cm="1">
        <f t="array" ref="EC49">IF($CG49="","",IF(INDEX($D$6:$CB$53,MATCH($CG49,$B$6:$B$53,0),COLUMN()-COLUMN($CI$5)+1)&gt;0,INDEX($D$6:$CB$53,MATCH($CG49,$B$6:$B$53,0),COLUMN()-COLUMN($CI$5)+1),""))</f>
        <v/>
      </c>
      <c r="ED49" s="1753" t="str" cm="1">
        <f t="array" ref="ED49">IF($CG49="","",IF(INDEX($D$6:$CB$53,MATCH($CG49,$B$6:$B$53,0),COLUMN()-COLUMN($CI$5)+1)&gt;0,INDEX($D$6:$CB$53,MATCH($CG49,$B$6:$B$53,0),COLUMN()-COLUMN($CI$5)+1),""))</f>
        <v/>
      </c>
      <c r="EE49" s="1753" t="str" cm="1">
        <f t="array" ref="EE49">IF($CG49="","",IF(INDEX($D$6:$CB$53,MATCH($CG49,$B$6:$B$53,0),COLUMN()-COLUMN($CI$5)+1)&gt;0,INDEX($D$6:$CB$53,MATCH($CG49,$B$6:$B$53,0),COLUMN()-COLUMN($CI$5)+1),""))</f>
        <v/>
      </c>
      <c r="EF49" s="1753" t="str" cm="1">
        <f t="array" ref="EF49">IF($CG49="","",IF(INDEX($D$6:$CB$53,MATCH($CG49,$B$6:$B$53,0),COLUMN()-COLUMN($CI$5)+1)&gt;0,INDEX($D$6:$CB$53,MATCH($CG49,$B$6:$B$53,0),COLUMN()-COLUMN($CI$5)+1),""))</f>
        <v/>
      </c>
      <c r="EG49" s="1753" t="str" cm="1">
        <f t="array" ref="EG49">IF($CG49="","",IF(INDEX($D$6:$CB$53,MATCH($CG49,$B$6:$B$53,0),COLUMN()-COLUMN($CI$5)+1)&gt;0,INDEX($D$6:$CB$53,MATCH($CG49,$B$6:$B$53,0),COLUMN()-COLUMN($CI$5)+1),""))</f>
        <v/>
      </c>
      <c r="EH49" s="1753" t="str" cm="1">
        <f t="array" ref="EH49">IF($CG49="","",IF(INDEX($D$6:$CB$53,MATCH($CG49,$B$6:$B$53,0),COLUMN()-COLUMN($CI$5)+1)&gt;0,INDEX($D$6:$CB$53,MATCH($CG49,$B$6:$B$53,0),COLUMN()-COLUMN($CI$5)+1),""))</f>
        <v/>
      </c>
      <c r="EI49" s="1753" t="str" cm="1">
        <f t="array" ref="EI49">IF($CG49="","",IF(INDEX($D$6:$CB$53,MATCH($CG49,$B$6:$B$53,0),COLUMN()-COLUMN($CI$5)+1)&gt;0,INDEX($D$6:$CB$53,MATCH($CG49,$B$6:$B$53,0),COLUMN()-COLUMN($CI$5)+1),""))</f>
        <v/>
      </c>
      <c r="EJ49" s="1753" t="str" cm="1">
        <f t="array" ref="EJ49">IF($CG49="","",IF(INDEX($D$6:$CB$53,MATCH($CG49,$B$6:$B$53,0),COLUMN()-COLUMN($CI$5)+1)&gt;0,INDEX($D$6:$CB$53,MATCH($CG49,$B$6:$B$53,0),COLUMN()-COLUMN($CI$5)+1),""))</f>
        <v/>
      </c>
      <c r="EK49" s="1753" t="str" cm="1">
        <f t="array" ref="EK49">IF($CG49="","",IF(INDEX($D$6:$CB$53,MATCH($CG49,$B$6:$B$53,0),COLUMN()-COLUMN($CI$5)+1)&gt;0,INDEX($D$6:$CB$53,MATCH($CG49,$B$6:$B$53,0),COLUMN()-COLUMN($CI$5)+1),""))</f>
        <v/>
      </c>
      <c r="EL49" s="1753" t="str" cm="1">
        <f t="array" ref="EL49">IF($CG49="","",IF(INDEX($D$6:$CB$53,MATCH($CG49,$B$6:$B$53,0),COLUMN()-COLUMN($CI$5)+1)&gt;0,INDEX($D$6:$CB$53,MATCH($CG49,$B$6:$B$53,0),COLUMN()-COLUMN($CI$5)+1),""))</f>
        <v/>
      </c>
      <c r="EM49" s="1753" t="str" cm="1">
        <f t="array" ref="EM49">IF($CG49="","",IF(INDEX($D$6:$CB$53,MATCH($CG49,$B$6:$B$53,0),COLUMN()-COLUMN($CI$5)+1)&gt;0,INDEX($D$6:$CB$53,MATCH($CG49,$B$6:$B$53,0),COLUMN()-COLUMN($CI$5)+1),""))</f>
        <v/>
      </c>
      <c r="EN49" s="1753" t="str" cm="1">
        <f t="array" ref="EN49">IF($CG49="","",IF(INDEX($D$6:$CB$53,MATCH($CG49,$B$6:$B$53,0),COLUMN()-COLUMN($CI$5)+1)&gt;0,INDEX($D$6:$CB$53,MATCH($CG49,$B$6:$B$53,0),COLUMN()-COLUMN($CI$5)+1),""))</f>
        <v/>
      </c>
      <c r="EO49" s="1753" t="str" cm="1">
        <f t="array" ref="EO49">IF($CG49="","",IF(INDEX($D$6:$CB$53,MATCH($CG49,$B$6:$B$53,0),COLUMN()-COLUMN($CI$5)+1)&gt;0,INDEX($D$6:$CB$53,MATCH($CG49,$B$6:$B$53,0),COLUMN()-COLUMN($CI$5)+1),""))</f>
        <v/>
      </c>
      <c r="EP49" s="1753" t="str" cm="1">
        <f t="array" ref="EP49">IF($CG49="","",IF(INDEX($D$6:$CB$53,MATCH($CG49,$B$6:$B$53,0),COLUMN()-COLUMN($CI$5)+1)&gt;0,INDEX($D$6:$CB$53,MATCH($CG49,$B$6:$B$53,0),COLUMN()-COLUMN($CI$5)+1),""))</f>
        <v/>
      </c>
      <c r="EQ49" s="1753" t="str" cm="1">
        <f t="array" ref="EQ49">IF($CG49="","",IF(INDEX($D$6:$CB$53,MATCH($CG49,$B$6:$B$53,0),COLUMN()-COLUMN($CI$5)+1)&gt;0,INDEX($D$6:$CB$53,MATCH($CG49,$B$6:$B$53,0),COLUMN()-COLUMN($CI$5)+1),""))</f>
        <v/>
      </c>
      <c r="ER49" s="1753" t="str" cm="1">
        <f t="array" ref="ER49">IF($CG49="","",IF(INDEX($D$6:$CB$53,MATCH($CG49,$B$6:$B$53,0),COLUMN()-COLUMN($CI$5)+1)&gt;0,INDEX($D$6:$CB$53,MATCH($CG49,$B$6:$B$53,0),COLUMN()-COLUMN($CI$5)+1),""))</f>
        <v/>
      </c>
      <c r="ES49" s="1753" t="str" cm="1">
        <f t="array" ref="ES49">IF($CG49="","",IF(INDEX($D$6:$CB$53,MATCH($CG49,$B$6:$B$53,0),COLUMN()-COLUMN($CI$5)+1)&gt;0,INDEX($D$6:$CB$53,MATCH($CG49,$B$6:$B$53,0),COLUMN()-COLUMN($CI$5)+1),""))</f>
        <v/>
      </c>
      <c r="ET49" s="1753" t="str" cm="1">
        <f t="array" ref="ET49">IF($CG49="","",IF(INDEX($D$6:$CB$53,MATCH($CG49,$B$6:$B$53,0),COLUMN()-COLUMN($CI$5)+1)&gt;0,INDEX($D$6:$CB$53,MATCH($CG49,$B$6:$B$53,0),COLUMN()-COLUMN($CI$5)+1),""))</f>
        <v/>
      </c>
      <c r="EU49" s="1753" t="str" cm="1">
        <f t="array" ref="EU49">IF($CG49="","",IF(INDEX($D$6:$CB$53,MATCH($CG49,$B$6:$B$53,0),COLUMN()-COLUMN($CI$5)+1)&gt;0,INDEX($D$6:$CB$53,MATCH($CG49,$B$6:$B$53,0),COLUMN()-COLUMN($CI$5)+1),""))</f>
        <v/>
      </c>
      <c r="EV49" s="1753" t="str" cm="1">
        <f t="array" ref="EV49">IF($CG49="","",IF(INDEX($D$6:$CB$53,MATCH($CG49,$B$6:$B$53,0),COLUMN()-COLUMN($CI$5)+1)&gt;0,INDEX($D$6:$CB$53,MATCH($CG49,$B$6:$B$53,0),COLUMN()-COLUMN($CI$5)+1),""))</f>
        <v/>
      </c>
      <c r="EW49" s="1753" t="str" cm="1">
        <f t="array" ref="EW49">IF($CG49="","",IF(INDEX($D$6:$CB$53,MATCH($CG49,$B$6:$B$53,0),COLUMN()-COLUMN($CI$5)+1)&gt;0,INDEX($D$6:$CB$53,MATCH($CG49,$B$6:$B$53,0),COLUMN()-COLUMN($CI$5)+1),""))</f>
        <v/>
      </c>
      <c r="EX49" s="1753" t="str" cm="1">
        <f t="array" ref="EX49">IF($CG49="","",IF(INDEX($D$6:$CB$53,MATCH($CG49,$B$6:$B$53,0),COLUMN()-COLUMN($CI$5)+1)&gt;0,INDEX($D$6:$CB$53,MATCH($CG49,$B$6:$B$53,0),COLUMN()-COLUMN($CI$5)+1),""))</f>
        <v/>
      </c>
      <c r="EY49" s="1753" t="str" cm="1">
        <f t="array" ref="EY49">IF($CG49="","",IF(INDEX($D$6:$CB$53,MATCH($CG49,$B$6:$B$53,0),COLUMN()-COLUMN($CI$5)+1)&gt;0,INDEX($D$6:$CB$53,MATCH($CG49,$B$6:$B$53,0),COLUMN()-COLUMN($CI$5)+1),""))</f>
        <v/>
      </c>
      <c r="EZ49" s="1753" t="str" cm="1">
        <f t="array" ref="EZ49">IF($CG49="","",IF(INDEX($D$6:$CB$53,MATCH($CG49,$B$6:$B$53,0),COLUMN()-COLUMN($CI$5)+1)&gt;0,INDEX($D$6:$CB$53,MATCH($CG49,$B$6:$B$53,0),COLUMN()-COLUMN($CI$5)+1),""))</f>
        <v/>
      </c>
      <c r="FA49" s="1753" t="str" cm="1">
        <f t="array" ref="FA49">IF($CG49="","",IF(INDEX($D$6:$CB$53,MATCH($CG49,$B$6:$B$53,0),COLUMN()-COLUMN($CI$5)+1)&gt;0,INDEX($D$6:$CB$53,MATCH($CG49,$B$6:$B$53,0),COLUMN()-COLUMN($CI$5)+1),""))</f>
        <v/>
      </c>
      <c r="FB49" s="1753" t="str" cm="1">
        <f t="array" ref="FB49">IF($CG49="","",IF(INDEX($D$6:$CB$53,MATCH($CG49,$B$6:$B$53,0),COLUMN()-COLUMN($CI$5)+1)&gt;0,INDEX($D$6:$CB$53,MATCH($CG49,$B$6:$B$53,0),COLUMN()-COLUMN($CI$5)+1),""))</f>
        <v/>
      </c>
      <c r="FC49" s="1753" t="str" cm="1">
        <f t="array" ref="FC49">IF($CG49="","",IF(INDEX($D$6:$CB$53,MATCH($CG49,$B$6:$B$53,0),COLUMN()-COLUMN($CI$5)+1)&gt;0,INDEX($D$6:$CB$53,MATCH($CG49,$B$6:$B$53,0),COLUMN()-COLUMN($CI$5)+1),""))</f>
        <v/>
      </c>
      <c r="FD49" s="1753" t="str" cm="1">
        <f t="array" ref="FD49">IF($CG49="","",IF(INDEX($D$6:$CB$53,MATCH($CG49,$B$6:$B$53,0),COLUMN()-COLUMN($CI$5)+1)&gt;0,INDEX($D$6:$CB$53,MATCH($CG49,$B$6:$B$53,0),COLUMN()-COLUMN($CI$5)+1),""))</f>
        <v/>
      </c>
      <c r="FE49" s="1753" t="str" cm="1">
        <f t="array" ref="FE49">IF($CG49="","",IF(INDEX($D$6:$CB$53,MATCH($CG49,$B$6:$B$53,0),COLUMN()-COLUMN($CI$5)+1)&gt;0,INDEX($D$6:$CB$53,MATCH($CG49,$B$6:$B$53,0),COLUMN()-COLUMN($CI$5)+1),""))</f>
        <v/>
      </c>
      <c r="FF49" s="1753" t="str" cm="1">
        <f t="array" ref="FF49">IF($CG49="","",IF(INDEX($D$6:$CB$53,MATCH($CG49,$B$6:$B$53,0),COLUMN()-COLUMN($CI$5)+1)&gt;0,INDEX($D$6:$CB$53,MATCH($CG49,$B$6:$B$53,0),COLUMN()-COLUMN($CI$5)+1),""))</f>
        <v/>
      </c>
      <c r="FG49" s="1753" t="str" cm="1">
        <f t="array" ref="FG49">IF($CG49="","",IF(INDEX($D$6:$CB$53,MATCH($CG49,$B$6:$B$53,0),COLUMN()-COLUMN($CI$5)+1)&gt;0,INDEX($D$6:$CB$53,MATCH($CG49,$B$6:$B$53,0),COLUMN()-COLUMN($CI$5)+1),""))</f>
        <v/>
      </c>
      <c r="FH49" s="1753" t="str">
        <f t="shared" si="7"/>
        <v/>
      </c>
      <c r="FI49" s="1753" t="str">
        <f t="shared" si="8"/>
        <v/>
      </c>
      <c r="FJ49" s="1753" t="str">
        <f t="shared" si="9"/>
        <v/>
      </c>
      <c r="FK49" s="1753"/>
    </row>
    <row r="50" spans="1:167" ht="15.75" customHeight="1">
      <c r="A50" s="1220"/>
      <c r="B50" s="1278">
        <f>+PP!B68</f>
        <v>45</v>
      </c>
      <c r="C50" s="1279" t="str">
        <f>+PP!C68</f>
        <v>TENTACULO C/B C/V SR 1.0-2.0 Kg/pza (SUCIO)</v>
      </c>
      <c r="D50" s="1421"/>
      <c r="E50" s="1422"/>
      <c r="F50" s="1422"/>
      <c r="G50" s="1422"/>
      <c r="H50" s="1422"/>
      <c r="I50" s="1422"/>
      <c r="J50" s="1422"/>
      <c r="K50" s="1422"/>
      <c r="L50" s="1422"/>
      <c r="M50" s="1422"/>
      <c r="N50" s="1405"/>
      <c r="O50" s="1405"/>
      <c r="P50" s="1405"/>
      <c r="Q50" s="1405"/>
      <c r="R50" s="1405"/>
      <c r="S50" s="1405"/>
      <c r="T50" s="1405"/>
      <c r="U50" s="1405"/>
      <c r="V50" s="1405"/>
      <c r="W50" s="1405"/>
      <c r="X50" s="1405"/>
      <c r="Y50" s="1405"/>
      <c r="Z50" s="1405"/>
      <c r="AA50" s="1422"/>
      <c r="AB50" s="1422"/>
      <c r="AC50" s="1405"/>
      <c r="AD50" s="1422"/>
      <c r="AE50" s="1422"/>
      <c r="AF50" s="1422"/>
      <c r="AG50" s="1422"/>
      <c r="AH50" s="1241"/>
      <c r="AI50" s="1235"/>
      <c r="AJ50" s="1235"/>
      <c r="AK50" s="1235"/>
      <c r="AL50" s="1235"/>
      <c r="AM50" s="1235"/>
      <c r="AN50" s="1235"/>
      <c r="AO50" s="1235"/>
      <c r="AP50" s="1218"/>
      <c r="AQ50" s="1218"/>
      <c r="AR50" s="1218"/>
      <c r="AS50" s="1218"/>
      <c r="AT50" s="1218"/>
      <c r="AU50" s="1218"/>
      <c r="AV50" s="1218"/>
      <c r="AW50" s="1218"/>
      <c r="AX50" s="1218"/>
      <c r="AY50" s="1218"/>
      <c r="AZ50" s="1218"/>
      <c r="BA50" s="1218"/>
      <c r="BB50" s="1218"/>
      <c r="BC50" s="1218"/>
      <c r="BD50" s="1218"/>
      <c r="BE50" s="1218"/>
      <c r="BF50" s="1218"/>
      <c r="BG50" s="1218"/>
      <c r="BH50" s="1218"/>
      <c r="BI50" s="1218"/>
      <c r="BJ50" s="1218"/>
      <c r="BK50" s="1218"/>
      <c r="BL50" s="1218"/>
      <c r="BM50" s="1218"/>
      <c r="BN50" s="1218"/>
      <c r="BO50" s="1218"/>
      <c r="BP50" s="1218"/>
      <c r="BQ50" s="1218"/>
      <c r="BR50" s="1557"/>
      <c r="BS50" s="1557"/>
      <c r="BT50" s="1557"/>
      <c r="BU50" s="1557"/>
      <c r="BV50" s="1557"/>
      <c r="BW50" s="1557"/>
      <c r="BX50" s="1557"/>
      <c r="BY50" s="1557"/>
      <c r="BZ50" s="1557"/>
      <c r="CA50" s="1557"/>
      <c r="CB50" s="1564"/>
      <c r="CC50" s="1550">
        <f t="shared" si="0"/>
        <v>0</v>
      </c>
      <c r="CD50" s="1236">
        <f t="shared" si="1"/>
        <v>0</v>
      </c>
      <c r="CE50" s="1237">
        <f t="shared" si="2"/>
        <v>0</v>
      </c>
      <c r="CF50" s="1220"/>
      <c r="CG50" s="1751" t="str" cm="1">
        <f t="array" ref="CG50">IFERROR(INDEX($B$6:$B$53,_xlfn.AGGREGATE(15,6,(ROW($B$6:$B$53)-ROW($B$6)+1)/(MMULT(--($D$6:$CB$53&gt;0),TRANSPOSE(COLUMN($D$6:$CB$6)^0))&gt;0),ROWS($CG$6:CG50))),"")</f>
        <v/>
      </c>
      <c r="CH50" s="1752" t="str">
        <f t="shared" si="3"/>
        <v/>
      </c>
      <c r="CI50" s="1753" t="str" cm="1">
        <f t="array" ref="CI50">IF($CG50="","",IF(INDEX($D$6:$CB$53,MATCH($CG50,$B$6:$B$53,0),COLUMN()-COLUMN($CI$5)+1)&gt;0,INDEX($D$6:$CB$53,MATCH($CG50,$B$6:$B$53,0),COLUMN()-COLUMN($CI$5)+1),""))</f>
        <v/>
      </c>
      <c r="CJ50" s="1753" t="str" cm="1">
        <f t="array" ref="CJ50">IF($CG50="","",IF(INDEX($D$6:$CB$53,MATCH($CG50,$B$6:$B$53,0),COLUMN()-COLUMN($CI$5)+1)&gt;0,INDEX($D$6:$CB$53,MATCH($CG50,$B$6:$B$53,0),COLUMN()-COLUMN($CI$5)+1),""))</f>
        <v/>
      </c>
      <c r="CK50" s="1753" t="str" cm="1">
        <f t="array" ref="CK50">IF($CG50="","",IF(INDEX($D$6:$CB$53,MATCH($CG50,$B$6:$B$53,0),COLUMN()-COLUMN($CI$5)+1)&gt;0,INDEX($D$6:$CB$53,MATCH($CG50,$B$6:$B$53,0),COLUMN()-COLUMN($CI$5)+1),""))</f>
        <v/>
      </c>
      <c r="CL50" s="1753" t="str" cm="1">
        <f t="array" ref="CL50">IF($CG50="","",IF(INDEX($D$6:$CB$53,MATCH($CG50,$B$6:$B$53,0),COLUMN()-COLUMN($CI$5)+1)&gt;0,INDEX($D$6:$CB$53,MATCH($CG50,$B$6:$B$53,0),COLUMN()-COLUMN($CI$5)+1),""))</f>
        <v/>
      </c>
      <c r="CM50" s="1753" t="str" cm="1">
        <f t="array" ref="CM50">IF($CG50="","",IF(INDEX($D$6:$CB$53,MATCH($CG50,$B$6:$B$53,0),COLUMN()-COLUMN($CI$5)+1)&gt;0,INDEX($D$6:$CB$53,MATCH($CG50,$B$6:$B$53,0),COLUMN()-COLUMN($CI$5)+1),""))</f>
        <v/>
      </c>
      <c r="CN50" s="1753" t="str" cm="1">
        <f t="array" ref="CN50">IF($CG50="","",IF(INDEX($D$6:$CB$53,MATCH($CG50,$B$6:$B$53,0),COLUMN()-COLUMN($CI$5)+1)&gt;0,INDEX($D$6:$CB$53,MATCH($CG50,$B$6:$B$53,0),COLUMN()-COLUMN($CI$5)+1),""))</f>
        <v/>
      </c>
      <c r="CO50" s="1753" t="str" cm="1">
        <f t="array" ref="CO50">IF($CG50="","",IF(INDEX($D$6:$CB$53,MATCH($CG50,$B$6:$B$53,0),COLUMN()-COLUMN($CI$5)+1)&gt;0,INDEX($D$6:$CB$53,MATCH($CG50,$B$6:$B$53,0),COLUMN()-COLUMN($CI$5)+1),""))</f>
        <v/>
      </c>
      <c r="CP50" s="1753" t="str" cm="1">
        <f t="array" ref="CP50">IF($CG50="","",IF(INDEX($D$6:$CB$53,MATCH($CG50,$B$6:$B$53,0),COLUMN()-COLUMN($CI$5)+1)&gt;0,INDEX($D$6:$CB$53,MATCH($CG50,$B$6:$B$53,0),COLUMN()-COLUMN($CI$5)+1),""))</f>
        <v/>
      </c>
      <c r="CQ50" s="1753" t="str" cm="1">
        <f t="array" ref="CQ50">IF($CG50="","",IF(INDEX($D$6:$CB$53,MATCH($CG50,$B$6:$B$53,0),COLUMN()-COLUMN($CI$5)+1)&gt;0,INDEX($D$6:$CB$53,MATCH($CG50,$B$6:$B$53,0),COLUMN()-COLUMN($CI$5)+1),""))</f>
        <v/>
      </c>
      <c r="CR50" s="1753" t="str" cm="1">
        <f t="array" ref="CR50">IF($CG50="","",IF(INDEX($D$6:$CB$53,MATCH($CG50,$B$6:$B$53,0),COLUMN()-COLUMN($CI$5)+1)&gt;0,INDEX($D$6:$CB$53,MATCH($CG50,$B$6:$B$53,0),COLUMN()-COLUMN($CI$5)+1),""))</f>
        <v/>
      </c>
      <c r="CS50" s="1753" t="str" cm="1">
        <f t="array" ref="CS50">IF($CG50="","",IF(INDEX($D$6:$CB$53,MATCH($CG50,$B$6:$B$53,0),COLUMN()-COLUMN($CI$5)+1)&gt;0,INDEX($D$6:$CB$53,MATCH($CG50,$B$6:$B$53,0),COLUMN()-COLUMN($CI$5)+1),""))</f>
        <v/>
      </c>
      <c r="CT50" s="1753" t="str" cm="1">
        <f t="array" ref="CT50">IF($CG50="","",IF(INDEX($D$6:$CB$53,MATCH($CG50,$B$6:$B$53,0),COLUMN()-COLUMN($CI$5)+1)&gt;0,INDEX($D$6:$CB$53,MATCH($CG50,$B$6:$B$53,0),COLUMN()-COLUMN($CI$5)+1),""))</f>
        <v/>
      </c>
      <c r="CU50" s="1753" t="str" cm="1">
        <f t="array" ref="CU50">IF($CG50="","",IF(INDEX($D$6:$CB$53,MATCH($CG50,$B$6:$B$53,0),COLUMN()-COLUMN($CI$5)+1)&gt;0,INDEX($D$6:$CB$53,MATCH($CG50,$B$6:$B$53,0),COLUMN()-COLUMN($CI$5)+1),""))</f>
        <v/>
      </c>
      <c r="CV50" s="1753" t="str" cm="1">
        <f t="array" ref="CV50">IF($CG50="","",IF(INDEX($D$6:$CB$53,MATCH($CG50,$B$6:$B$53,0),COLUMN()-COLUMN($CI$5)+1)&gt;0,INDEX($D$6:$CB$53,MATCH($CG50,$B$6:$B$53,0),COLUMN()-COLUMN($CI$5)+1),""))</f>
        <v/>
      </c>
      <c r="CW50" s="1753" t="str" cm="1">
        <f t="array" ref="CW50">IF($CG50="","",IF(INDEX($D$6:$CB$53,MATCH($CG50,$B$6:$B$53,0),COLUMN()-COLUMN($CI$5)+1)&gt;0,INDEX($D$6:$CB$53,MATCH($CG50,$B$6:$B$53,0),COLUMN()-COLUMN($CI$5)+1),""))</f>
        <v/>
      </c>
      <c r="CX50" s="1753" t="str" cm="1">
        <f t="array" ref="CX50">IF($CG50="","",IF(INDEX($D$6:$CB$53,MATCH($CG50,$B$6:$B$53,0),COLUMN()-COLUMN($CI$5)+1)&gt;0,INDEX($D$6:$CB$53,MATCH($CG50,$B$6:$B$53,0),COLUMN()-COLUMN($CI$5)+1),""))</f>
        <v/>
      </c>
      <c r="CY50" s="1753" t="str" cm="1">
        <f t="array" ref="CY50">IF($CG50="","",IF(INDEX($D$6:$CB$53,MATCH($CG50,$B$6:$B$53,0),COLUMN()-COLUMN($CI$5)+1)&gt;0,INDEX($D$6:$CB$53,MATCH($CG50,$B$6:$B$53,0),COLUMN()-COLUMN($CI$5)+1),""))</f>
        <v/>
      </c>
      <c r="CZ50" s="1753" t="str" cm="1">
        <f t="array" ref="CZ50">IF($CG50="","",IF(INDEX($D$6:$CB$53,MATCH($CG50,$B$6:$B$53,0),COLUMN()-COLUMN($CI$5)+1)&gt;0,INDEX($D$6:$CB$53,MATCH($CG50,$B$6:$B$53,0),COLUMN()-COLUMN($CI$5)+1),""))</f>
        <v/>
      </c>
      <c r="DA50" s="1753" t="str" cm="1">
        <f t="array" ref="DA50">IF($CG50="","",IF(INDEX($D$6:$CB$53,MATCH($CG50,$B$6:$B$53,0),COLUMN()-COLUMN($CI$5)+1)&gt;0,INDEX($D$6:$CB$53,MATCH($CG50,$B$6:$B$53,0),COLUMN()-COLUMN($CI$5)+1),""))</f>
        <v/>
      </c>
      <c r="DB50" s="1753" t="str" cm="1">
        <f t="array" ref="DB50">IF($CG50="","",IF(INDEX($D$6:$CB$53,MATCH($CG50,$B$6:$B$53,0),COLUMN()-COLUMN($CI$5)+1)&gt;0,INDEX($D$6:$CB$53,MATCH($CG50,$B$6:$B$53,0),COLUMN()-COLUMN($CI$5)+1),""))</f>
        <v/>
      </c>
      <c r="DC50" s="1753" t="str" cm="1">
        <f t="array" ref="DC50">IF($CG50="","",IF(INDEX($D$6:$CB$53,MATCH($CG50,$B$6:$B$53,0),COLUMN()-COLUMN($CI$5)+1)&gt;0,INDEX($D$6:$CB$53,MATCH($CG50,$B$6:$B$53,0),COLUMN()-COLUMN($CI$5)+1),""))</f>
        <v/>
      </c>
      <c r="DD50" s="1753" t="str" cm="1">
        <f t="array" ref="DD50">IF($CG50="","",IF(INDEX($D$6:$CB$53,MATCH($CG50,$B$6:$B$53,0),COLUMN()-COLUMN($CI$5)+1)&gt;0,INDEX($D$6:$CB$53,MATCH($CG50,$B$6:$B$53,0),COLUMN()-COLUMN($CI$5)+1),""))</f>
        <v/>
      </c>
      <c r="DE50" s="1753" t="str" cm="1">
        <f t="array" ref="DE50">IF($CG50="","",IF(INDEX($D$6:$CB$53,MATCH($CG50,$B$6:$B$53,0),COLUMN()-COLUMN($CI$5)+1)&gt;0,INDEX($D$6:$CB$53,MATCH($CG50,$B$6:$B$53,0),COLUMN()-COLUMN($CI$5)+1),""))</f>
        <v/>
      </c>
      <c r="DF50" s="1753" t="str" cm="1">
        <f t="array" ref="DF50">IF($CG50="","",IF(INDEX($D$6:$CB$53,MATCH($CG50,$B$6:$B$53,0),COLUMN()-COLUMN($CI$5)+1)&gt;0,INDEX($D$6:$CB$53,MATCH($CG50,$B$6:$B$53,0),COLUMN()-COLUMN($CI$5)+1),""))</f>
        <v/>
      </c>
      <c r="DG50" s="1753" t="str" cm="1">
        <f t="array" ref="DG50">IF($CG50="","",IF(INDEX($D$6:$CB$53,MATCH($CG50,$B$6:$B$53,0),COLUMN()-COLUMN($CI$5)+1)&gt;0,INDEX($D$6:$CB$53,MATCH($CG50,$B$6:$B$53,0),COLUMN()-COLUMN($CI$5)+1),""))</f>
        <v/>
      </c>
      <c r="DH50" s="1753" t="str" cm="1">
        <f t="array" ref="DH50">IF($CG50="","",IF(INDEX($D$6:$CB$53,MATCH($CG50,$B$6:$B$53,0),COLUMN()-COLUMN($CI$5)+1)&gt;0,INDEX($D$6:$CB$53,MATCH($CG50,$B$6:$B$53,0),COLUMN()-COLUMN($CI$5)+1),""))</f>
        <v/>
      </c>
      <c r="DI50" s="1753" t="str" cm="1">
        <f t="array" ref="DI50">IF($CG50="","",IF(INDEX($D$6:$CB$53,MATCH($CG50,$B$6:$B$53,0),COLUMN()-COLUMN($CI$5)+1)&gt;0,INDEX($D$6:$CB$53,MATCH($CG50,$B$6:$B$53,0),COLUMN()-COLUMN($CI$5)+1),""))</f>
        <v/>
      </c>
      <c r="DJ50" s="1753" t="str" cm="1">
        <f t="array" ref="DJ50">IF($CG50="","",IF(INDEX($D$6:$CB$53,MATCH($CG50,$B$6:$B$53,0),COLUMN()-COLUMN($CI$5)+1)&gt;0,INDEX($D$6:$CB$53,MATCH($CG50,$B$6:$B$53,0),COLUMN()-COLUMN($CI$5)+1),""))</f>
        <v/>
      </c>
      <c r="DK50" s="1753" t="str" cm="1">
        <f t="array" ref="DK50">IF($CG50="","",IF(INDEX($D$6:$CB$53,MATCH($CG50,$B$6:$B$53,0),COLUMN()-COLUMN($CI$5)+1)&gt;0,INDEX($D$6:$CB$53,MATCH($CG50,$B$6:$B$53,0),COLUMN()-COLUMN($CI$5)+1),""))</f>
        <v/>
      </c>
      <c r="DL50" s="1753" t="str" cm="1">
        <f t="array" ref="DL50">IF($CG50="","",IF(INDEX($D$6:$CB$53,MATCH($CG50,$B$6:$B$53,0),COLUMN()-COLUMN($CI$5)+1)&gt;0,INDEX($D$6:$CB$53,MATCH($CG50,$B$6:$B$53,0),COLUMN()-COLUMN($CI$5)+1),""))</f>
        <v/>
      </c>
      <c r="DM50" s="1753" t="str" cm="1">
        <f t="array" ref="DM50">IF($CG50="","",IF(INDEX($D$6:$CB$53,MATCH($CG50,$B$6:$B$53,0),COLUMN()-COLUMN($CI$5)+1)&gt;0,INDEX($D$6:$CB$53,MATCH($CG50,$B$6:$B$53,0),COLUMN()-COLUMN($CI$5)+1),""))</f>
        <v/>
      </c>
      <c r="DN50" s="1753" t="str" cm="1">
        <f t="array" ref="DN50">IF($CG50="","",IF(INDEX($D$6:$CB$53,MATCH($CG50,$B$6:$B$53,0),COLUMN()-COLUMN($CI$5)+1)&gt;0,INDEX($D$6:$CB$53,MATCH($CG50,$B$6:$B$53,0),COLUMN()-COLUMN($CI$5)+1),""))</f>
        <v/>
      </c>
      <c r="DO50" s="1753" t="str" cm="1">
        <f t="array" ref="DO50">IF($CG50="","",IF(INDEX($D$6:$CB$53,MATCH($CG50,$B$6:$B$53,0),COLUMN()-COLUMN($CI$5)+1)&gt;0,INDEX($D$6:$CB$53,MATCH($CG50,$B$6:$B$53,0),COLUMN()-COLUMN($CI$5)+1),""))</f>
        <v/>
      </c>
      <c r="DP50" s="1753" t="str" cm="1">
        <f t="array" ref="DP50">IF($CG50="","",IF(INDEX($D$6:$CB$53,MATCH($CG50,$B$6:$B$53,0),COLUMN()-COLUMN($CI$5)+1)&gt;0,INDEX($D$6:$CB$53,MATCH($CG50,$B$6:$B$53,0),COLUMN()-COLUMN($CI$5)+1),""))</f>
        <v/>
      </c>
      <c r="DQ50" s="1753" t="str" cm="1">
        <f t="array" ref="DQ50">IF($CG50="","",IF(INDEX($D$6:$CB$53,MATCH($CG50,$B$6:$B$53,0),COLUMN()-COLUMN($CI$5)+1)&gt;0,INDEX($D$6:$CB$53,MATCH($CG50,$B$6:$B$53,0),COLUMN()-COLUMN($CI$5)+1),""))</f>
        <v/>
      </c>
      <c r="DR50" s="1753" t="str" cm="1">
        <f t="array" ref="DR50">IF($CG50="","",IF(INDEX($D$6:$CB$53,MATCH($CG50,$B$6:$B$53,0),COLUMN()-COLUMN($CI$5)+1)&gt;0,INDEX($D$6:$CB$53,MATCH($CG50,$B$6:$B$53,0),COLUMN()-COLUMN($CI$5)+1),""))</f>
        <v/>
      </c>
      <c r="DS50" s="1753" t="str" cm="1">
        <f t="array" ref="DS50">IF($CG50="","",IF(INDEX($D$6:$CB$53,MATCH($CG50,$B$6:$B$53,0),COLUMN()-COLUMN($CI$5)+1)&gt;0,INDEX($D$6:$CB$53,MATCH($CG50,$B$6:$B$53,0),COLUMN()-COLUMN($CI$5)+1),""))</f>
        <v/>
      </c>
      <c r="DT50" s="1753" t="str" cm="1">
        <f t="array" ref="DT50">IF($CG50="","",IF(INDEX($D$6:$CB$53,MATCH($CG50,$B$6:$B$53,0),COLUMN()-COLUMN($CI$5)+1)&gt;0,INDEX($D$6:$CB$53,MATCH($CG50,$B$6:$B$53,0),COLUMN()-COLUMN($CI$5)+1),""))</f>
        <v/>
      </c>
      <c r="DU50" s="1753" t="str" cm="1">
        <f t="array" ref="DU50">IF($CG50="","",IF(INDEX($D$6:$CB$53,MATCH($CG50,$B$6:$B$53,0),COLUMN()-COLUMN($CI$5)+1)&gt;0,INDEX($D$6:$CB$53,MATCH($CG50,$B$6:$B$53,0),COLUMN()-COLUMN($CI$5)+1),""))</f>
        <v/>
      </c>
      <c r="DV50" s="1753" t="str" cm="1">
        <f t="array" ref="DV50">IF($CG50="","",IF(INDEX($D$6:$CB$53,MATCH($CG50,$B$6:$B$53,0),COLUMN()-COLUMN($CI$5)+1)&gt;0,INDEX($D$6:$CB$53,MATCH($CG50,$B$6:$B$53,0),COLUMN()-COLUMN($CI$5)+1),""))</f>
        <v/>
      </c>
      <c r="DW50" s="1753" t="str" cm="1">
        <f t="array" ref="DW50">IF($CG50="","",IF(INDEX($D$6:$CB$53,MATCH($CG50,$B$6:$B$53,0),COLUMN()-COLUMN($CI$5)+1)&gt;0,INDEX($D$6:$CB$53,MATCH($CG50,$B$6:$B$53,0),COLUMN()-COLUMN($CI$5)+1),""))</f>
        <v/>
      </c>
      <c r="DX50" s="1753" t="str" cm="1">
        <f t="array" ref="DX50">IF($CG50="","",IF(INDEX($D$6:$CB$53,MATCH($CG50,$B$6:$B$53,0),COLUMN()-COLUMN($CI$5)+1)&gt;0,INDEX($D$6:$CB$53,MATCH($CG50,$B$6:$B$53,0),COLUMN()-COLUMN($CI$5)+1),""))</f>
        <v/>
      </c>
      <c r="DY50" s="1753" t="str" cm="1">
        <f t="array" ref="DY50">IF($CG50="","",IF(INDEX($D$6:$CB$53,MATCH($CG50,$B$6:$B$53,0),COLUMN()-COLUMN($CI$5)+1)&gt;0,INDEX($D$6:$CB$53,MATCH($CG50,$B$6:$B$53,0),COLUMN()-COLUMN($CI$5)+1),""))</f>
        <v/>
      </c>
      <c r="DZ50" s="1753" t="str" cm="1">
        <f t="array" ref="DZ50">IF($CG50="","",IF(INDEX($D$6:$CB$53,MATCH($CG50,$B$6:$B$53,0),COLUMN()-COLUMN($CI$5)+1)&gt;0,INDEX($D$6:$CB$53,MATCH($CG50,$B$6:$B$53,0),COLUMN()-COLUMN($CI$5)+1),""))</f>
        <v/>
      </c>
      <c r="EA50" s="1753" t="str" cm="1">
        <f t="array" ref="EA50">IF($CG50="","",IF(INDEX($D$6:$CB$53,MATCH($CG50,$B$6:$B$53,0),COLUMN()-COLUMN($CI$5)+1)&gt;0,INDEX($D$6:$CB$53,MATCH($CG50,$B$6:$B$53,0),COLUMN()-COLUMN($CI$5)+1),""))</f>
        <v/>
      </c>
      <c r="EB50" s="1753" t="str" cm="1">
        <f t="array" ref="EB50">IF($CG50="","",IF(INDEX($D$6:$CB$53,MATCH($CG50,$B$6:$B$53,0),COLUMN()-COLUMN($CI$5)+1)&gt;0,INDEX($D$6:$CB$53,MATCH($CG50,$B$6:$B$53,0),COLUMN()-COLUMN($CI$5)+1),""))</f>
        <v/>
      </c>
      <c r="EC50" s="1753" t="str" cm="1">
        <f t="array" ref="EC50">IF($CG50="","",IF(INDEX($D$6:$CB$53,MATCH($CG50,$B$6:$B$53,0),COLUMN()-COLUMN($CI$5)+1)&gt;0,INDEX($D$6:$CB$53,MATCH($CG50,$B$6:$B$53,0),COLUMN()-COLUMN($CI$5)+1),""))</f>
        <v/>
      </c>
      <c r="ED50" s="1753" t="str" cm="1">
        <f t="array" ref="ED50">IF($CG50="","",IF(INDEX($D$6:$CB$53,MATCH($CG50,$B$6:$B$53,0),COLUMN()-COLUMN($CI$5)+1)&gt;0,INDEX($D$6:$CB$53,MATCH($CG50,$B$6:$B$53,0),COLUMN()-COLUMN($CI$5)+1),""))</f>
        <v/>
      </c>
      <c r="EE50" s="1753" t="str" cm="1">
        <f t="array" ref="EE50">IF($CG50="","",IF(INDEX($D$6:$CB$53,MATCH($CG50,$B$6:$B$53,0),COLUMN()-COLUMN($CI$5)+1)&gt;0,INDEX($D$6:$CB$53,MATCH($CG50,$B$6:$B$53,0),COLUMN()-COLUMN($CI$5)+1),""))</f>
        <v/>
      </c>
      <c r="EF50" s="1753" t="str" cm="1">
        <f t="array" ref="EF50">IF($CG50="","",IF(INDEX($D$6:$CB$53,MATCH($CG50,$B$6:$B$53,0),COLUMN()-COLUMN($CI$5)+1)&gt;0,INDEX($D$6:$CB$53,MATCH($CG50,$B$6:$B$53,0),COLUMN()-COLUMN($CI$5)+1),""))</f>
        <v/>
      </c>
      <c r="EG50" s="1753" t="str" cm="1">
        <f t="array" ref="EG50">IF($CG50="","",IF(INDEX($D$6:$CB$53,MATCH($CG50,$B$6:$B$53,0),COLUMN()-COLUMN($CI$5)+1)&gt;0,INDEX($D$6:$CB$53,MATCH($CG50,$B$6:$B$53,0),COLUMN()-COLUMN($CI$5)+1),""))</f>
        <v/>
      </c>
      <c r="EH50" s="1753" t="str" cm="1">
        <f t="array" ref="EH50">IF($CG50="","",IF(INDEX($D$6:$CB$53,MATCH($CG50,$B$6:$B$53,0),COLUMN()-COLUMN($CI$5)+1)&gt;0,INDEX($D$6:$CB$53,MATCH($CG50,$B$6:$B$53,0),COLUMN()-COLUMN($CI$5)+1),""))</f>
        <v/>
      </c>
      <c r="EI50" s="1753" t="str" cm="1">
        <f t="array" ref="EI50">IF($CG50="","",IF(INDEX($D$6:$CB$53,MATCH($CG50,$B$6:$B$53,0),COLUMN()-COLUMN($CI$5)+1)&gt;0,INDEX($D$6:$CB$53,MATCH($CG50,$B$6:$B$53,0),COLUMN()-COLUMN($CI$5)+1),""))</f>
        <v/>
      </c>
      <c r="EJ50" s="1753" t="str" cm="1">
        <f t="array" ref="EJ50">IF($CG50="","",IF(INDEX($D$6:$CB$53,MATCH($CG50,$B$6:$B$53,0),COLUMN()-COLUMN($CI$5)+1)&gt;0,INDEX($D$6:$CB$53,MATCH($CG50,$B$6:$B$53,0),COLUMN()-COLUMN($CI$5)+1),""))</f>
        <v/>
      </c>
      <c r="EK50" s="1753" t="str" cm="1">
        <f t="array" ref="EK50">IF($CG50="","",IF(INDEX($D$6:$CB$53,MATCH($CG50,$B$6:$B$53,0),COLUMN()-COLUMN($CI$5)+1)&gt;0,INDEX($D$6:$CB$53,MATCH($CG50,$B$6:$B$53,0),COLUMN()-COLUMN($CI$5)+1),""))</f>
        <v/>
      </c>
      <c r="EL50" s="1753" t="str" cm="1">
        <f t="array" ref="EL50">IF($CG50="","",IF(INDEX($D$6:$CB$53,MATCH($CG50,$B$6:$B$53,0),COLUMN()-COLUMN($CI$5)+1)&gt;0,INDEX($D$6:$CB$53,MATCH($CG50,$B$6:$B$53,0),COLUMN()-COLUMN($CI$5)+1),""))</f>
        <v/>
      </c>
      <c r="EM50" s="1753" t="str" cm="1">
        <f t="array" ref="EM50">IF($CG50="","",IF(INDEX($D$6:$CB$53,MATCH($CG50,$B$6:$B$53,0),COLUMN()-COLUMN($CI$5)+1)&gt;0,INDEX($D$6:$CB$53,MATCH($CG50,$B$6:$B$53,0),COLUMN()-COLUMN($CI$5)+1),""))</f>
        <v/>
      </c>
      <c r="EN50" s="1753" t="str" cm="1">
        <f t="array" ref="EN50">IF($CG50="","",IF(INDEX($D$6:$CB$53,MATCH($CG50,$B$6:$B$53,0),COLUMN()-COLUMN($CI$5)+1)&gt;0,INDEX($D$6:$CB$53,MATCH($CG50,$B$6:$B$53,0),COLUMN()-COLUMN($CI$5)+1),""))</f>
        <v/>
      </c>
      <c r="EO50" s="1753" t="str" cm="1">
        <f t="array" ref="EO50">IF($CG50="","",IF(INDEX($D$6:$CB$53,MATCH($CG50,$B$6:$B$53,0),COLUMN()-COLUMN($CI$5)+1)&gt;0,INDEX($D$6:$CB$53,MATCH($CG50,$B$6:$B$53,0),COLUMN()-COLUMN($CI$5)+1),""))</f>
        <v/>
      </c>
      <c r="EP50" s="1753" t="str" cm="1">
        <f t="array" ref="EP50">IF($CG50="","",IF(INDEX($D$6:$CB$53,MATCH($CG50,$B$6:$B$53,0),COLUMN()-COLUMN($CI$5)+1)&gt;0,INDEX($D$6:$CB$53,MATCH($CG50,$B$6:$B$53,0),COLUMN()-COLUMN($CI$5)+1),""))</f>
        <v/>
      </c>
      <c r="EQ50" s="1753" t="str" cm="1">
        <f t="array" ref="EQ50">IF($CG50="","",IF(INDEX($D$6:$CB$53,MATCH($CG50,$B$6:$B$53,0),COLUMN()-COLUMN($CI$5)+1)&gt;0,INDEX($D$6:$CB$53,MATCH($CG50,$B$6:$B$53,0),COLUMN()-COLUMN($CI$5)+1),""))</f>
        <v/>
      </c>
      <c r="ER50" s="1753" t="str" cm="1">
        <f t="array" ref="ER50">IF($CG50="","",IF(INDEX($D$6:$CB$53,MATCH($CG50,$B$6:$B$53,0),COLUMN()-COLUMN($CI$5)+1)&gt;0,INDEX($D$6:$CB$53,MATCH($CG50,$B$6:$B$53,0),COLUMN()-COLUMN($CI$5)+1),""))</f>
        <v/>
      </c>
      <c r="ES50" s="1753" t="str" cm="1">
        <f t="array" ref="ES50">IF($CG50="","",IF(INDEX($D$6:$CB$53,MATCH($CG50,$B$6:$B$53,0),COLUMN()-COLUMN($CI$5)+1)&gt;0,INDEX($D$6:$CB$53,MATCH($CG50,$B$6:$B$53,0),COLUMN()-COLUMN($CI$5)+1),""))</f>
        <v/>
      </c>
      <c r="ET50" s="1753" t="str" cm="1">
        <f t="array" ref="ET50">IF($CG50="","",IF(INDEX($D$6:$CB$53,MATCH($CG50,$B$6:$B$53,0),COLUMN()-COLUMN($CI$5)+1)&gt;0,INDEX($D$6:$CB$53,MATCH($CG50,$B$6:$B$53,0),COLUMN()-COLUMN($CI$5)+1),""))</f>
        <v/>
      </c>
      <c r="EU50" s="1753" t="str" cm="1">
        <f t="array" ref="EU50">IF($CG50="","",IF(INDEX($D$6:$CB$53,MATCH($CG50,$B$6:$B$53,0),COLUMN()-COLUMN($CI$5)+1)&gt;0,INDEX($D$6:$CB$53,MATCH($CG50,$B$6:$B$53,0),COLUMN()-COLUMN($CI$5)+1),""))</f>
        <v/>
      </c>
      <c r="EV50" s="1753" t="str" cm="1">
        <f t="array" ref="EV50">IF($CG50="","",IF(INDEX($D$6:$CB$53,MATCH($CG50,$B$6:$B$53,0),COLUMN()-COLUMN($CI$5)+1)&gt;0,INDEX($D$6:$CB$53,MATCH($CG50,$B$6:$B$53,0),COLUMN()-COLUMN($CI$5)+1),""))</f>
        <v/>
      </c>
      <c r="EW50" s="1753" t="str" cm="1">
        <f t="array" ref="EW50">IF($CG50="","",IF(INDEX($D$6:$CB$53,MATCH($CG50,$B$6:$B$53,0),COLUMN()-COLUMN($CI$5)+1)&gt;0,INDEX($D$6:$CB$53,MATCH($CG50,$B$6:$B$53,0),COLUMN()-COLUMN($CI$5)+1),""))</f>
        <v/>
      </c>
      <c r="EX50" s="1753" t="str" cm="1">
        <f t="array" ref="EX50">IF($CG50="","",IF(INDEX($D$6:$CB$53,MATCH($CG50,$B$6:$B$53,0),COLUMN()-COLUMN($CI$5)+1)&gt;0,INDEX($D$6:$CB$53,MATCH($CG50,$B$6:$B$53,0),COLUMN()-COLUMN($CI$5)+1),""))</f>
        <v/>
      </c>
      <c r="EY50" s="1753" t="str" cm="1">
        <f t="array" ref="EY50">IF($CG50="","",IF(INDEX($D$6:$CB$53,MATCH($CG50,$B$6:$B$53,0),COLUMN()-COLUMN($CI$5)+1)&gt;0,INDEX($D$6:$CB$53,MATCH($CG50,$B$6:$B$53,0),COLUMN()-COLUMN($CI$5)+1),""))</f>
        <v/>
      </c>
      <c r="EZ50" s="1753" t="str" cm="1">
        <f t="array" ref="EZ50">IF($CG50="","",IF(INDEX($D$6:$CB$53,MATCH($CG50,$B$6:$B$53,0),COLUMN()-COLUMN($CI$5)+1)&gt;0,INDEX($D$6:$CB$53,MATCH($CG50,$B$6:$B$53,0),COLUMN()-COLUMN($CI$5)+1),""))</f>
        <v/>
      </c>
      <c r="FA50" s="1753" t="str" cm="1">
        <f t="array" ref="FA50">IF($CG50="","",IF(INDEX($D$6:$CB$53,MATCH($CG50,$B$6:$B$53,0),COLUMN()-COLUMN($CI$5)+1)&gt;0,INDEX($D$6:$CB$53,MATCH($CG50,$B$6:$B$53,0),COLUMN()-COLUMN($CI$5)+1),""))</f>
        <v/>
      </c>
      <c r="FB50" s="1753" t="str" cm="1">
        <f t="array" ref="FB50">IF($CG50="","",IF(INDEX($D$6:$CB$53,MATCH($CG50,$B$6:$B$53,0),COLUMN()-COLUMN($CI$5)+1)&gt;0,INDEX($D$6:$CB$53,MATCH($CG50,$B$6:$B$53,0),COLUMN()-COLUMN($CI$5)+1),""))</f>
        <v/>
      </c>
      <c r="FC50" s="1753" t="str" cm="1">
        <f t="array" ref="FC50">IF($CG50="","",IF(INDEX($D$6:$CB$53,MATCH($CG50,$B$6:$B$53,0),COLUMN()-COLUMN($CI$5)+1)&gt;0,INDEX($D$6:$CB$53,MATCH($CG50,$B$6:$B$53,0),COLUMN()-COLUMN($CI$5)+1),""))</f>
        <v/>
      </c>
      <c r="FD50" s="1753" t="str" cm="1">
        <f t="array" ref="FD50">IF($CG50="","",IF(INDEX($D$6:$CB$53,MATCH($CG50,$B$6:$B$53,0),COLUMN()-COLUMN($CI$5)+1)&gt;0,INDEX($D$6:$CB$53,MATCH($CG50,$B$6:$B$53,0),COLUMN()-COLUMN($CI$5)+1),""))</f>
        <v/>
      </c>
      <c r="FE50" s="1753" t="str" cm="1">
        <f t="array" ref="FE50">IF($CG50="","",IF(INDEX($D$6:$CB$53,MATCH($CG50,$B$6:$B$53,0),COLUMN()-COLUMN($CI$5)+1)&gt;0,INDEX($D$6:$CB$53,MATCH($CG50,$B$6:$B$53,0),COLUMN()-COLUMN($CI$5)+1),""))</f>
        <v/>
      </c>
      <c r="FF50" s="1753" t="str" cm="1">
        <f t="array" ref="FF50">IF($CG50="","",IF(INDEX($D$6:$CB$53,MATCH($CG50,$B$6:$B$53,0),COLUMN()-COLUMN($CI$5)+1)&gt;0,INDEX($D$6:$CB$53,MATCH($CG50,$B$6:$B$53,0),COLUMN()-COLUMN($CI$5)+1),""))</f>
        <v/>
      </c>
      <c r="FG50" s="1753" t="str" cm="1">
        <f t="array" ref="FG50">IF($CG50="","",IF(INDEX($D$6:$CB$53,MATCH($CG50,$B$6:$B$53,0),COLUMN()-COLUMN($CI$5)+1)&gt;0,INDEX($D$6:$CB$53,MATCH($CG50,$B$6:$B$53,0),COLUMN()-COLUMN($CI$5)+1),""))</f>
        <v/>
      </c>
      <c r="FH50" s="1753" t="str">
        <f t="shared" si="7"/>
        <v/>
      </c>
      <c r="FI50" s="1753" t="str">
        <f t="shared" si="8"/>
        <v/>
      </c>
      <c r="FJ50" s="1753" t="str">
        <f t="shared" si="9"/>
        <v/>
      </c>
      <c r="FK50" s="1753"/>
    </row>
    <row r="51" spans="1:167" ht="15.75" customHeight="1">
      <c r="A51" s="1220"/>
      <c r="B51" s="1278">
        <f>+PP!B69</f>
        <v>46</v>
      </c>
      <c r="C51" s="1279" t="str">
        <f>+PP!C69</f>
        <v>TENTACULO C/B S/V SR 1.0-2.0 Kg/pza</v>
      </c>
      <c r="D51" s="1421"/>
      <c r="E51" s="1422"/>
      <c r="F51" s="1422"/>
      <c r="G51" s="1422"/>
      <c r="H51" s="1422"/>
      <c r="I51" s="1422"/>
      <c r="J51" s="1422"/>
      <c r="K51" s="1422"/>
      <c r="L51" s="1422"/>
      <c r="M51" s="1422"/>
      <c r="N51" s="1405"/>
      <c r="O51" s="1405"/>
      <c r="P51" s="1405"/>
      <c r="Q51" s="1405"/>
      <c r="R51" s="1405"/>
      <c r="S51" s="1405"/>
      <c r="T51" s="1405"/>
      <c r="U51" s="1405"/>
      <c r="V51" s="1405"/>
      <c r="W51" s="1405"/>
      <c r="X51" s="1405"/>
      <c r="Y51" s="1405"/>
      <c r="Z51" s="1405"/>
      <c r="AA51" s="1422"/>
      <c r="AB51" s="1422"/>
      <c r="AC51" s="1405"/>
      <c r="AD51" s="1422"/>
      <c r="AE51" s="1422"/>
      <c r="AF51" s="1422"/>
      <c r="AG51" s="1422"/>
      <c r="AH51" s="1241"/>
      <c r="AI51" s="1235"/>
      <c r="AJ51" s="1235"/>
      <c r="AK51" s="1235"/>
      <c r="AL51" s="1235"/>
      <c r="AM51" s="1235"/>
      <c r="AN51" s="1235"/>
      <c r="AO51" s="1235"/>
      <c r="AP51" s="1218"/>
      <c r="AQ51" s="1218"/>
      <c r="AR51" s="1218"/>
      <c r="AS51" s="1218"/>
      <c r="AT51" s="1218"/>
      <c r="AU51" s="1218"/>
      <c r="AV51" s="1218"/>
      <c r="AW51" s="1218"/>
      <c r="AX51" s="1218"/>
      <c r="AY51" s="1218"/>
      <c r="AZ51" s="1218"/>
      <c r="BA51" s="1218"/>
      <c r="BB51" s="1218"/>
      <c r="BC51" s="1218"/>
      <c r="BD51" s="1218"/>
      <c r="BE51" s="1218"/>
      <c r="BF51" s="1218"/>
      <c r="BG51" s="1218"/>
      <c r="BH51" s="1218"/>
      <c r="BI51" s="1218"/>
      <c r="BJ51" s="1218"/>
      <c r="BK51" s="1218"/>
      <c r="BL51" s="1218"/>
      <c r="BM51" s="1218"/>
      <c r="BN51" s="1218"/>
      <c r="BO51" s="1218"/>
      <c r="BP51" s="1218"/>
      <c r="BQ51" s="1218"/>
      <c r="BR51" s="1557"/>
      <c r="BS51" s="1557"/>
      <c r="BT51" s="1557"/>
      <c r="BU51" s="1557"/>
      <c r="BV51" s="1557"/>
      <c r="BW51" s="1557"/>
      <c r="BX51" s="1557"/>
      <c r="BY51" s="1557"/>
      <c r="BZ51" s="1557"/>
      <c r="CA51" s="1557"/>
      <c r="CB51" s="1564"/>
      <c r="CC51" s="1550">
        <f t="shared" si="0"/>
        <v>0</v>
      </c>
      <c r="CD51" s="1236">
        <f t="shared" si="1"/>
        <v>0</v>
      </c>
      <c r="CE51" s="1237">
        <f t="shared" si="2"/>
        <v>0</v>
      </c>
      <c r="CF51" s="1220"/>
      <c r="CG51" s="1751" t="str" cm="1">
        <f t="array" ref="CG51">IFERROR(INDEX($B$6:$B$53,_xlfn.AGGREGATE(15,6,(ROW($B$6:$B$53)-ROW($B$6)+1)/(MMULT(--($D$6:$CB$53&gt;0),TRANSPOSE(COLUMN($D$6:$CB$6)^0))&gt;0),ROWS($CG$6:CG51))),"")</f>
        <v/>
      </c>
      <c r="CH51" s="1752" t="str">
        <f t="shared" si="3"/>
        <v/>
      </c>
      <c r="CI51" s="1753" t="str" cm="1">
        <f t="array" ref="CI51">IF($CG51="","",IF(INDEX($D$6:$CB$53,MATCH($CG51,$B$6:$B$53,0),COLUMN()-COLUMN($CI$5)+1)&gt;0,INDEX($D$6:$CB$53,MATCH($CG51,$B$6:$B$53,0),COLUMN()-COLUMN($CI$5)+1),""))</f>
        <v/>
      </c>
      <c r="CJ51" s="1753" t="str" cm="1">
        <f t="array" ref="CJ51">IF($CG51="","",IF(INDEX($D$6:$CB$53,MATCH($CG51,$B$6:$B$53,0),COLUMN()-COLUMN($CI$5)+1)&gt;0,INDEX($D$6:$CB$53,MATCH($CG51,$B$6:$B$53,0),COLUMN()-COLUMN($CI$5)+1),""))</f>
        <v/>
      </c>
      <c r="CK51" s="1753" t="str" cm="1">
        <f t="array" ref="CK51">IF($CG51="","",IF(INDEX($D$6:$CB$53,MATCH($CG51,$B$6:$B$53,0),COLUMN()-COLUMN($CI$5)+1)&gt;0,INDEX($D$6:$CB$53,MATCH($CG51,$B$6:$B$53,0),COLUMN()-COLUMN($CI$5)+1),""))</f>
        <v/>
      </c>
      <c r="CL51" s="1753" t="str" cm="1">
        <f t="array" ref="CL51">IF($CG51="","",IF(INDEX($D$6:$CB$53,MATCH($CG51,$B$6:$B$53,0),COLUMN()-COLUMN($CI$5)+1)&gt;0,INDEX($D$6:$CB$53,MATCH($CG51,$B$6:$B$53,0),COLUMN()-COLUMN($CI$5)+1),""))</f>
        <v/>
      </c>
      <c r="CM51" s="1753" t="str" cm="1">
        <f t="array" ref="CM51">IF($CG51="","",IF(INDEX($D$6:$CB$53,MATCH($CG51,$B$6:$B$53,0),COLUMN()-COLUMN($CI$5)+1)&gt;0,INDEX($D$6:$CB$53,MATCH($CG51,$B$6:$B$53,0),COLUMN()-COLUMN($CI$5)+1),""))</f>
        <v/>
      </c>
      <c r="CN51" s="1753" t="str" cm="1">
        <f t="array" ref="CN51">IF($CG51="","",IF(INDEX($D$6:$CB$53,MATCH($CG51,$B$6:$B$53,0),COLUMN()-COLUMN($CI$5)+1)&gt;0,INDEX($D$6:$CB$53,MATCH($CG51,$B$6:$B$53,0),COLUMN()-COLUMN($CI$5)+1),""))</f>
        <v/>
      </c>
      <c r="CO51" s="1753" t="str" cm="1">
        <f t="array" ref="CO51">IF($CG51="","",IF(INDEX($D$6:$CB$53,MATCH($CG51,$B$6:$B$53,0),COLUMN()-COLUMN($CI$5)+1)&gt;0,INDEX($D$6:$CB$53,MATCH($CG51,$B$6:$B$53,0),COLUMN()-COLUMN($CI$5)+1),""))</f>
        <v/>
      </c>
      <c r="CP51" s="1753" t="str" cm="1">
        <f t="array" ref="CP51">IF($CG51="","",IF(INDEX($D$6:$CB$53,MATCH($CG51,$B$6:$B$53,0),COLUMN()-COLUMN($CI$5)+1)&gt;0,INDEX($D$6:$CB$53,MATCH($CG51,$B$6:$B$53,0),COLUMN()-COLUMN($CI$5)+1),""))</f>
        <v/>
      </c>
      <c r="CQ51" s="1753" t="str" cm="1">
        <f t="array" ref="CQ51">IF($CG51="","",IF(INDEX($D$6:$CB$53,MATCH($CG51,$B$6:$B$53,0),COLUMN()-COLUMN($CI$5)+1)&gt;0,INDEX($D$6:$CB$53,MATCH($CG51,$B$6:$B$53,0),COLUMN()-COLUMN($CI$5)+1),""))</f>
        <v/>
      </c>
      <c r="CR51" s="1753" t="str" cm="1">
        <f t="array" ref="CR51">IF($CG51="","",IF(INDEX($D$6:$CB$53,MATCH($CG51,$B$6:$B$53,0),COLUMN()-COLUMN($CI$5)+1)&gt;0,INDEX($D$6:$CB$53,MATCH($CG51,$B$6:$B$53,0),COLUMN()-COLUMN($CI$5)+1),""))</f>
        <v/>
      </c>
      <c r="CS51" s="1753" t="str" cm="1">
        <f t="array" ref="CS51">IF($CG51="","",IF(INDEX($D$6:$CB$53,MATCH($CG51,$B$6:$B$53,0),COLUMN()-COLUMN($CI$5)+1)&gt;0,INDEX($D$6:$CB$53,MATCH($CG51,$B$6:$B$53,0),COLUMN()-COLUMN($CI$5)+1),""))</f>
        <v/>
      </c>
      <c r="CT51" s="1753" t="str" cm="1">
        <f t="array" ref="CT51">IF($CG51="","",IF(INDEX($D$6:$CB$53,MATCH($CG51,$B$6:$B$53,0),COLUMN()-COLUMN($CI$5)+1)&gt;0,INDEX($D$6:$CB$53,MATCH($CG51,$B$6:$B$53,0),COLUMN()-COLUMN($CI$5)+1),""))</f>
        <v/>
      </c>
      <c r="CU51" s="1753" t="str" cm="1">
        <f t="array" ref="CU51">IF($CG51="","",IF(INDEX($D$6:$CB$53,MATCH($CG51,$B$6:$B$53,0),COLUMN()-COLUMN($CI$5)+1)&gt;0,INDEX($D$6:$CB$53,MATCH($CG51,$B$6:$B$53,0),COLUMN()-COLUMN($CI$5)+1),""))</f>
        <v/>
      </c>
      <c r="CV51" s="1753" t="str" cm="1">
        <f t="array" ref="CV51">IF($CG51="","",IF(INDEX($D$6:$CB$53,MATCH($CG51,$B$6:$B$53,0),COLUMN()-COLUMN($CI$5)+1)&gt;0,INDEX($D$6:$CB$53,MATCH($CG51,$B$6:$B$53,0),COLUMN()-COLUMN($CI$5)+1),""))</f>
        <v/>
      </c>
      <c r="CW51" s="1753" t="str" cm="1">
        <f t="array" ref="CW51">IF($CG51="","",IF(INDEX($D$6:$CB$53,MATCH($CG51,$B$6:$B$53,0),COLUMN()-COLUMN($CI$5)+1)&gt;0,INDEX($D$6:$CB$53,MATCH($CG51,$B$6:$B$53,0),COLUMN()-COLUMN($CI$5)+1),""))</f>
        <v/>
      </c>
      <c r="CX51" s="1753" t="str" cm="1">
        <f t="array" ref="CX51">IF($CG51="","",IF(INDEX($D$6:$CB$53,MATCH($CG51,$B$6:$B$53,0),COLUMN()-COLUMN($CI$5)+1)&gt;0,INDEX($D$6:$CB$53,MATCH($CG51,$B$6:$B$53,0),COLUMN()-COLUMN($CI$5)+1),""))</f>
        <v/>
      </c>
      <c r="CY51" s="1753" t="str" cm="1">
        <f t="array" ref="CY51">IF($CG51="","",IF(INDEX($D$6:$CB$53,MATCH($CG51,$B$6:$B$53,0),COLUMN()-COLUMN($CI$5)+1)&gt;0,INDEX($D$6:$CB$53,MATCH($CG51,$B$6:$B$53,0),COLUMN()-COLUMN($CI$5)+1),""))</f>
        <v/>
      </c>
      <c r="CZ51" s="1753" t="str" cm="1">
        <f t="array" ref="CZ51">IF($CG51="","",IF(INDEX($D$6:$CB$53,MATCH($CG51,$B$6:$B$53,0),COLUMN()-COLUMN($CI$5)+1)&gt;0,INDEX($D$6:$CB$53,MATCH($CG51,$B$6:$B$53,0),COLUMN()-COLUMN($CI$5)+1),""))</f>
        <v/>
      </c>
      <c r="DA51" s="1753" t="str" cm="1">
        <f t="array" ref="DA51">IF($CG51="","",IF(INDEX($D$6:$CB$53,MATCH($CG51,$B$6:$B$53,0),COLUMN()-COLUMN($CI$5)+1)&gt;0,INDEX($D$6:$CB$53,MATCH($CG51,$B$6:$B$53,0),COLUMN()-COLUMN($CI$5)+1),""))</f>
        <v/>
      </c>
      <c r="DB51" s="1753" t="str" cm="1">
        <f t="array" ref="DB51">IF($CG51="","",IF(INDEX($D$6:$CB$53,MATCH($CG51,$B$6:$B$53,0),COLUMN()-COLUMN($CI$5)+1)&gt;0,INDEX($D$6:$CB$53,MATCH($CG51,$B$6:$B$53,0),COLUMN()-COLUMN($CI$5)+1),""))</f>
        <v/>
      </c>
      <c r="DC51" s="1753" t="str" cm="1">
        <f t="array" ref="DC51">IF($CG51="","",IF(INDEX($D$6:$CB$53,MATCH($CG51,$B$6:$B$53,0),COLUMN()-COLUMN($CI$5)+1)&gt;0,INDEX($D$6:$CB$53,MATCH($CG51,$B$6:$B$53,0),COLUMN()-COLUMN($CI$5)+1),""))</f>
        <v/>
      </c>
      <c r="DD51" s="1753" t="str" cm="1">
        <f t="array" ref="DD51">IF($CG51="","",IF(INDEX($D$6:$CB$53,MATCH($CG51,$B$6:$B$53,0),COLUMN()-COLUMN($CI$5)+1)&gt;0,INDEX($D$6:$CB$53,MATCH($CG51,$B$6:$B$53,0),COLUMN()-COLUMN($CI$5)+1),""))</f>
        <v/>
      </c>
      <c r="DE51" s="1753" t="str" cm="1">
        <f t="array" ref="DE51">IF($CG51="","",IF(INDEX($D$6:$CB$53,MATCH($CG51,$B$6:$B$53,0),COLUMN()-COLUMN($CI$5)+1)&gt;0,INDEX($D$6:$CB$53,MATCH($CG51,$B$6:$B$53,0),COLUMN()-COLUMN($CI$5)+1),""))</f>
        <v/>
      </c>
      <c r="DF51" s="1753" t="str" cm="1">
        <f t="array" ref="DF51">IF($CG51="","",IF(INDEX($D$6:$CB$53,MATCH($CG51,$B$6:$B$53,0),COLUMN()-COLUMN($CI$5)+1)&gt;0,INDEX($D$6:$CB$53,MATCH($CG51,$B$6:$B$53,0),COLUMN()-COLUMN($CI$5)+1),""))</f>
        <v/>
      </c>
      <c r="DG51" s="1753" t="str" cm="1">
        <f t="array" ref="DG51">IF($CG51="","",IF(INDEX($D$6:$CB$53,MATCH($CG51,$B$6:$B$53,0),COLUMN()-COLUMN($CI$5)+1)&gt;0,INDEX($D$6:$CB$53,MATCH($CG51,$B$6:$B$53,0),COLUMN()-COLUMN($CI$5)+1),""))</f>
        <v/>
      </c>
      <c r="DH51" s="1753" t="str" cm="1">
        <f t="array" ref="DH51">IF($CG51="","",IF(INDEX($D$6:$CB$53,MATCH($CG51,$B$6:$B$53,0),COLUMN()-COLUMN($CI$5)+1)&gt;0,INDEX($D$6:$CB$53,MATCH($CG51,$B$6:$B$53,0),COLUMN()-COLUMN($CI$5)+1),""))</f>
        <v/>
      </c>
      <c r="DI51" s="1753" t="str" cm="1">
        <f t="array" ref="DI51">IF($CG51="","",IF(INDEX($D$6:$CB$53,MATCH($CG51,$B$6:$B$53,0),COLUMN()-COLUMN($CI$5)+1)&gt;0,INDEX($D$6:$CB$53,MATCH($CG51,$B$6:$B$53,0),COLUMN()-COLUMN($CI$5)+1),""))</f>
        <v/>
      </c>
      <c r="DJ51" s="1753" t="str" cm="1">
        <f t="array" ref="DJ51">IF($CG51="","",IF(INDEX($D$6:$CB$53,MATCH($CG51,$B$6:$B$53,0),COLUMN()-COLUMN($CI$5)+1)&gt;0,INDEX($D$6:$CB$53,MATCH($CG51,$B$6:$B$53,0),COLUMN()-COLUMN($CI$5)+1),""))</f>
        <v/>
      </c>
      <c r="DK51" s="1753" t="str" cm="1">
        <f t="array" ref="DK51">IF($CG51="","",IF(INDEX($D$6:$CB$53,MATCH($CG51,$B$6:$B$53,0),COLUMN()-COLUMN($CI$5)+1)&gt;0,INDEX($D$6:$CB$53,MATCH($CG51,$B$6:$B$53,0),COLUMN()-COLUMN($CI$5)+1),""))</f>
        <v/>
      </c>
      <c r="DL51" s="1753" t="str" cm="1">
        <f t="array" ref="DL51">IF($CG51="","",IF(INDEX($D$6:$CB$53,MATCH($CG51,$B$6:$B$53,0),COLUMN()-COLUMN($CI$5)+1)&gt;0,INDEX($D$6:$CB$53,MATCH($CG51,$B$6:$B$53,0),COLUMN()-COLUMN($CI$5)+1),""))</f>
        <v/>
      </c>
      <c r="DM51" s="1753" t="str" cm="1">
        <f t="array" ref="DM51">IF($CG51="","",IF(INDEX($D$6:$CB$53,MATCH($CG51,$B$6:$B$53,0),COLUMN()-COLUMN($CI$5)+1)&gt;0,INDEX($D$6:$CB$53,MATCH($CG51,$B$6:$B$53,0),COLUMN()-COLUMN($CI$5)+1),""))</f>
        <v/>
      </c>
      <c r="DN51" s="1753" t="str" cm="1">
        <f t="array" ref="DN51">IF($CG51="","",IF(INDEX($D$6:$CB$53,MATCH($CG51,$B$6:$B$53,0),COLUMN()-COLUMN($CI$5)+1)&gt;0,INDEX($D$6:$CB$53,MATCH($CG51,$B$6:$B$53,0),COLUMN()-COLUMN($CI$5)+1),""))</f>
        <v/>
      </c>
      <c r="DO51" s="1753" t="str" cm="1">
        <f t="array" ref="DO51">IF($CG51="","",IF(INDEX($D$6:$CB$53,MATCH($CG51,$B$6:$B$53,0),COLUMN()-COLUMN($CI$5)+1)&gt;0,INDEX($D$6:$CB$53,MATCH($CG51,$B$6:$B$53,0),COLUMN()-COLUMN($CI$5)+1),""))</f>
        <v/>
      </c>
      <c r="DP51" s="1753" t="str" cm="1">
        <f t="array" ref="DP51">IF($CG51="","",IF(INDEX($D$6:$CB$53,MATCH($CG51,$B$6:$B$53,0),COLUMN()-COLUMN($CI$5)+1)&gt;0,INDEX($D$6:$CB$53,MATCH($CG51,$B$6:$B$53,0),COLUMN()-COLUMN($CI$5)+1),""))</f>
        <v/>
      </c>
      <c r="DQ51" s="1753" t="str" cm="1">
        <f t="array" ref="DQ51">IF($CG51="","",IF(INDEX($D$6:$CB$53,MATCH($CG51,$B$6:$B$53,0),COLUMN()-COLUMN($CI$5)+1)&gt;0,INDEX($D$6:$CB$53,MATCH($CG51,$B$6:$B$53,0),COLUMN()-COLUMN($CI$5)+1),""))</f>
        <v/>
      </c>
      <c r="DR51" s="1753" t="str" cm="1">
        <f t="array" ref="DR51">IF($CG51="","",IF(INDEX($D$6:$CB$53,MATCH($CG51,$B$6:$B$53,0),COLUMN()-COLUMN($CI$5)+1)&gt;0,INDEX($D$6:$CB$53,MATCH($CG51,$B$6:$B$53,0),COLUMN()-COLUMN($CI$5)+1),""))</f>
        <v/>
      </c>
      <c r="DS51" s="1753" t="str" cm="1">
        <f t="array" ref="DS51">IF($CG51="","",IF(INDEX($D$6:$CB$53,MATCH($CG51,$B$6:$B$53,0),COLUMN()-COLUMN($CI$5)+1)&gt;0,INDEX($D$6:$CB$53,MATCH($CG51,$B$6:$B$53,0),COLUMN()-COLUMN($CI$5)+1),""))</f>
        <v/>
      </c>
      <c r="DT51" s="1753" t="str" cm="1">
        <f t="array" ref="DT51">IF($CG51="","",IF(INDEX($D$6:$CB$53,MATCH($CG51,$B$6:$B$53,0),COLUMN()-COLUMN($CI$5)+1)&gt;0,INDEX($D$6:$CB$53,MATCH($CG51,$B$6:$B$53,0),COLUMN()-COLUMN($CI$5)+1),""))</f>
        <v/>
      </c>
      <c r="DU51" s="1753" t="str" cm="1">
        <f t="array" ref="DU51">IF($CG51="","",IF(INDEX($D$6:$CB$53,MATCH($CG51,$B$6:$B$53,0),COLUMN()-COLUMN($CI$5)+1)&gt;0,INDEX($D$6:$CB$53,MATCH($CG51,$B$6:$B$53,0),COLUMN()-COLUMN($CI$5)+1),""))</f>
        <v/>
      </c>
      <c r="DV51" s="1753" t="str" cm="1">
        <f t="array" ref="DV51">IF($CG51="","",IF(INDEX($D$6:$CB$53,MATCH($CG51,$B$6:$B$53,0),COLUMN()-COLUMN($CI$5)+1)&gt;0,INDEX($D$6:$CB$53,MATCH($CG51,$B$6:$B$53,0),COLUMN()-COLUMN($CI$5)+1),""))</f>
        <v/>
      </c>
      <c r="DW51" s="1753" t="str" cm="1">
        <f t="array" ref="DW51">IF($CG51="","",IF(INDEX($D$6:$CB$53,MATCH($CG51,$B$6:$B$53,0),COLUMN()-COLUMN($CI$5)+1)&gt;0,INDEX($D$6:$CB$53,MATCH($CG51,$B$6:$B$53,0),COLUMN()-COLUMN($CI$5)+1),""))</f>
        <v/>
      </c>
      <c r="DX51" s="1753" t="str" cm="1">
        <f t="array" ref="DX51">IF($CG51="","",IF(INDEX($D$6:$CB$53,MATCH($CG51,$B$6:$B$53,0),COLUMN()-COLUMN($CI$5)+1)&gt;0,INDEX($D$6:$CB$53,MATCH($CG51,$B$6:$B$53,0),COLUMN()-COLUMN($CI$5)+1),""))</f>
        <v/>
      </c>
      <c r="DY51" s="1753" t="str" cm="1">
        <f t="array" ref="DY51">IF($CG51="","",IF(INDEX($D$6:$CB$53,MATCH($CG51,$B$6:$B$53,0),COLUMN()-COLUMN($CI$5)+1)&gt;0,INDEX($D$6:$CB$53,MATCH($CG51,$B$6:$B$53,0),COLUMN()-COLUMN($CI$5)+1),""))</f>
        <v/>
      </c>
      <c r="DZ51" s="1753" t="str" cm="1">
        <f t="array" ref="DZ51">IF($CG51="","",IF(INDEX($D$6:$CB$53,MATCH($CG51,$B$6:$B$53,0),COLUMN()-COLUMN($CI$5)+1)&gt;0,INDEX($D$6:$CB$53,MATCH($CG51,$B$6:$B$53,0),COLUMN()-COLUMN($CI$5)+1),""))</f>
        <v/>
      </c>
      <c r="EA51" s="1753" t="str" cm="1">
        <f t="array" ref="EA51">IF($CG51="","",IF(INDEX($D$6:$CB$53,MATCH($CG51,$B$6:$B$53,0),COLUMN()-COLUMN($CI$5)+1)&gt;0,INDEX($D$6:$CB$53,MATCH($CG51,$B$6:$B$53,0),COLUMN()-COLUMN($CI$5)+1),""))</f>
        <v/>
      </c>
      <c r="EB51" s="1753" t="str" cm="1">
        <f t="array" ref="EB51">IF($CG51="","",IF(INDEX($D$6:$CB$53,MATCH($CG51,$B$6:$B$53,0),COLUMN()-COLUMN($CI$5)+1)&gt;0,INDEX($D$6:$CB$53,MATCH($CG51,$B$6:$B$53,0),COLUMN()-COLUMN($CI$5)+1),""))</f>
        <v/>
      </c>
      <c r="EC51" s="1753" t="str" cm="1">
        <f t="array" ref="EC51">IF($CG51="","",IF(INDEX($D$6:$CB$53,MATCH($CG51,$B$6:$B$53,0),COLUMN()-COLUMN($CI$5)+1)&gt;0,INDEX($D$6:$CB$53,MATCH($CG51,$B$6:$B$53,0),COLUMN()-COLUMN($CI$5)+1),""))</f>
        <v/>
      </c>
      <c r="ED51" s="1753" t="str" cm="1">
        <f t="array" ref="ED51">IF($CG51="","",IF(INDEX($D$6:$CB$53,MATCH($CG51,$B$6:$B$53,0),COLUMN()-COLUMN($CI$5)+1)&gt;0,INDEX($D$6:$CB$53,MATCH($CG51,$B$6:$B$53,0),COLUMN()-COLUMN($CI$5)+1),""))</f>
        <v/>
      </c>
      <c r="EE51" s="1753" t="str" cm="1">
        <f t="array" ref="EE51">IF($CG51="","",IF(INDEX($D$6:$CB$53,MATCH($CG51,$B$6:$B$53,0),COLUMN()-COLUMN($CI$5)+1)&gt;0,INDEX($D$6:$CB$53,MATCH($CG51,$B$6:$B$53,0),COLUMN()-COLUMN($CI$5)+1),""))</f>
        <v/>
      </c>
      <c r="EF51" s="1753" t="str" cm="1">
        <f t="array" ref="EF51">IF($CG51="","",IF(INDEX($D$6:$CB$53,MATCH($CG51,$B$6:$B$53,0),COLUMN()-COLUMN($CI$5)+1)&gt;0,INDEX($D$6:$CB$53,MATCH($CG51,$B$6:$B$53,0),COLUMN()-COLUMN($CI$5)+1),""))</f>
        <v/>
      </c>
      <c r="EG51" s="1753" t="str" cm="1">
        <f t="array" ref="EG51">IF($CG51="","",IF(INDEX($D$6:$CB$53,MATCH($CG51,$B$6:$B$53,0),COLUMN()-COLUMN($CI$5)+1)&gt;0,INDEX($D$6:$CB$53,MATCH($CG51,$B$6:$B$53,0),COLUMN()-COLUMN($CI$5)+1),""))</f>
        <v/>
      </c>
      <c r="EH51" s="1753" t="str" cm="1">
        <f t="array" ref="EH51">IF($CG51="","",IF(INDEX($D$6:$CB$53,MATCH($CG51,$B$6:$B$53,0),COLUMN()-COLUMN($CI$5)+1)&gt;0,INDEX($D$6:$CB$53,MATCH($CG51,$B$6:$B$53,0),COLUMN()-COLUMN($CI$5)+1),""))</f>
        <v/>
      </c>
      <c r="EI51" s="1753" t="str" cm="1">
        <f t="array" ref="EI51">IF($CG51="","",IF(INDEX($D$6:$CB$53,MATCH($CG51,$B$6:$B$53,0),COLUMN()-COLUMN($CI$5)+1)&gt;0,INDEX($D$6:$CB$53,MATCH($CG51,$B$6:$B$53,0),COLUMN()-COLUMN($CI$5)+1),""))</f>
        <v/>
      </c>
      <c r="EJ51" s="1753" t="str" cm="1">
        <f t="array" ref="EJ51">IF($CG51="","",IF(INDEX($D$6:$CB$53,MATCH($CG51,$B$6:$B$53,0),COLUMN()-COLUMN($CI$5)+1)&gt;0,INDEX($D$6:$CB$53,MATCH($CG51,$B$6:$B$53,0),COLUMN()-COLUMN($CI$5)+1),""))</f>
        <v/>
      </c>
      <c r="EK51" s="1753" t="str" cm="1">
        <f t="array" ref="EK51">IF($CG51="","",IF(INDEX($D$6:$CB$53,MATCH($CG51,$B$6:$B$53,0),COLUMN()-COLUMN($CI$5)+1)&gt;0,INDEX($D$6:$CB$53,MATCH($CG51,$B$6:$B$53,0),COLUMN()-COLUMN($CI$5)+1),""))</f>
        <v/>
      </c>
      <c r="EL51" s="1753" t="str" cm="1">
        <f t="array" ref="EL51">IF($CG51="","",IF(INDEX($D$6:$CB$53,MATCH($CG51,$B$6:$B$53,0),COLUMN()-COLUMN($CI$5)+1)&gt;0,INDEX($D$6:$CB$53,MATCH($CG51,$B$6:$B$53,0),COLUMN()-COLUMN($CI$5)+1),""))</f>
        <v/>
      </c>
      <c r="EM51" s="1753" t="str" cm="1">
        <f t="array" ref="EM51">IF($CG51="","",IF(INDEX($D$6:$CB$53,MATCH($CG51,$B$6:$B$53,0),COLUMN()-COLUMN($CI$5)+1)&gt;0,INDEX($D$6:$CB$53,MATCH($CG51,$B$6:$B$53,0),COLUMN()-COLUMN($CI$5)+1),""))</f>
        <v/>
      </c>
      <c r="EN51" s="1753" t="str" cm="1">
        <f t="array" ref="EN51">IF($CG51="","",IF(INDEX($D$6:$CB$53,MATCH($CG51,$B$6:$B$53,0),COLUMN()-COLUMN($CI$5)+1)&gt;0,INDEX($D$6:$CB$53,MATCH($CG51,$B$6:$B$53,0),COLUMN()-COLUMN($CI$5)+1),""))</f>
        <v/>
      </c>
      <c r="EO51" s="1753" t="str" cm="1">
        <f t="array" ref="EO51">IF($CG51="","",IF(INDEX($D$6:$CB$53,MATCH($CG51,$B$6:$B$53,0),COLUMN()-COLUMN($CI$5)+1)&gt;0,INDEX($D$6:$CB$53,MATCH($CG51,$B$6:$B$53,0),COLUMN()-COLUMN($CI$5)+1),""))</f>
        <v/>
      </c>
      <c r="EP51" s="1753" t="str" cm="1">
        <f t="array" ref="EP51">IF($CG51="","",IF(INDEX($D$6:$CB$53,MATCH($CG51,$B$6:$B$53,0),COLUMN()-COLUMN($CI$5)+1)&gt;0,INDEX($D$6:$CB$53,MATCH($CG51,$B$6:$B$53,0),COLUMN()-COLUMN($CI$5)+1),""))</f>
        <v/>
      </c>
      <c r="EQ51" s="1753" t="str" cm="1">
        <f t="array" ref="EQ51">IF($CG51="","",IF(INDEX($D$6:$CB$53,MATCH($CG51,$B$6:$B$53,0),COLUMN()-COLUMN($CI$5)+1)&gt;0,INDEX($D$6:$CB$53,MATCH($CG51,$B$6:$B$53,0),COLUMN()-COLUMN($CI$5)+1),""))</f>
        <v/>
      </c>
      <c r="ER51" s="1753" t="str" cm="1">
        <f t="array" ref="ER51">IF($CG51="","",IF(INDEX($D$6:$CB$53,MATCH($CG51,$B$6:$B$53,0),COLUMN()-COLUMN($CI$5)+1)&gt;0,INDEX($D$6:$CB$53,MATCH($CG51,$B$6:$B$53,0),COLUMN()-COLUMN($CI$5)+1),""))</f>
        <v/>
      </c>
      <c r="ES51" s="1753" t="str" cm="1">
        <f t="array" ref="ES51">IF($CG51="","",IF(INDEX($D$6:$CB$53,MATCH($CG51,$B$6:$B$53,0),COLUMN()-COLUMN($CI$5)+1)&gt;0,INDEX($D$6:$CB$53,MATCH($CG51,$B$6:$B$53,0),COLUMN()-COLUMN($CI$5)+1),""))</f>
        <v/>
      </c>
      <c r="ET51" s="1753" t="str" cm="1">
        <f t="array" ref="ET51">IF($CG51="","",IF(INDEX($D$6:$CB$53,MATCH($CG51,$B$6:$B$53,0),COLUMN()-COLUMN($CI$5)+1)&gt;0,INDEX($D$6:$CB$53,MATCH($CG51,$B$6:$B$53,0),COLUMN()-COLUMN($CI$5)+1),""))</f>
        <v/>
      </c>
      <c r="EU51" s="1753" t="str" cm="1">
        <f t="array" ref="EU51">IF($CG51="","",IF(INDEX($D$6:$CB$53,MATCH($CG51,$B$6:$B$53,0),COLUMN()-COLUMN($CI$5)+1)&gt;0,INDEX($D$6:$CB$53,MATCH($CG51,$B$6:$B$53,0),COLUMN()-COLUMN($CI$5)+1),""))</f>
        <v/>
      </c>
      <c r="EV51" s="1753" t="str" cm="1">
        <f t="array" ref="EV51">IF($CG51="","",IF(INDEX($D$6:$CB$53,MATCH($CG51,$B$6:$B$53,0),COLUMN()-COLUMN($CI$5)+1)&gt;0,INDEX($D$6:$CB$53,MATCH($CG51,$B$6:$B$53,0),COLUMN()-COLUMN($CI$5)+1),""))</f>
        <v/>
      </c>
      <c r="EW51" s="1753" t="str" cm="1">
        <f t="array" ref="EW51">IF($CG51="","",IF(INDEX($D$6:$CB$53,MATCH($CG51,$B$6:$B$53,0),COLUMN()-COLUMN($CI$5)+1)&gt;0,INDEX($D$6:$CB$53,MATCH($CG51,$B$6:$B$53,0),COLUMN()-COLUMN($CI$5)+1),""))</f>
        <v/>
      </c>
      <c r="EX51" s="1753" t="str" cm="1">
        <f t="array" ref="EX51">IF($CG51="","",IF(INDEX($D$6:$CB$53,MATCH($CG51,$B$6:$B$53,0),COLUMN()-COLUMN($CI$5)+1)&gt;0,INDEX($D$6:$CB$53,MATCH($CG51,$B$6:$B$53,0),COLUMN()-COLUMN($CI$5)+1),""))</f>
        <v/>
      </c>
      <c r="EY51" s="1753" t="str" cm="1">
        <f t="array" ref="EY51">IF($CG51="","",IF(INDEX($D$6:$CB$53,MATCH($CG51,$B$6:$B$53,0),COLUMN()-COLUMN($CI$5)+1)&gt;0,INDEX($D$6:$CB$53,MATCH($CG51,$B$6:$B$53,0),COLUMN()-COLUMN($CI$5)+1),""))</f>
        <v/>
      </c>
      <c r="EZ51" s="1753" t="str" cm="1">
        <f t="array" ref="EZ51">IF($CG51="","",IF(INDEX($D$6:$CB$53,MATCH($CG51,$B$6:$B$53,0),COLUMN()-COLUMN($CI$5)+1)&gt;0,INDEX($D$6:$CB$53,MATCH($CG51,$B$6:$B$53,0),COLUMN()-COLUMN($CI$5)+1),""))</f>
        <v/>
      </c>
      <c r="FA51" s="1753" t="str" cm="1">
        <f t="array" ref="FA51">IF($CG51="","",IF(INDEX($D$6:$CB$53,MATCH($CG51,$B$6:$B$53,0),COLUMN()-COLUMN($CI$5)+1)&gt;0,INDEX($D$6:$CB$53,MATCH($CG51,$B$6:$B$53,0),COLUMN()-COLUMN($CI$5)+1),""))</f>
        <v/>
      </c>
      <c r="FB51" s="1753" t="str" cm="1">
        <f t="array" ref="FB51">IF($CG51="","",IF(INDEX($D$6:$CB$53,MATCH($CG51,$B$6:$B$53,0),COLUMN()-COLUMN($CI$5)+1)&gt;0,INDEX($D$6:$CB$53,MATCH($CG51,$B$6:$B$53,0),COLUMN()-COLUMN($CI$5)+1),""))</f>
        <v/>
      </c>
      <c r="FC51" s="1753" t="str" cm="1">
        <f t="array" ref="FC51">IF($CG51="","",IF(INDEX($D$6:$CB$53,MATCH($CG51,$B$6:$B$53,0),COLUMN()-COLUMN($CI$5)+1)&gt;0,INDEX($D$6:$CB$53,MATCH($CG51,$B$6:$B$53,0),COLUMN()-COLUMN($CI$5)+1),""))</f>
        <v/>
      </c>
      <c r="FD51" s="1753" t="str" cm="1">
        <f t="array" ref="FD51">IF($CG51="","",IF(INDEX($D$6:$CB$53,MATCH($CG51,$B$6:$B$53,0),COLUMN()-COLUMN($CI$5)+1)&gt;0,INDEX($D$6:$CB$53,MATCH($CG51,$B$6:$B$53,0),COLUMN()-COLUMN($CI$5)+1),""))</f>
        <v/>
      </c>
      <c r="FE51" s="1753" t="str" cm="1">
        <f t="array" ref="FE51">IF($CG51="","",IF(INDEX($D$6:$CB$53,MATCH($CG51,$B$6:$B$53,0),COLUMN()-COLUMN($CI$5)+1)&gt;0,INDEX($D$6:$CB$53,MATCH($CG51,$B$6:$B$53,0),COLUMN()-COLUMN($CI$5)+1),""))</f>
        <v/>
      </c>
      <c r="FF51" s="1753" t="str" cm="1">
        <f t="array" ref="FF51">IF($CG51="","",IF(INDEX($D$6:$CB$53,MATCH($CG51,$B$6:$B$53,0),COLUMN()-COLUMN($CI$5)+1)&gt;0,INDEX($D$6:$CB$53,MATCH($CG51,$B$6:$B$53,0),COLUMN()-COLUMN($CI$5)+1),""))</f>
        <v/>
      </c>
      <c r="FG51" s="1753" t="str" cm="1">
        <f t="array" ref="FG51">IF($CG51="","",IF(INDEX($D$6:$CB$53,MATCH($CG51,$B$6:$B$53,0),COLUMN()-COLUMN($CI$5)+1)&gt;0,INDEX($D$6:$CB$53,MATCH($CG51,$B$6:$B$53,0),COLUMN()-COLUMN($CI$5)+1),""))</f>
        <v/>
      </c>
      <c r="FH51" s="1753" t="str">
        <f t="shared" si="7"/>
        <v/>
      </c>
      <c r="FI51" s="1753" t="str">
        <f t="shared" si="8"/>
        <v/>
      </c>
      <c r="FJ51" s="1753" t="str">
        <f t="shared" si="9"/>
        <v/>
      </c>
      <c r="FK51" s="1753"/>
    </row>
    <row r="52" spans="1:167" ht="15.75" customHeight="1" thickBot="1">
      <c r="A52" s="1220"/>
      <c r="B52" s="1278">
        <f>+PP!B70</f>
        <v>47</v>
      </c>
      <c r="C52" s="1280" t="str">
        <f>+PP!C70</f>
        <v>TENTACULO C/B S/V SR 2 UP Kg/pza</v>
      </c>
      <c r="D52" s="1407"/>
      <c r="E52" s="1408"/>
      <c r="F52" s="1408"/>
      <c r="G52" s="1408"/>
      <c r="H52" s="1408"/>
      <c r="I52" s="1408"/>
      <c r="J52" s="1408"/>
      <c r="K52" s="1408"/>
      <c r="L52" s="1408"/>
      <c r="M52" s="1408"/>
      <c r="N52" s="1408"/>
      <c r="O52" s="1408"/>
      <c r="P52" s="1408"/>
      <c r="Q52" s="1408"/>
      <c r="R52" s="1408"/>
      <c r="S52" s="1408"/>
      <c r="T52" s="1408"/>
      <c r="U52" s="1408"/>
      <c r="V52" s="1408"/>
      <c r="W52" s="1408"/>
      <c r="X52" s="1408"/>
      <c r="Y52" s="1408"/>
      <c r="Z52" s="1408"/>
      <c r="AA52" s="1423"/>
      <c r="AB52" s="1423"/>
      <c r="AC52" s="1408"/>
      <c r="AD52" s="1423"/>
      <c r="AE52" s="1423"/>
      <c r="AF52" s="1423"/>
      <c r="AG52" s="1423"/>
      <c r="AH52" s="1238"/>
      <c r="AI52" s="1238"/>
      <c r="AJ52" s="1238"/>
      <c r="AK52" s="1238"/>
      <c r="AL52" s="1238"/>
      <c r="AM52" s="1238"/>
      <c r="AN52" s="1238"/>
      <c r="AO52" s="1238"/>
      <c r="AP52" s="1219"/>
      <c r="AQ52" s="1219"/>
      <c r="AR52" s="1219"/>
      <c r="AS52" s="1219"/>
      <c r="AT52" s="1219"/>
      <c r="AU52" s="1219"/>
      <c r="AV52" s="1219"/>
      <c r="AW52" s="1219"/>
      <c r="AX52" s="1219"/>
      <c r="AY52" s="1219"/>
      <c r="AZ52" s="1219"/>
      <c r="BA52" s="1219"/>
      <c r="BB52" s="1219"/>
      <c r="BC52" s="1219"/>
      <c r="BD52" s="1219"/>
      <c r="BE52" s="1219"/>
      <c r="BF52" s="1219"/>
      <c r="BG52" s="1219"/>
      <c r="BH52" s="1219"/>
      <c r="BI52" s="1219"/>
      <c r="BJ52" s="1219"/>
      <c r="BK52" s="1219"/>
      <c r="BL52" s="1219"/>
      <c r="BM52" s="1219"/>
      <c r="BN52" s="1219"/>
      <c r="BO52" s="1219"/>
      <c r="BP52" s="1219"/>
      <c r="BQ52" s="1219"/>
      <c r="BR52" s="1565"/>
      <c r="BS52" s="1565"/>
      <c r="BT52" s="1565"/>
      <c r="BU52" s="1565"/>
      <c r="BV52" s="1565"/>
      <c r="BW52" s="1565"/>
      <c r="BX52" s="1565"/>
      <c r="BY52" s="1565"/>
      <c r="BZ52" s="1565"/>
      <c r="CA52" s="1565"/>
      <c r="CB52" s="1566"/>
      <c r="CC52" s="1551">
        <f t="shared" si="0"/>
        <v>0</v>
      </c>
      <c r="CD52" s="1239">
        <f t="shared" si="1"/>
        <v>0</v>
      </c>
      <c r="CE52" s="1240">
        <f t="shared" si="2"/>
        <v>0</v>
      </c>
      <c r="CF52" s="1220"/>
      <c r="CG52" s="1751" t="str" cm="1">
        <f t="array" ref="CG52">IFERROR(INDEX($B$6:$B$53,_xlfn.AGGREGATE(15,6,(ROW($B$6:$B$53)-ROW($B$6)+1)/(MMULT(--($D$6:$CB$53&gt;0),TRANSPOSE(COLUMN($D$6:$CB$6)^0))&gt;0),ROWS($CG$6:CG52))),"")</f>
        <v/>
      </c>
      <c r="CH52" s="1752" t="str">
        <f t="shared" si="3"/>
        <v/>
      </c>
      <c r="CI52" s="1753" t="str" cm="1">
        <f t="array" ref="CI52">IF($CG52="","",IF(INDEX($D$6:$CB$53,MATCH($CG52,$B$6:$B$53,0),COLUMN()-COLUMN($CI$5)+1)&gt;0,INDEX($D$6:$CB$53,MATCH($CG52,$B$6:$B$53,0),COLUMN()-COLUMN($CI$5)+1),""))</f>
        <v/>
      </c>
      <c r="CJ52" s="1753" t="str" cm="1">
        <f t="array" ref="CJ52">IF($CG52="","",IF(INDEX($D$6:$CB$53,MATCH($CG52,$B$6:$B$53,0),COLUMN()-COLUMN($CI$5)+1)&gt;0,INDEX($D$6:$CB$53,MATCH($CG52,$B$6:$B$53,0),COLUMN()-COLUMN($CI$5)+1),""))</f>
        <v/>
      </c>
      <c r="CK52" s="1753" t="str" cm="1">
        <f t="array" ref="CK52">IF($CG52="","",IF(INDEX($D$6:$CB$53,MATCH($CG52,$B$6:$B$53,0),COLUMN()-COLUMN($CI$5)+1)&gt;0,INDEX($D$6:$CB$53,MATCH($CG52,$B$6:$B$53,0),COLUMN()-COLUMN($CI$5)+1),""))</f>
        <v/>
      </c>
      <c r="CL52" s="1753" t="str" cm="1">
        <f t="array" ref="CL52">IF($CG52="","",IF(INDEX($D$6:$CB$53,MATCH($CG52,$B$6:$B$53,0),COLUMN()-COLUMN($CI$5)+1)&gt;0,INDEX($D$6:$CB$53,MATCH($CG52,$B$6:$B$53,0),COLUMN()-COLUMN($CI$5)+1),""))</f>
        <v/>
      </c>
      <c r="CM52" s="1753" t="str" cm="1">
        <f t="array" ref="CM52">IF($CG52="","",IF(INDEX($D$6:$CB$53,MATCH($CG52,$B$6:$B$53,0),COLUMN()-COLUMN($CI$5)+1)&gt;0,INDEX($D$6:$CB$53,MATCH($CG52,$B$6:$B$53,0),COLUMN()-COLUMN($CI$5)+1),""))</f>
        <v/>
      </c>
      <c r="CN52" s="1753" t="str" cm="1">
        <f t="array" ref="CN52">IF($CG52="","",IF(INDEX($D$6:$CB$53,MATCH($CG52,$B$6:$B$53,0),COLUMN()-COLUMN($CI$5)+1)&gt;0,INDEX($D$6:$CB$53,MATCH($CG52,$B$6:$B$53,0),COLUMN()-COLUMN($CI$5)+1),""))</f>
        <v/>
      </c>
      <c r="CO52" s="1753" t="str" cm="1">
        <f t="array" ref="CO52">IF($CG52="","",IF(INDEX($D$6:$CB$53,MATCH($CG52,$B$6:$B$53,0),COLUMN()-COLUMN($CI$5)+1)&gt;0,INDEX($D$6:$CB$53,MATCH($CG52,$B$6:$B$53,0),COLUMN()-COLUMN($CI$5)+1),""))</f>
        <v/>
      </c>
      <c r="CP52" s="1753" t="str" cm="1">
        <f t="array" ref="CP52">IF($CG52="","",IF(INDEX($D$6:$CB$53,MATCH($CG52,$B$6:$B$53,0),COLUMN()-COLUMN($CI$5)+1)&gt;0,INDEX($D$6:$CB$53,MATCH($CG52,$B$6:$B$53,0),COLUMN()-COLUMN($CI$5)+1),""))</f>
        <v/>
      </c>
      <c r="CQ52" s="1753" t="str" cm="1">
        <f t="array" ref="CQ52">IF($CG52="","",IF(INDEX($D$6:$CB$53,MATCH($CG52,$B$6:$B$53,0),COLUMN()-COLUMN($CI$5)+1)&gt;0,INDEX($D$6:$CB$53,MATCH($CG52,$B$6:$B$53,0),COLUMN()-COLUMN($CI$5)+1),""))</f>
        <v/>
      </c>
      <c r="CR52" s="1753" t="str" cm="1">
        <f t="array" ref="CR52">IF($CG52="","",IF(INDEX($D$6:$CB$53,MATCH($CG52,$B$6:$B$53,0),COLUMN()-COLUMN($CI$5)+1)&gt;0,INDEX($D$6:$CB$53,MATCH($CG52,$B$6:$B$53,0),COLUMN()-COLUMN($CI$5)+1),""))</f>
        <v/>
      </c>
      <c r="CS52" s="1753" t="str" cm="1">
        <f t="array" ref="CS52">IF($CG52="","",IF(INDEX($D$6:$CB$53,MATCH($CG52,$B$6:$B$53,0),COLUMN()-COLUMN($CI$5)+1)&gt;0,INDEX($D$6:$CB$53,MATCH($CG52,$B$6:$B$53,0),COLUMN()-COLUMN($CI$5)+1),""))</f>
        <v/>
      </c>
      <c r="CT52" s="1753" t="str" cm="1">
        <f t="array" ref="CT52">IF($CG52="","",IF(INDEX($D$6:$CB$53,MATCH($CG52,$B$6:$B$53,0),COLUMN()-COLUMN($CI$5)+1)&gt;0,INDEX($D$6:$CB$53,MATCH($CG52,$B$6:$B$53,0),COLUMN()-COLUMN($CI$5)+1),""))</f>
        <v/>
      </c>
      <c r="CU52" s="1753" t="str" cm="1">
        <f t="array" ref="CU52">IF($CG52="","",IF(INDEX($D$6:$CB$53,MATCH($CG52,$B$6:$B$53,0),COLUMN()-COLUMN($CI$5)+1)&gt;0,INDEX($D$6:$CB$53,MATCH($CG52,$B$6:$B$53,0),COLUMN()-COLUMN($CI$5)+1),""))</f>
        <v/>
      </c>
      <c r="CV52" s="1753" t="str" cm="1">
        <f t="array" ref="CV52">IF($CG52="","",IF(INDEX($D$6:$CB$53,MATCH($CG52,$B$6:$B$53,0),COLUMN()-COLUMN($CI$5)+1)&gt;0,INDEX($D$6:$CB$53,MATCH($CG52,$B$6:$B$53,0),COLUMN()-COLUMN($CI$5)+1),""))</f>
        <v/>
      </c>
      <c r="CW52" s="1753" t="str" cm="1">
        <f t="array" ref="CW52">IF($CG52="","",IF(INDEX($D$6:$CB$53,MATCH($CG52,$B$6:$B$53,0),COLUMN()-COLUMN($CI$5)+1)&gt;0,INDEX($D$6:$CB$53,MATCH($CG52,$B$6:$B$53,0),COLUMN()-COLUMN($CI$5)+1),""))</f>
        <v/>
      </c>
      <c r="CX52" s="1753" t="str" cm="1">
        <f t="array" ref="CX52">IF($CG52="","",IF(INDEX($D$6:$CB$53,MATCH($CG52,$B$6:$B$53,0),COLUMN()-COLUMN($CI$5)+1)&gt;0,INDEX($D$6:$CB$53,MATCH($CG52,$B$6:$B$53,0),COLUMN()-COLUMN($CI$5)+1),""))</f>
        <v/>
      </c>
      <c r="CY52" s="1753" t="str" cm="1">
        <f t="array" ref="CY52">IF($CG52="","",IF(INDEX($D$6:$CB$53,MATCH($CG52,$B$6:$B$53,0),COLUMN()-COLUMN($CI$5)+1)&gt;0,INDEX($D$6:$CB$53,MATCH($CG52,$B$6:$B$53,0),COLUMN()-COLUMN($CI$5)+1),""))</f>
        <v/>
      </c>
      <c r="CZ52" s="1753" t="str" cm="1">
        <f t="array" ref="CZ52">IF($CG52="","",IF(INDEX($D$6:$CB$53,MATCH($CG52,$B$6:$B$53,0),COLUMN()-COLUMN($CI$5)+1)&gt;0,INDEX($D$6:$CB$53,MATCH($CG52,$B$6:$B$53,0),COLUMN()-COLUMN($CI$5)+1),""))</f>
        <v/>
      </c>
      <c r="DA52" s="1753" t="str" cm="1">
        <f t="array" ref="DA52">IF($CG52="","",IF(INDEX($D$6:$CB$53,MATCH($CG52,$B$6:$B$53,0),COLUMN()-COLUMN($CI$5)+1)&gt;0,INDEX($D$6:$CB$53,MATCH($CG52,$B$6:$B$53,0),COLUMN()-COLUMN($CI$5)+1),""))</f>
        <v/>
      </c>
      <c r="DB52" s="1753" t="str" cm="1">
        <f t="array" ref="DB52">IF($CG52="","",IF(INDEX($D$6:$CB$53,MATCH($CG52,$B$6:$B$53,0),COLUMN()-COLUMN($CI$5)+1)&gt;0,INDEX($D$6:$CB$53,MATCH($CG52,$B$6:$B$53,0),COLUMN()-COLUMN($CI$5)+1),""))</f>
        <v/>
      </c>
      <c r="DC52" s="1753" t="str" cm="1">
        <f t="array" ref="DC52">IF($CG52="","",IF(INDEX($D$6:$CB$53,MATCH($CG52,$B$6:$B$53,0),COLUMN()-COLUMN($CI$5)+1)&gt;0,INDEX($D$6:$CB$53,MATCH($CG52,$B$6:$B$53,0),COLUMN()-COLUMN($CI$5)+1),""))</f>
        <v/>
      </c>
      <c r="DD52" s="1753" t="str" cm="1">
        <f t="array" ref="DD52">IF($CG52="","",IF(INDEX($D$6:$CB$53,MATCH($CG52,$B$6:$B$53,0),COLUMN()-COLUMN($CI$5)+1)&gt;0,INDEX($D$6:$CB$53,MATCH($CG52,$B$6:$B$53,0),COLUMN()-COLUMN($CI$5)+1),""))</f>
        <v/>
      </c>
      <c r="DE52" s="1753" t="str" cm="1">
        <f t="array" ref="DE52">IF($CG52="","",IF(INDEX($D$6:$CB$53,MATCH($CG52,$B$6:$B$53,0),COLUMN()-COLUMN($CI$5)+1)&gt;0,INDEX($D$6:$CB$53,MATCH($CG52,$B$6:$B$53,0),COLUMN()-COLUMN($CI$5)+1),""))</f>
        <v/>
      </c>
      <c r="DF52" s="1753" t="str" cm="1">
        <f t="array" ref="DF52">IF($CG52="","",IF(INDEX($D$6:$CB$53,MATCH($CG52,$B$6:$B$53,0),COLUMN()-COLUMN($CI$5)+1)&gt;0,INDEX($D$6:$CB$53,MATCH($CG52,$B$6:$B$53,0),COLUMN()-COLUMN($CI$5)+1),""))</f>
        <v/>
      </c>
      <c r="DG52" s="1753" t="str" cm="1">
        <f t="array" ref="DG52">IF($CG52="","",IF(INDEX($D$6:$CB$53,MATCH($CG52,$B$6:$B$53,0),COLUMN()-COLUMN($CI$5)+1)&gt;0,INDEX($D$6:$CB$53,MATCH($CG52,$B$6:$B$53,0),COLUMN()-COLUMN($CI$5)+1),""))</f>
        <v/>
      </c>
      <c r="DH52" s="1753" t="str" cm="1">
        <f t="array" ref="DH52">IF($CG52="","",IF(INDEX($D$6:$CB$53,MATCH($CG52,$B$6:$B$53,0),COLUMN()-COLUMN($CI$5)+1)&gt;0,INDEX($D$6:$CB$53,MATCH($CG52,$B$6:$B$53,0),COLUMN()-COLUMN($CI$5)+1),""))</f>
        <v/>
      </c>
      <c r="DI52" s="1753" t="str" cm="1">
        <f t="array" ref="DI52">IF($CG52="","",IF(INDEX($D$6:$CB$53,MATCH($CG52,$B$6:$B$53,0),COLUMN()-COLUMN($CI$5)+1)&gt;0,INDEX($D$6:$CB$53,MATCH($CG52,$B$6:$B$53,0),COLUMN()-COLUMN($CI$5)+1),""))</f>
        <v/>
      </c>
      <c r="DJ52" s="1753" t="str" cm="1">
        <f t="array" ref="DJ52">IF($CG52="","",IF(INDEX($D$6:$CB$53,MATCH($CG52,$B$6:$B$53,0),COLUMN()-COLUMN($CI$5)+1)&gt;0,INDEX($D$6:$CB$53,MATCH($CG52,$B$6:$B$53,0),COLUMN()-COLUMN($CI$5)+1),""))</f>
        <v/>
      </c>
      <c r="DK52" s="1753" t="str" cm="1">
        <f t="array" ref="DK52">IF($CG52="","",IF(INDEX($D$6:$CB$53,MATCH($CG52,$B$6:$B$53,0),COLUMN()-COLUMN($CI$5)+1)&gt;0,INDEX($D$6:$CB$53,MATCH($CG52,$B$6:$B$53,0),COLUMN()-COLUMN($CI$5)+1),""))</f>
        <v/>
      </c>
      <c r="DL52" s="1753" t="str" cm="1">
        <f t="array" ref="DL52">IF($CG52="","",IF(INDEX($D$6:$CB$53,MATCH($CG52,$B$6:$B$53,0),COLUMN()-COLUMN($CI$5)+1)&gt;0,INDEX($D$6:$CB$53,MATCH($CG52,$B$6:$B$53,0),COLUMN()-COLUMN($CI$5)+1),""))</f>
        <v/>
      </c>
      <c r="DM52" s="1753" t="str" cm="1">
        <f t="array" ref="DM52">IF($CG52="","",IF(INDEX($D$6:$CB$53,MATCH($CG52,$B$6:$B$53,0),COLUMN()-COLUMN($CI$5)+1)&gt;0,INDEX($D$6:$CB$53,MATCH($CG52,$B$6:$B$53,0),COLUMN()-COLUMN($CI$5)+1),""))</f>
        <v/>
      </c>
      <c r="DN52" s="1753" t="str" cm="1">
        <f t="array" ref="DN52">IF($CG52="","",IF(INDEX($D$6:$CB$53,MATCH($CG52,$B$6:$B$53,0),COLUMN()-COLUMN($CI$5)+1)&gt;0,INDEX($D$6:$CB$53,MATCH($CG52,$B$6:$B$53,0),COLUMN()-COLUMN($CI$5)+1),""))</f>
        <v/>
      </c>
      <c r="DO52" s="1753" t="str" cm="1">
        <f t="array" ref="DO52">IF($CG52="","",IF(INDEX($D$6:$CB$53,MATCH($CG52,$B$6:$B$53,0),COLUMN()-COLUMN($CI$5)+1)&gt;0,INDEX($D$6:$CB$53,MATCH($CG52,$B$6:$B$53,0),COLUMN()-COLUMN($CI$5)+1),""))</f>
        <v/>
      </c>
      <c r="DP52" s="1753" t="str" cm="1">
        <f t="array" ref="DP52">IF($CG52="","",IF(INDEX($D$6:$CB$53,MATCH($CG52,$B$6:$B$53,0),COLUMN()-COLUMN($CI$5)+1)&gt;0,INDEX($D$6:$CB$53,MATCH($CG52,$B$6:$B$53,0),COLUMN()-COLUMN($CI$5)+1),""))</f>
        <v/>
      </c>
      <c r="DQ52" s="1753" t="str" cm="1">
        <f t="array" ref="DQ52">IF($CG52="","",IF(INDEX($D$6:$CB$53,MATCH($CG52,$B$6:$B$53,0),COLUMN()-COLUMN($CI$5)+1)&gt;0,INDEX($D$6:$CB$53,MATCH($CG52,$B$6:$B$53,0),COLUMN()-COLUMN($CI$5)+1),""))</f>
        <v/>
      </c>
      <c r="DR52" s="1753" t="str" cm="1">
        <f t="array" ref="DR52">IF($CG52="","",IF(INDEX($D$6:$CB$53,MATCH($CG52,$B$6:$B$53,0),COLUMN()-COLUMN($CI$5)+1)&gt;0,INDEX($D$6:$CB$53,MATCH($CG52,$B$6:$B$53,0),COLUMN()-COLUMN($CI$5)+1),""))</f>
        <v/>
      </c>
      <c r="DS52" s="1753" t="str" cm="1">
        <f t="array" ref="DS52">IF($CG52="","",IF(INDEX($D$6:$CB$53,MATCH($CG52,$B$6:$B$53,0),COLUMN()-COLUMN($CI$5)+1)&gt;0,INDEX($D$6:$CB$53,MATCH($CG52,$B$6:$B$53,0),COLUMN()-COLUMN($CI$5)+1),""))</f>
        <v/>
      </c>
      <c r="DT52" s="1753" t="str" cm="1">
        <f t="array" ref="DT52">IF($CG52="","",IF(INDEX($D$6:$CB$53,MATCH($CG52,$B$6:$B$53,0),COLUMN()-COLUMN($CI$5)+1)&gt;0,INDEX($D$6:$CB$53,MATCH($CG52,$B$6:$B$53,0),COLUMN()-COLUMN($CI$5)+1),""))</f>
        <v/>
      </c>
      <c r="DU52" s="1753" t="str" cm="1">
        <f t="array" ref="DU52">IF($CG52="","",IF(INDEX($D$6:$CB$53,MATCH($CG52,$B$6:$B$53,0),COLUMN()-COLUMN($CI$5)+1)&gt;0,INDEX($D$6:$CB$53,MATCH($CG52,$B$6:$B$53,0),COLUMN()-COLUMN($CI$5)+1),""))</f>
        <v/>
      </c>
      <c r="DV52" s="1753" t="str" cm="1">
        <f t="array" ref="DV52">IF($CG52="","",IF(INDEX($D$6:$CB$53,MATCH($CG52,$B$6:$B$53,0),COLUMN()-COLUMN($CI$5)+1)&gt;0,INDEX($D$6:$CB$53,MATCH($CG52,$B$6:$B$53,0),COLUMN()-COLUMN($CI$5)+1),""))</f>
        <v/>
      </c>
      <c r="DW52" s="1753" t="str" cm="1">
        <f t="array" ref="DW52">IF($CG52="","",IF(INDEX($D$6:$CB$53,MATCH($CG52,$B$6:$B$53,0),COLUMN()-COLUMN($CI$5)+1)&gt;0,INDEX($D$6:$CB$53,MATCH($CG52,$B$6:$B$53,0),COLUMN()-COLUMN($CI$5)+1),""))</f>
        <v/>
      </c>
      <c r="DX52" s="1753" t="str" cm="1">
        <f t="array" ref="DX52">IF($CG52="","",IF(INDEX($D$6:$CB$53,MATCH($CG52,$B$6:$B$53,0),COLUMN()-COLUMN($CI$5)+1)&gt;0,INDEX($D$6:$CB$53,MATCH($CG52,$B$6:$B$53,0),COLUMN()-COLUMN($CI$5)+1),""))</f>
        <v/>
      </c>
      <c r="DY52" s="1753" t="str" cm="1">
        <f t="array" ref="DY52">IF($CG52="","",IF(INDEX($D$6:$CB$53,MATCH($CG52,$B$6:$B$53,0),COLUMN()-COLUMN($CI$5)+1)&gt;0,INDEX($D$6:$CB$53,MATCH($CG52,$B$6:$B$53,0),COLUMN()-COLUMN($CI$5)+1),""))</f>
        <v/>
      </c>
      <c r="DZ52" s="1753" t="str" cm="1">
        <f t="array" ref="DZ52">IF($CG52="","",IF(INDEX($D$6:$CB$53,MATCH($CG52,$B$6:$B$53,0),COLUMN()-COLUMN($CI$5)+1)&gt;0,INDEX($D$6:$CB$53,MATCH($CG52,$B$6:$B$53,0),COLUMN()-COLUMN($CI$5)+1),""))</f>
        <v/>
      </c>
      <c r="EA52" s="1753" t="str" cm="1">
        <f t="array" ref="EA52">IF($CG52="","",IF(INDEX($D$6:$CB$53,MATCH($CG52,$B$6:$B$53,0),COLUMN()-COLUMN($CI$5)+1)&gt;0,INDEX($D$6:$CB$53,MATCH($CG52,$B$6:$B$53,0),COLUMN()-COLUMN($CI$5)+1),""))</f>
        <v/>
      </c>
      <c r="EB52" s="1753" t="str" cm="1">
        <f t="array" ref="EB52">IF($CG52="","",IF(INDEX($D$6:$CB$53,MATCH($CG52,$B$6:$B$53,0),COLUMN()-COLUMN($CI$5)+1)&gt;0,INDEX($D$6:$CB$53,MATCH($CG52,$B$6:$B$53,0),COLUMN()-COLUMN($CI$5)+1),""))</f>
        <v/>
      </c>
      <c r="EC52" s="1753" t="str" cm="1">
        <f t="array" ref="EC52">IF($CG52="","",IF(INDEX($D$6:$CB$53,MATCH($CG52,$B$6:$B$53,0),COLUMN()-COLUMN($CI$5)+1)&gt;0,INDEX($D$6:$CB$53,MATCH($CG52,$B$6:$B$53,0),COLUMN()-COLUMN($CI$5)+1),""))</f>
        <v/>
      </c>
      <c r="ED52" s="1753" t="str" cm="1">
        <f t="array" ref="ED52">IF($CG52="","",IF(INDEX($D$6:$CB$53,MATCH($CG52,$B$6:$B$53,0),COLUMN()-COLUMN($CI$5)+1)&gt;0,INDEX($D$6:$CB$53,MATCH($CG52,$B$6:$B$53,0),COLUMN()-COLUMN($CI$5)+1),""))</f>
        <v/>
      </c>
      <c r="EE52" s="1753" t="str" cm="1">
        <f t="array" ref="EE52">IF($CG52="","",IF(INDEX($D$6:$CB$53,MATCH($CG52,$B$6:$B$53,0),COLUMN()-COLUMN($CI$5)+1)&gt;0,INDEX($D$6:$CB$53,MATCH($CG52,$B$6:$B$53,0),COLUMN()-COLUMN($CI$5)+1),""))</f>
        <v/>
      </c>
      <c r="EF52" s="1753" t="str" cm="1">
        <f t="array" ref="EF52">IF($CG52="","",IF(INDEX($D$6:$CB$53,MATCH($CG52,$B$6:$B$53,0),COLUMN()-COLUMN($CI$5)+1)&gt;0,INDEX($D$6:$CB$53,MATCH($CG52,$B$6:$B$53,0),COLUMN()-COLUMN($CI$5)+1),""))</f>
        <v/>
      </c>
      <c r="EG52" s="1753" t="str" cm="1">
        <f t="array" ref="EG52">IF($CG52="","",IF(INDEX($D$6:$CB$53,MATCH($CG52,$B$6:$B$53,0),COLUMN()-COLUMN($CI$5)+1)&gt;0,INDEX($D$6:$CB$53,MATCH($CG52,$B$6:$B$53,0),COLUMN()-COLUMN($CI$5)+1),""))</f>
        <v/>
      </c>
      <c r="EH52" s="1753" t="str" cm="1">
        <f t="array" ref="EH52">IF($CG52="","",IF(INDEX($D$6:$CB$53,MATCH($CG52,$B$6:$B$53,0),COLUMN()-COLUMN($CI$5)+1)&gt;0,INDEX($D$6:$CB$53,MATCH($CG52,$B$6:$B$53,0),COLUMN()-COLUMN($CI$5)+1),""))</f>
        <v/>
      </c>
      <c r="EI52" s="1753" t="str" cm="1">
        <f t="array" ref="EI52">IF($CG52="","",IF(INDEX($D$6:$CB$53,MATCH($CG52,$B$6:$B$53,0),COLUMN()-COLUMN($CI$5)+1)&gt;0,INDEX($D$6:$CB$53,MATCH($CG52,$B$6:$B$53,0),COLUMN()-COLUMN($CI$5)+1),""))</f>
        <v/>
      </c>
      <c r="EJ52" s="1753" t="str" cm="1">
        <f t="array" ref="EJ52">IF($CG52="","",IF(INDEX($D$6:$CB$53,MATCH($CG52,$B$6:$B$53,0),COLUMN()-COLUMN($CI$5)+1)&gt;0,INDEX($D$6:$CB$53,MATCH($CG52,$B$6:$B$53,0),COLUMN()-COLUMN($CI$5)+1),""))</f>
        <v/>
      </c>
      <c r="EK52" s="1753" t="str" cm="1">
        <f t="array" ref="EK52">IF($CG52="","",IF(INDEX($D$6:$CB$53,MATCH($CG52,$B$6:$B$53,0),COLUMN()-COLUMN($CI$5)+1)&gt;0,INDEX($D$6:$CB$53,MATCH($CG52,$B$6:$B$53,0),COLUMN()-COLUMN($CI$5)+1),""))</f>
        <v/>
      </c>
      <c r="EL52" s="1753" t="str" cm="1">
        <f t="array" ref="EL52">IF($CG52="","",IF(INDEX($D$6:$CB$53,MATCH($CG52,$B$6:$B$53,0),COLUMN()-COLUMN($CI$5)+1)&gt;0,INDEX($D$6:$CB$53,MATCH($CG52,$B$6:$B$53,0),COLUMN()-COLUMN($CI$5)+1),""))</f>
        <v/>
      </c>
      <c r="EM52" s="1753" t="str" cm="1">
        <f t="array" ref="EM52">IF($CG52="","",IF(INDEX($D$6:$CB$53,MATCH($CG52,$B$6:$B$53,0),COLUMN()-COLUMN($CI$5)+1)&gt;0,INDEX($D$6:$CB$53,MATCH($CG52,$B$6:$B$53,0),COLUMN()-COLUMN($CI$5)+1),""))</f>
        <v/>
      </c>
      <c r="EN52" s="1753" t="str" cm="1">
        <f t="array" ref="EN52">IF($CG52="","",IF(INDEX($D$6:$CB$53,MATCH($CG52,$B$6:$B$53,0),COLUMN()-COLUMN($CI$5)+1)&gt;0,INDEX($D$6:$CB$53,MATCH($CG52,$B$6:$B$53,0),COLUMN()-COLUMN($CI$5)+1),""))</f>
        <v/>
      </c>
      <c r="EO52" s="1753" t="str" cm="1">
        <f t="array" ref="EO52">IF($CG52="","",IF(INDEX($D$6:$CB$53,MATCH($CG52,$B$6:$B$53,0),COLUMN()-COLUMN($CI$5)+1)&gt;0,INDEX($D$6:$CB$53,MATCH($CG52,$B$6:$B$53,0),COLUMN()-COLUMN($CI$5)+1),""))</f>
        <v/>
      </c>
      <c r="EP52" s="1753" t="str" cm="1">
        <f t="array" ref="EP52">IF($CG52="","",IF(INDEX($D$6:$CB$53,MATCH($CG52,$B$6:$B$53,0),COLUMN()-COLUMN($CI$5)+1)&gt;0,INDEX($D$6:$CB$53,MATCH($CG52,$B$6:$B$53,0),COLUMN()-COLUMN($CI$5)+1),""))</f>
        <v/>
      </c>
      <c r="EQ52" s="1753" t="str" cm="1">
        <f t="array" ref="EQ52">IF($CG52="","",IF(INDEX($D$6:$CB$53,MATCH($CG52,$B$6:$B$53,0),COLUMN()-COLUMN($CI$5)+1)&gt;0,INDEX($D$6:$CB$53,MATCH($CG52,$B$6:$B$53,0),COLUMN()-COLUMN($CI$5)+1),""))</f>
        <v/>
      </c>
      <c r="ER52" s="1753" t="str" cm="1">
        <f t="array" ref="ER52">IF($CG52="","",IF(INDEX($D$6:$CB$53,MATCH($CG52,$B$6:$B$53,0),COLUMN()-COLUMN($CI$5)+1)&gt;0,INDEX($D$6:$CB$53,MATCH($CG52,$B$6:$B$53,0),COLUMN()-COLUMN($CI$5)+1),""))</f>
        <v/>
      </c>
      <c r="ES52" s="1753" t="str" cm="1">
        <f t="array" ref="ES52">IF($CG52="","",IF(INDEX($D$6:$CB$53,MATCH($CG52,$B$6:$B$53,0),COLUMN()-COLUMN($CI$5)+1)&gt;0,INDEX($D$6:$CB$53,MATCH($CG52,$B$6:$B$53,0),COLUMN()-COLUMN($CI$5)+1),""))</f>
        <v/>
      </c>
      <c r="ET52" s="1753" t="str" cm="1">
        <f t="array" ref="ET52">IF($CG52="","",IF(INDEX($D$6:$CB$53,MATCH($CG52,$B$6:$B$53,0),COLUMN()-COLUMN($CI$5)+1)&gt;0,INDEX($D$6:$CB$53,MATCH($CG52,$B$6:$B$53,0),COLUMN()-COLUMN($CI$5)+1),""))</f>
        <v/>
      </c>
      <c r="EU52" s="1753" t="str" cm="1">
        <f t="array" ref="EU52">IF($CG52="","",IF(INDEX($D$6:$CB$53,MATCH($CG52,$B$6:$B$53,0),COLUMN()-COLUMN($CI$5)+1)&gt;0,INDEX($D$6:$CB$53,MATCH($CG52,$B$6:$B$53,0),COLUMN()-COLUMN($CI$5)+1),""))</f>
        <v/>
      </c>
      <c r="EV52" s="1753" t="str" cm="1">
        <f t="array" ref="EV52">IF($CG52="","",IF(INDEX($D$6:$CB$53,MATCH($CG52,$B$6:$B$53,0),COLUMN()-COLUMN($CI$5)+1)&gt;0,INDEX($D$6:$CB$53,MATCH($CG52,$B$6:$B$53,0),COLUMN()-COLUMN($CI$5)+1),""))</f>
        <v/>
      </c>
      <c r="EW52" s="1753" t="str" cm="1">
        <f t="array" ref="EW52">IF($CG52="","",IF(INDEX($D$6:$CB$53,MATCH($CG52,$B$6:$B$53,0),COLUMN()-COLUMN($CI$5)+1)&gt;0,INDEX($D$6:$CB$53,MATCH($CG52,$B$6:$B$53,0),COLUMN()-COLUMN($CI$5)+1),""))</f>
        <v/>
      </c>
      <c r="EX52" s="1753" t="str" cm="1">
        <f t="array" ref="EX52">IF($CG52="","",IF(INDEX($D$6:$CB$53,MATCH($CG52,$B$6:$B$53,0),COLUMN()-COLUMN($CI$5)+1)&gt;0,INDEX($D$6:$CB$53,MATCH($CG52,$B$6:$B$53,0),COLUMN()-COLUMN($CI$5)+1),""))</f>
        <v/>
      </c>
      <c r="EY52" s="1753" t="str" cm="1">
        <f t="array" ref="EY52">IF($CG52="","",IF(INDEX($D$6:$CB$53,MATCH($CG52,$B$6:$B$53,0),COLUMN()-COLUMN($CI$5)+1)&gt;0,INDEX($D$6:$CB$53,MATCH($CG52,$B$6:$B$53,0),COLUMN()-COLUMN($CI$5)+1),""))</f>
        <v/>
      </c>
      <c r="EZ52" s="1753" t="str" cm="1">
        <f t="array" ref="EZ52">IF($CG52="","",IF(INDEX($D$6:$CB$53,MATCH($CG52,$B$6:$B$53,0),COLUMN()-COLUMN($CI$5)+1)&gt;0,INDEX($D$6:$CB$53,MATCH($CG52,$B$6:$B$53,0),COLUMN()-COLUMN($CI$5)+1),""))</f>
        <v/>
      </c>
      <c r="FA52" s="1753" t="str" cm="1">
        <f t="array" ref="FA52">IF($CG52="","",IF(INDEX($D$6:$CB$53,MATCH($CG52,$B$6:$B$53,0),COLUMN()-COLUMN($CI$5)+1)&gt;0,INDEX($D$6:$CB$53,MATCH($CG52,$B$6:$B$53,0),COLUMN()-COLUMN($CI$5)+1),""))</f>
        <v/>
      </c>
      <c r="FB52" s="1753" t="str" cm="1">
        <f t="array" ref="FB52">IF($CG52="","",IF(INDEX($D$6:$CB$53,MATCH($CG52,$B$6:$B$53,0),COLUMN()-COLUMN($CI$5)+1)&gt;0,INDEX($D$6:$CB$53,MATCH($CG52,$B$6:$B$53,0),COLUMN()-COLUMN($CI$5)+1),""))</f>
        <v/>
      </c>
      <c r="FC52" s="1753" t="str" cm="1">
        <f t="array" ref="FC52">IF($CG52="","",IF(INDEX($D$6:$CB$53,MATCH($CG52,$B$6:$B$53,0),COLUMN()-COLUMN($CI$5)+1)&gt;0,INDEX($D$6:$CB$53,MATCH($CG52,$B$6:$B$53,0),COLUMN()-COLUMN($CI$5)+1),""))</f>
        <v/>
      </c>
      <c r="FD52" s="1753" t="str" cm="1">
        <f t="array" ref="FD52">IF($CG52="","",IF(INDEX($D$6:$CB$53,MATCH($CG52,$B$6:$B$53,0),COLUMN()-COLUMN($CI$5)+1)&gt;0,INDEX($D$6:$CB$53,MATCH($CG52,$B$6:$B$53,0),COLUMN()-COLUMN($CI$5)+1),""))</f>
        <v/>
      </c>
      <c r="FE52" s="1753" t="str" cm="1">
        <f t="array" ref="FE52">IF($CG52="","",IF(INDEX($D$6:$CB$53,MATCH($CG52,$B$6:$B$53,0),COLUMN()-COLUMN($CI$5)+1)&gt;0,INDEX($D$6:$CB$53,MATCH($CG52,$B$6:$B$53,0),COLUMN()-COLUMN($CI$5)+1),""))</f>
        <v/>
      </c>
      <c r="FF52" s="1753" t="str" cm="1">
        <f t="array" ref="FF52">IF($CG52="","",IF(INDEX($D$6:$CB$53,MATCH($CG52,$B$6:$B$53,0),COLUMN()-COLUMN($CI$5)+1)&gt;0,INDEX($D$6:$CB$53,MATCH($CG52,$B$6:$B$53,0),COLUMN()-COLUMN($CI$5)+1),""))</f>
        <v/>
      </c>
      <c r="FG52" s="1753" t="str" cm="1">
        <f t="array" ref="FG52">IF($CG52="","",IF(INDEX($D$6:$CB$53,MATCH($CG52,$B$6:$B$53,0),COLUMN()-COLUMN($CI$5)+1)&gt;0,INDEX($D$6:$CB$53,MATCH($CG52,$B$6:$B$53,0),COLUMN()-COLUMN($CI$5)+1),""))</f>
        <v/>
      </c>
      <c r="FH52" s="1753" t="str">
        <f t="shared" si="7"/>
        <v/>
      </c>
      <c r="FI52" s="1753" t="str">
        <f t="shared" si="8"/>
        <v/>
      </c>
      <c r="FJ52" s="1753" t="str">
        <f t="shared" si="9"/>
        <v/>
      </c>
      <c r="FK52" s="1753"/>
    </row>
    <row r="53" spans="1:167" ht="15.75" customHeight="1" thickBot="1">
      <c r="A53" s="1220"/>
      <c r="B53" s="1282">
        <f>+PP!B71</f>
        <v>48</v>
      </c>
      <c r="C53" s="1281" t="str">
        <f>+PP!C71</f>
        <v>TUBO ALETA 500-1000 g/pza</v>
      </c>
      <c r="D53" s="1573"/>
      <c r="E53" s="1574"/>
      <c r="F53" s="1574"/>
      <c r="G53" s="1574"/>
      <c r="H53" s="1574"/>
      <c r="I53" s="1574"/>
      <c r="J53" s="1574"/>
      <c r="K53" s="1574"/>
      <c r="L53" s="1574"/>
      <c r="M53" s="1574"/>
      <c r="N53" s="1574"/>
      <c r="O53" s="1574"/>
      <c r="P53" s="1574"/>
      <c r="Q53" s="1574"/>
      <c r="R53" s="1574"/>
      <c r="S53" s="1574"/>
      <c r="T53" s="1574"/>
      <c r="U53" s="1574"/>
      <c r="V53" s="1574"/>
      <c r="W53" s="1574"/>
      <c r="X53" s="1575"/>
      <c r="Y53" s="1575"/>
      <c r="Z53" s="1575"/>
      <c r="AA53" s="1575"/>
      <c r="AB53" s="1575"/>
      <c r="AC53" s="1575"/>
      <c r="AD53" s="1575"/>
      <c r="AE53" s="1575"/>
      <c r="AF53" s="1575"/>
      <c r="AG53" s="1575"/>
      <c r="AH53" s="1576"/>
      <c r="AI53" s="1576"/>
      <c r="AJ53" s="1576"/>
      <c r="AK53" s="1576"/>
      <c r="AL53" s="1576"/>
      <c r="AM53" s="1576"/>
      <c r="AN53" s="1576"/>
      <c r="AO53" s="1576"/>
      <c r="AP53" s="1577"/>
      <c r="AQ53" s="1577"/>
      <c r="AR53" s="1577"/>
      <c r="AS53" s="1577"/>
      <c r="AT53" s="1577"/>
      <c r="AU53" s="1577"/>
      <c r="AV53" s="1577"/>
      <c r="AW53" s="1577"/>
      <c r="AX53" s="1577"/>
      <c r="AY53" s="1577"/>
      <c r="AZ53" s="1577"/>
      <c r="BA53" s="1577"/>
      <c r="BB53" s="1577"/>
      <c r="BC53" s="1577"/>
      <c r="BD53" s="1577"/>
      <c r="BE53" s="1577"/>
      <c r="BF53" s="1577"/>
      <c r="BG53" s="1577"/>
      <c r="BH53" s="1577"/>
      <c r="BI53" s="1577"/>
      <c r="BJ53" s="1577"/>
      <c r="BK53" s="1577"/>
      <c r="BL53" s="1577"/>
      <c r="BM53" s="1577"/>
      <c r="BN53" s="1577"/>
      <c r="BO53" s="1577"/>
      <c r="BP53" s="1577"/>
      <c r="BQ53" s="1577"/>
      <c r="BR53" s="1555"/>
      <c r="BS53" s="1556"/>
      <c r="BT53" s="1556"/>
      <c r="BU53" s="1556"/>
      <c r="BV53" s="1556"/>
      <c r="BW53" s="1556"/>
      <c r="BX53" s="1556"/>
      <c r="BY53" s="1556"/>
      <c r="BZ53" s="1556"/>
      <c r="CA53" s="1556"/>
      <c r="CB53" s="1556"/>
      <c r="CC53" s="1243">
        <f t="shared" si="0"/>
        <v>0</v>
      </c>
      <c r="CD53" s="1244">
        <f t="shared" si="1"/>
        <v>0</v>
      </c>
      <c r="CE53" s="1245">
        <f t="shared" si="2"/>
        <v>0</v>
      </c>
      <c r="CF53" s="1220"/>
      <c r="CG53" s="1751" t="str" cm="1">
        <f t="array" ref="CG53">IFERROR(INDEX($B$6:$B$53,_xlfn.AGGREGATE(15,6,(ROW($B$6:$B$53)-ROW($B$6)+1)/(MMULT(--($D$6:$CB$53&gt;0),TRANSPOSE(COLUMN($D$6:$CB$6)^0))&gt;0),ROWS($CG$6:CG53))),"")</f>
        <v/>
      </c>
      <c r="CH53" s="1752" t="str">
        <f t="shared" si="3"/>
        <v/>
      </c>
      <c r="CI53" s="1753" t="str" cm="1">
        <f t="array" ref="CI53">IF($CG53="","",IF(INDEX($D$6:$CB$53,MATCH($CG53,$B$6:$B$53,0),COLUMN()-COLUMN($CI$5)+1)&gt;0,INDEX($D$6:$CB$53,MATCH($CG53,$B$6:$B$53,0),COLUMN()-COLUMN($CI$5)+1),""))</f>
        <v/>
      </c>
      <c r="CJ53" s="1753" t="str" cm="1">
        <f t="array" ref="CJ53">IF($CG53="","",IF(INDEX($D$6:$CB$53,MATCH($CG53,$B$6:$B$53,0),COLUMN()-COLUMN($CI$5)+1)&gt;0,INDEX($D$6:$CB$53,MATCH($CG53,$B$6:$B$53,0),COLUMN()-COLUMN($CI$5)+1),""))</f>
        <v/>
      </c>
      <c r="CK53" s="1753" t="str" cm="1">
        <f t="array" ref="CK53">IF($CG53="","",IF(INDEX($D$6:$CB$53,MATCH($CG53,$B$6:$B$53,0),COLUMN()-COLUMN($CI$5)+1)&gt;0,INDEX($D$6:$CB$53,MATCH($CG53,$B$6:$B$53,0),COLUMN()-COLUMN($CI$5)+1),""))</f>
        <v/>
      </c>
      <c r="CL53" s="1753" t="str" cm="1">
        <f t="array" ref="CL53">IF($CG53="","",IF(INDEX($D$6:$CB$53,MATCH($CG53,$B$6:$B$53,0),COLUMN()-COLUMN($CI$5)+1)&gt;0,INDEX($D$6:$CB$53,MATCH($CG53,$B$6:$B$53,0),COLUMN()-COLUMN($CI$5)+1),""))</f>
        <v/>
      </c>
      <c r="CM53" s="1753" t="str" cm="1">
        <f t="array" ref="CM53">IF($CG53="","",IF(INDEX($D$6:$CB$53,MATCH($CG53,$B$6:$B$53,0),COLUMN()-COLUMN($CI$5)+1)&gt;0,INDEX($D$6:$CB$53,MATCH($CG53,$B$6:$B$53,0),COLUMN()-COLUMN($CI$5)+1),""))</f>
        <v/>
      </c>
      <c r="CN53" s="1753" t="str" cm="1">
        <f t="array" ref="CN53">IF($CG53="","",IF(INDEX($D$6:$CB$53,MATCH($CG53,$B$6:$B$53,0),COLUMN()-COLUMN($CI$5)+1)&gt;0,INDEX($D$6:$CB$53,MATCH($CG53,$B$6:$B$53,0),COLUMN()-COLUMN($CI$5)+1),""))</f>
        <v/>
      </c>
      <c r="CO53" s="1753" t="str" cm="1">
        <f t="array" ref="CO53">IF($CG53="","",IF(INDEX($D$6:$CB$53,MATCH($CG53,$B$6:$B$53,0),COLUMN()-COLUMN($CI$5)+1)&gt;0,INDEX($D$6:$CB$53,MATCH($CG53,$B$6:$B$53,0),COLUMN()-COLUMN($CI$5)+1),""))</f>
        <v/>
      </c>
      <c r="CP53" s="1753" t="str" cm="1">
        <f t="array" ref="CP53">IF($CG53="","",IF(INDEX($D$6:$CB$53,MATCH($CG53,$B$6:$B$53,0),COLUMN()-COLUMN($CI$5)+1)&gt;0,INDEX($D$6:$CB$53,MATCH($CG53,$B$6:$B$53,0),COLUMN()-COLUMN($CI$5)+1),""))</f>
        <v/>
      </c>
      <c r="CQ53" s="1753" t="str" cm="1">
        <f t="array" ref="CQ53">IF($CG53="","",IF(INDEX($D$6:$CB$53,MATCH($CG53,$B$6:$B$53,0),COLUMN()-COLUMN($CI$5)+1)&gt;0,INDEX($D$6:$CB$53,MATCH($CG53,$B$6:$B$53,0),COLUMN()-COLUMN($CI$5)+1),""))</f>
        <v/>
      </c>
      <c r="CR53" s="1753" t="str" cm="1">
        <f t="array" ref="CR53">IF($CG53="","",IF(INDEX($D$6:$CB$53,MATCH($CG53,$B$6:$B$53,0),COLUMN()-COLUMN($CI$5)+1)&gt;0,INDEX($D$6:$CB$53,MATCH($CG53,$B$6:$B$53,0),COLUMN()-COLUMN($CI$5)+1),""))</f>
        <v/>
      </c>
      <c r="CS53" s="1753" t="str" cm="1">
        <f t="array" ref="CS53">IF($CG53="","",IF(INDEX($D$6:$CB$53,MATCH($CG53,$B$6:$B$53,0),COLUMN()-COLUMN($CI$5)+1)&gt;0,INDEX($D$6:$CB$53,MATCH($CG53,$B$6:$B$53,0),COLUMN()-COLUMN($CI$5)+1),""))</f>
        <v/>
      </c>
      <c r="CT53" s="1753" t="str" cm="1">
        <f t="array" ref="CT53">IF($CG53="","",IF(INDEX($D$6:$CB$53,MATCH($CG53,$B$6:$B$53,0),COLUMN()-COLUMN($CI$5)+1)&gt;0,INDEX($D$6:$CB$53,MATCH($CG53,$B$6:$B$53,0),COLUMN()-COLUMN($CI$5)+1),""))</f>
        <v/>
      </c>
      <c r="CU53" s="1753" t="str" cm="1">
        <f t="array" ref="CU53">IF($CG53="","",IF(INDEX($D$6:$CB$53,MATCH($CG53,$B$6:$B$53,0),COLUMN()-COLUMN($CI$5)+1)&gt;0,INDEX($D$6:$CB$53,MATCH($CG53,$B$6:$B$53,0),COLUMN()-COLUMN($CI$5)+1),""))</f>
        <v/>
      </c>
      <c r="CV53" s="1753" t="str" cm="1">
        <f t="array" ref="CV53">IF($CG53="","",IF(INDEX($D$6:$CB$53,MATCH($CG53,$B$6:$B$53,0),COLUMN()-COLUMN($CI$5)+1)&gt;0,INDEX($D$6:$CB$53,MATCH($CG53,$B$6:$B$53,0),COLUMN()-COLUMN($CI$5)+1),""))</f>
        <v/>
      </c>
      <c r="CW53" s="1753" t="str" cm="1">
        <f t="array" ref="CW53">IF($CG53="","",IF(INDEX($D$6:$CB$53,MATCH($CG53,$B$6:$B$53,0),COLUMN()-COLUMN($CI$5)+1)&gt;0,INDEX($D$6:$CB$53,MATCH($CG53,$B$6:$B$53,0),COLUMN()-COLUMN($CI$5)+1),""))</f>
        <v/>
      </c>
      <c r="CX53" s="1753" t="str" cm="1">
        <f t="array" ref="CX53">IF($CG53="","",IF(INDEX($D$6:$CB$53,MATCH($CG53,$B$6:$B$53,0),COLUMN()-COLUMN($CI$5)+1)&gt;0,INDEX($D$6:$CB$53,MATCH($CG53,$B$6:$B$53,0),COLUMN()-COLUMN($CI$5)+1),""))</f>
        <v/>
      </c>
      <c r="CY53" s="1753" t="str" cm="1">
        <f t="array" ref="CY53">IF($CG53="","",IF(INDEX($D$6:$CB$53,MATCH($CG53,$B$6:$B$53,0),COLUMN()-COLUMN($CI$5)+1)&gt;0,INDEX($D$6:$CB$53,MATCH($CG53,$B$6:$B$53,0),COLUMN()-COLUMN($CI$5)+1),""))</f>
        <v/>
      </c>
      <c r="CZ53" s="1753" t="str" cm="1">
        <f t="array" ref="CZ53">IF($CG53="","",IF(INDEX($D$6:$CB$53,MATCH($CG53,$B$6:$B$53,0),COLUMN()-COLUMN($CI$5)+1)&gt;0,INDEX($D$6:$CB$53,MATCH($CG53,$B$6:$B$53,0),COLUMN()-COLUMN($CI$5)+1),""))</f>
        <v/>
      </c>
      <c r="DA53" s="1753" t="str" cm="1">
        <f t="array" ref="DA53">IF($CG53="","",IF(INDEX($D$6:$CB$53,MATCH($CG53,$B$6:$B$53,0),COLUMN()-COLUMN($CI$5)+1)&gt;0,INDEX($D$6:$CB$53,MATCH($CG53,$B$6:$B$53,0),COLUMN()-COLUMN($CI$5)+1),""))</f>
        <v/>
      </c>
      <c r="DB53" s="1753" t="str" cm="1">
        <f t="array" ref="DB53">IF($CG53="","",IF(INDEX($D$6:$CB$53,MATCH($CG53,$B$6:$B$53,0),COLUMN()-COLUMN($CI$5)+1)&gt;0,INDEX($D$6:$CB$53,MATCH($CG53,$B$6:$B$53,0),COLUMN()-COLUMN($CI$5)+1),""))</f>
        <v/>
      </c>
      <c r="DC53" s="1753" t="str" cm="1">
        <f t="array" ref="DC53">IF($CG53="","",IF(INDEX($D$6:$CB$53,MATCH($CG53,$B$6:$B$53,0),COLUMN()-COLUMN($CI$5)+1)&gt;0,INDEX($D$6:$CB$53,MATCH($CG53,$B$6:$B$53,0),COLUMN()-COLUMN($CI$5)+1),""))</f>
        <v/>
      </c>
      <c r="DD53" s="1753" t="str" cm="1">
        <f t="array" ref="DD53">IF($CG53="","",IF(INDEX($D$6:$CB$53,MATCH($CG53,$B$6:$B$53,0),COLUMN()-COLUMN($CI$5)+1)&gt;0,INDEX($D$6:$CB$53,MATCH($CG53,$B$6:$B$53,0),COLUMN()-COLUMN($CI$5)+1),""))</f>
        <v/>
      </c>
      <c r="DE53" s="1753" t="str" cm="1">
        <f t="array" ref="DE53">IF($CG53="","",IF(INDEX($D$6:$CB$53,MATCH($CG53,$B$6:$B$53,0),COLUMN()-COLUMN($CI$5)+1)&gt;0,INDEX($D$6:$CB$53,MATCH($CG53,$B$6:$B$53,0),COLUMN()-COLUMN($CI$5)+1),""))</f>
        <v/>
      </c>
      <c r="DF53" s="1753" t="str" cm="1">
        <f t="array" ref="DF53">IF($CG53="","",IF(INDEX($D$6:$CB$53,MATCH($CG53,$B$6:$B$53,0),COLUMN()-COLUMN($CI$5)+1)&gt;0,INDEX($D$6:$CB$53,MATCH($CG53,$B$6:$B$53,0),COLUMN()-COLUMN($CI$5)+1),""))</f>
        <v/>
      </c>
      <c r="DG53" s="1753" t="str" cm="1">
        <f t="array" ref="DG53">IF($CG53="","",IF(INDEX($D$6:$CB$53,MATCH($CG53,$B$6:$B$53,0),COLUMN()-COLUMN($CI$5)+1)&gt;0,INDEX($D$6:$CB$53,MATCH($CG53,$B$6:$B$53,0),COLUMN()-COLUMN($CI$5)+1),""))</f>
        <v/>
      </c>
      <c r="DH53" s="1753" t="str" cm="1">
        <f t="array" ref="DH53">IF($CG53="","",IF(INDEX($D$6:$CB$53,MATCH($CG53,$B$6:$B$53,0),COLUMN()-COLUMN($CI$5)+1)&gt;0,INDEX($D$6:$CB$53,MATCH($CG53,$B$6:$B$53,0),COLUMN()-COLUMN($CI$5)+1),""))</f>
        <v/>
      </c>
      <c r="DI53" s="1753" t="str" cm="1">
        <f t="array" ref="DI53">IF($CG53="","",IF(INDEX($D$6:$CB$53,MATCH($CG53,$B$6:$B$53,0),COLUMN()-COLUMN($CI$5)+1)&gt;0,INDEX($D$6:$CB$53,MATCH($CG53,$B$6:$B$53,0),COLUMN()-COLUMN($CI$5)+1),""))</f>
        <v/>
      </c>
      <c r="DJ53" s="1753" t="str" cm="1">
        <f t="array" ref="DJ53">IF($CG53="","",IF(INDEX($D$6:$CB$53,MATCH($CG53,$B$6:$B$53,0),COLUMN()-COLUMN($CI$5)+1)&gt;0,INDEX($D$6:$CB$53,MATCH($CG53,$B$6:$B$53,0),COLUMN()-COLUMN($CI$5)+1),""))</f>
        <v/>
      </c>
      <c r="DK53" s="1753" t="str" cm="1">
        <f t="array" ref="DK53">IF($CG53="","",IF(INDEX($D$6:$CB$53,MATCH($CG53,$B$6:$B$53,0),COLUMN()-COLUMN($CI$5)+1)&gt;0,INDEX($D$6:$CB$53,MATCH($CG53,$B$6:$B$53,0),COLUMN()-COLUMN($CI$5)+1),""))</f>
        <v/>
      </c>
      <c r="DL53" s="1753" t="str" cm="1">
        <f t="array" ref="DL53">IF($CG53="","",IF(INDEX($D$6:$CB$53,MATCH($CG53,$B$6:$B$53,0),COLUMN()-COLUMN($CI$5)+1)&gt;0,INDEX($D$6:$CB$53,MATCH($CG53,$B$6:$B$53,0),COLUMN()-COLUMN($CI$5)+1),""))</f>
        <v/>
      </c>
      <c r="DM53" s="1753" t="str" cm="1">
        <f t="array" ref="DM53">IF($CG53="","",IF(INDEX($D$6:$CB$53,MATCH($CG53,$B$6:$B$53,0),COLUMN()-COLUMN($CI$5)+1)&gt;0,INDEX($D$6:$CB$53,MATCH($CG53,$B$6:$B$53,0),COLUMN()-COLUMN($CI$5)+1),""))</f>
        <v/>
      </c>
      <c r="DN53" s="1753" t="str" cm="1">
        <f t="array" ref="DN53">IF($CG53="","",IF(INDEX($D$6:$CB$53,MATCH($CG53,$B$6:$B$53,0),COLUMN()-COLUMN($CI$5)+1)&gt;0,INDEX($D$6:$CB$53,MATCH($CG53,$B$6:$B$53,0),COLUMN()-COLUMN($CI$5)+1),""))</f>
        <v/>
      </c>
      <c r="DO53" s="1753" t="str" cm="1">
        <f t="array" ref="DO53">IF($CG53="","",IF(INDEX($D$6:$CB$53,MATCH($CG53,$B$6:$B$53,0),COLUMN()-COLUMN($CI$5)+1)&gt;0,INDEX($D$6:$CB$53,MATCH($CG53,$B$6:$B$53,0),COLUMN()-COLUMN($CI$5)+1),""))</f>
        <v/>
      </c>
      <c r="DP53" s="1753" t="str" cm="1">
        <f t="array" ref="DP53">IF($CG53="","",IF(INDEX($D$6:$CB$53,MATCH($CG53,$B$6:$B$53,0),COLUMN()-COLUMN($CI$5)+1)&gt;0,INDEX($D$6:$CB$53,MATCH($CG53,$B$6:$B$53,0),COLUMN()-COLUMN($CI$5)+1),""))</f>
        <v/>
      </c>
      <c r="DQ53" s="1753" t="str" cm="1">
        <f t="array" ref="DQ53">IF($CG53="","",IF(INDEX($D$6:$CB$53,MATCH($CG53,$B$6:$B$53,0),COLUMN()-COLUMN($CI$5)+1)&gt;0,INDEX($D$6:$CB$53,MATCH($CG53,$B$6:$B$53,0),COLUMN()-COLUMN($CI$5)+1),""))</f>
        <v/>
      </c>
      <c r="DR53" s="1753" t="str" cm="1">
        <f t="array" ref="DR53">IF($CG53="","",IF(INDEX($D$6:$CB$53,MATCH($CG53,$B$6:$B$53,0),COLUMN()-COLUMN($CI$5)+1)&gt;0,INDEX($D$6:$CB$53,MATCH($CG53,$B$6:$B$53,0),COLUMN()-COLUMN($CI$5)+1),""))</f>
        <v/>
      </c>
      <c r="DS53" s="1753" t="str" cm="1">
        <f t="array" ref="DS53">IF($CG53="","",IF(INDEX($D$6:$CB$53,MATCH($CG53,$B$6:$B$53,0),COLUMN()-COLUMN($CI$5)+1)&gt;0,INDEX($D$6:$CB$53,MATCH($CG53,$B$6:$B$53,0),COLUMN()-COLUMN($CI$5)+1),""))</f>
        <v/>
      </c>
      <c r="DT53" s="1753" t="str" cm="1">
        <f t="array" ref="DT53">IF($CG53="","",IF(INDEX($D$6:$CB$53,MATCH($CG53,$B$6:$B$53,0),COLUMN()-COLUMN($CI$5)+1)&gt;0,INDEX($D$6:$CB$53,MATCH($CG53,$B$6:$B$53,0),COLUMN()-COLUMN($CI$5)+1),""))</f>
        <v/>
      </c>
      <c r="DU53" s="1753" t="str" cm="1">
        <f t="array" ref="DU53">IF($CG53="","",IF(INDEX($D$6:$CB$53,MATCH($CG53,$B$6:$B$53,0),COLUMN()-COLUMN($CI$5)+1)&gt;0,INDEX($D$6:$CB$53,MATCH($CG53,$B$6:$B$53,0),COLUMN()-COLUMN($CI$5)+1),""))</f>
        <v/>
      </c>
      <c r="DV53" s="1753" t="str" cm="1">
        <f t="array" ref="DV53">IF($CG53="","",IF(INDEX($D$6:$CB$53,MATCH($CG53,$B$6:$B$53,0),COLUMN()-COLUMN($CI$5)+1)&gt;0,INDEX($D$6:$CB$53,MATCH($CG53,$B$6:$B$53,0),COLUMN()-COLUMN($CI$5)+1),""))</f>
        <v/>
      </c>
      <c r="DW53" s="1753" t="str" cm="1">
        <f t="array" ref="DW53">IF($CG53="","",IF(INDEX($D$6:$CB$53,MATCH($CG53,$B$6:$B$53,0),COLUMN()-COLUMN($CI$5)+1)&gt;0,INDEX($D$6:$CB$53,MATCH($CG53,$B$6:$B$53,0),COLUMN()-COLUMN($CI$5)+1),""))</f>
        <v/>
      </c>
      <c r="DX53" s="1753" t="str" cm="1">
        <f t="array" ref="DX53">IF($CG53="","",IF(INDEX($D$6:$CB$53,MATCH($CG53,$B$6:$B$53,0),COLUMN()-COLUMN($CI$5)+1)&gt;0,INDEX($D$6:$CB$53,MATCH($CG53,$B$6:$B$53,0),COLUMN()-COLUMN($CI$5)+1),""))</f>
        <v/>
      </c>
      <c r="DY53" s="1753" t="str" cm="1">
        <f t="array" ref="DY53">IF($CG53="","",IF(INDEX($D$6:$CB$53,MATCH($CG53,$B$6:$B$53,0),COLUMN()-COLUMN($CI$5)+1)&gt;0,INDEX($D$6:$CB$53,MATCH($CG53,$B$6:$B$53,0),COLUMN()-COLUMN($CI$5)+1),""))</f>
        <v/>
      </c>
      <c r="DZ53" s="1753" t="str" cm="1">
        <f t="array" ref="DZ53">IF($CG53="","",IF(INDEX($D$6:$CB$53,MATCH($CG53,$B$6:$B$53,0),COLUMN()-COLUMN($CI$5)+1)&gt;0,INDEX($D$6:$CB$53,MATCH($CG53,$B$6:$B$53,0),COLUMN()-COLUMN($CI$5)+1),""))</f>
        <v/>
      </c>
      <c r="EA53" s="1753" t="str" cm="1">
        <f t="array" ref="EA53">IF($CG53="","",IF(INDEX($D$6:$CB$53,MATCH($CG53,$B$6:$B$53,0),COLUMN()-COLUMN($CI$5)+1)&gt;0,INDEX($D$6:$CB$53,MATCH($CG53,$B$6:$B$53,0),COLUMN()-COLUMN($CI$5)+1),""))</f>
        <v/>
      </c>
      <c r="EB53" s="1753" t="str" cm="1">
        <f t="array" ref="EB53">IF($CG53="","",IF(INDEX($D$6:$CB$53,MATCH($CG53,$B$6:$B$53,0),COLUMN()-COLUMN($CI$5)+1)&gt;0,INDEX($D$6:$CB$53,MATCH($CG53,$B$6:$B$53,0),COLUMN()-COLUMN($CI$5)+1),""))</f>
        <v/>
      </c>
      <c r="EC53" s="1753" t="str" cm="1">
        <f t="array" ref="EC53">IF($CG53="","",IF(INDEX($D$6:$CB$53,MATCH($CG53,$B$6:$B$53,0),COLUMN()-COLUMN($CI$5)+1)&gt;0,INDEX($D$6:$CB$53,MATCH($CG53,$B$6:$B$53,0),COLUMN()-COLUMN($CI$5)+1),""))</f>
        <v/>
      </c>
      <c r="ED53" s="1753" t="str" cm="1">
        <f t="array" ref="ED53">IF($CG53="","",IF(INDEX($D$6:$CB$53,MATCH($CG53,$B$6:$B$53,0),COLUMN()-COLUMN($CI$5)+1)&gt;0,INDEX($D$6:$CB$53,MATCH($CG53,$B$6:$B$53,0),COLUMN()-COLUMN($CI$5)+1),""))</f>
        <v/>
      </c>
      <c r="EE53" s="1753" t="str" cm="1">
        <f t="array" ref="EE53">IF($CG53="","",IF(INDEX($D$6:$CB$53,MATCH($CG53,$B$6:$B$53,0),COLUMN()-COLUMN($CI$5)+1)&gt;0,INDEX($D$6:$CB$53,MATCH($CG53,$B$6:$B$53,0),COLUMN()-COLUMN($CI$5)+1),""))</f>
        <v/>
      </c>
      <c r="EF53" s="1753" t="str" cm="1">
        <f t="array" ref="EF53">IF($CG53="","",IF(INDEX($D$6:$CB$53,MATCH($CG53,$B$6:$B$53,0),COLUMN()-COLUMN($CI$5)+1)&gt;0,INDEX($D$6:$CB$53,MATCH($CG53,$B$6:$B$53,0),COLUMN()-COLUMN($CI$5)+1),""))</f>
        <v/>
      </c>
      <c r="EG53" s="1753" t="str" cm="1">
        <f t="array" ref="EG53">IF($CG53="","",IF(INDEX($D$6:$CB$53,MATCH($CG53,$B$6:$B$53,0),COLUMN()-COLUMN($CI$5)+1)&gt;0,INDEX($D$6:$CB$53,MATCH($CG53,$B$6:$B$53,0),COLUMN()-COLUMN($CI$5)+1),""))</f>
        <v/>
      </c>
      <c r="EH53" s="1753" t="str" cm="1">
        <f t="array" ref="EH53">IF($CG53="","",IF(INDEX($D$6:$CB$53,MATCH($CG53,$B$6:$B$53,0),COLUMN()-COLUMN($CI$5)+1)&gt;0,INDEX($D$6:$CB$53,MATCH($CG53,$B$6:$B$53,0),COLUMN()-COLUMN($CI$5)+1),""))</f>
        <v/>
      </c>
      <c r="EI53" s="1753" t="str" cm="1">
        <f t="array" ref="EI53">IF($CG53="","",IF(INDEX($D$6:$CB$53,MATCH($CG53,$B$6:$B$53,0),COLUMN()-COLUMN($CI$5)+1)&gt;0,INDEX($D$6:$CB$53,MATCH($CG53,$B$6:$B$53,0),COLUMN()-COLUMN($CI$5)+1),""))</f>
        <v/>
      </c>
      <c r="EJ53" s="1753" t="str" cm="1">
        <f t="array" ref="EJ53">IF($CG53="","",IF(INDEX($D$6:$CB$53,MATCH($CG53,$B$6:$B$53,0),COLUMN()-COLUMN($CI$5)+1)&gt;0,INDEX($D$6:$CB$53,MATCH($CG53,$B$6:$B$53,0),COLUMN()-COLUMN($CI$5)+1),""))</f>
        <v/>
      </c>
      <c r="EK53" s="1753" t="str" cm="1">
        <f t="array" ref="EK53">IF($CG53="","",IF(INDEX($D$6:$CB$53,MATCH($CG53,$B$6:$B$53,0),COLUMN()-COLUMN($CI$5)+1)&gt;0,INDEX($D$6:$CB$53,MATCH($CG53,$B$6:$B$53,0),COLUMN()-COLUMN($CI$5)+1),""))</f>
        <v/>
      </c>
      <c r="EL53" s="1753" t="str" cm="1">
        <f t="array" ref="EL53">IF($CG53="","",IF(INDEX($D$6:$CB$53,MATCH($CG53,$B$6:$B$53,0),COLUMN()-COLUMN($CI$5)+1)&gt;0,INDEX($D$6:$CB$53,MATCH($CG53,$B$6:$B$53,0),COLUMN()-COLUMN($CI$5)+1),""))</f>
        <v/>
      </c>
      <c r="EM53" s="1753" t="str" cm="1">
        <f t="array" ref="EM53">IF($CG53="","",IF(INDEX($D$6:$CB$53,MATCH($CG53,$B$6:$B$53,0),COLUMN()-COLUMN($CI$5)+1)&gt;0,INDEX($D$6:$CB$53,MATCH($CG53,$B$6:$B$53,0),COLUMN()-COLUMN($CI$5)+1),""))</f>
        <v/>
      </c>
      <c r="EN53" s="1753" t="str" cm="1">
        <f t="array" ref="EN53">IF($CG53="","",IF(INDEX($D$6:$CB$53,MATCH($CG53,$B$6:$B$53,0),COLUMN()-COLUMN($CI$5)+1)&gt;0,INDEX($D$6:$CB$53,MATCH($CG53,$B$6:$B$53,0),COLUMN()-COLUMN($CI$5)+1),""))</f>
        <v/>
      </c>
      <c r="EO53" s="1753" t="str" cm="1">
        <f t="array" ref="EO53">IF($CG53="","",IF(INDEX($D$6:$CB$53,MATCH($CG53,$B$6:$B$53,0),COLUMN()-COLUMN($CI$5)+1)&gt;0,INDEX($D$6:$CB$53,MATCH($CG53,$B$6:$B$53,0),COLUMN()-COLUMN($CI$5)+1),""))</f>
        <v/>
      </c>
      <c r="EP53" s="1753" t="str" cm="1">
        <f t="array" ref="EP53">IF($CG53="","",IF(INDEX($D$6:$CB$53,MATCH($CG53,$B$6:$B$53,0),COLUMN()-COLUMN($CI$5)+1)&gt;0,INDEX($D$6:$CB$53,MATCH($CG53,$B$6:$B$53,0),COLUMN()-COLUMN($CI$5)+1),""))</f>
        <v/>
      </c>
      <c r="EQ53" s="1753" t="str" cm="1">
        <f t="array" ref="EQ53">IF($CG53="","",IF(INDEX($D$6:$CB$53,MATCH($CG53,$B$6:$B$53,0),COLUMN()-COLUMN($CI$5)+1)&gt;0,INDEX($D$6:$CB$53,MATCH($CG53,$B$6:$B$53,0),COLUMN()-COLUMN($CI$5)+1),""))</f>
        <v/>
      </c>
      <c r="ER53" s="1753" t="str" cm="1">
        <f t="array" ref="ER53">IF($CG53="","",IF(INDEX($D$6:$CB$53,MATCH($CG53,$B$6:$B$53,0),COLUMN()-COLUMN($CI$5)+1)&gt;0,INDEX($D$6:$CB$53,MATCH($CG53,$B$6:$B$53,0),COLUMN()-COLUMN($CI$5)+1),""))</f>
        <v/>
      </c>
      <c r="ES53" s="1753" t="str" cm="1">
        <f t="array" ref="ES53">IF($CG53="","",IF(INDEX($D$6:$CB$53,MATCH($CG53,$B$6:$B$53,0),COLUMN()-COLUMN($CI$5)+1)&gt;0,INDEX($D$6:$CB$53,MATCH($CG53,$B$6:$B$53,0),COLUMN()-COLUMN($CI$5)+1),""))</f>
        <v/>
      </c>
      <c r="ET53" s="1753" t="str" cm="1">
        <f t="array" ref="ET53">IF($CG53="","",IF(INDEX($D$6:$CB$53,MATCH($CG53,$B$6:$B$53,0),COLUMN()-COLUMN($CI$5)+1)&gt;0,INDEX($D$6:$CB$53,MATCH($CG53,$B$6:$B$53,0),COLUMN()-COLUMN($CI$5)+1),""))</f>
        <v/>
      </c>
      <c r="EU53" s="1753" t="str" cm="1">
        <f t="array" ref="EU53">IF($CG53="","",IF(INDEX($D$6:$CB$53,MATCH($CG53,$B$6:$B$53,0),COLUMN()-COLUMN($CI$5)+1)&gt;0,INDEX($D$6:$CB$53,MATCH($CG53,$B$6:$B$53,0),COLUMN()-COLUMN($CI$5)+1),""))</f>
        <v/>
      </c>
      <c r="EV53" s="1753" t="str" cm="1">
        <f t="array" ref="EV53">IF($CG53="","",IF(INDEX($D$6:$CB$53,MATCH($CG53,$B$6:$B$53,0),COLUMN()-COLUMN($CI$5)+1)&gt;0,INDEX($D$6:$CB$53,MATCH($CG53,$B$6:$B$53,0),COLUMN()-COLUMN($CI$5)+1),""))</f>
        <v/>
      </c>
      <c r="EW53" s="1753" t="str" cm="1">
        <f t="array" ref="EW53">IF($CG53="","",IF(INDEX($D$6:$CB$53,MATCH($CG53,$B$6:$B$53,0),COLUMN()-COLUMN($CI$5)+1)&gt;0,INDEX($D$6:$CB$53,MATCH($CG53,$B$6:$B$53,0),COLUMN()-COLUMN($CI$5)+1),""))</f>
        <v/>
      </c>
      <c r="EX53" s="1753" t="str" cm="1">
        <f t="array" ref="EX53">IF($CG53="","",IF(INDEX($D$6:$CB$53,MATCH($CG53,$B$6:$B$53,0),COLUMN()-COLUMN($CI$5)+1)&gt;0,INDEX($D$6:$CB$53,MATCH($CG53,$B$6:$B$53,0),COLUMN()-COLUMN($CI$5)+1),""))</f>
        <v/>
      </c>
      <c r="EY53" s="1753" t="str" cm="1">
        <f t="array" ref="EY53">IF($CG53="","",IF(INDEX($D$6:$CB$53,MATCH($CG53,$B$6:$B$53,0),COLUMN()-COLUMN($CI$5)+1)&gt;0,INDEX($D$6:$CB$53,MATCH($CG53,$B$6:$B$53,0),COLUMN()-COLUMN($CI$5)+1),""))</f>
        <v/>
      </c>
      <c r="EZ53" s="1753" t="str" cm="1">
        <f t="array" ref="EZ53">IF($CG53="","",IF(INDEX($D$6:$CB$53,MATCH($CG53,$B$6:$B$53,0),COLUMN()-COLUMN($CI$5)+1)&gt;0,INDEX($D$6:$CB$53,MATCH($CG53,$B$6:$B$53,0),COLUMN()-COLUMN($CI$5)+1),""))</f>
        <v/>
      </c>
      <c r="FA53" s="1753" t="str" cm="1">
        <f t="array" ref="FA53">IF($CG53="","",IF(INDEX($D$6:$CB$53,MATCH($CG53,$B$6:$B$53,0),COLUMN()-COLUMN($CI$5)+1)&gt;0,INDEX($D$6:$CB$53,MATCH($CG53,$B$6:$B$53,0),COLUMN()-COLUMN($CI$5)+1),""))</f>
        <v/>
      </c>
      <c r="FB53" s="1753" t="str" cm="1">
        <f t="array" ref="FB53">IF($CG53="","",IF(INDEX($D$6:$CB$53,MATCH($CG53,$B$6:$B$53,0),COLUMN()-COLUMN($CI$5)+1)&gt;0,INDEX($D$6:$CB$53,MATCH($CG53,$B$6:$B$53,0),COLUMN()-COLUMN($CI$5)+1),""))</f>
        <v/>
      </c>
      <c r="FC53" s="1753" t="str" cm="1">
        <f t="array" ref="FC53">IF($CG53="","",IF(INDEX($D$6:$CB$53,MATCH($CG53,$B$6:$B$53,0),COLUMN()-COLUMN($CI$5)+1)&gt;0,INDEX($D$6:$CB$53,MATCH($CG53,$B$6:$B$53,0),COLUMN()-COLUMN($CI$5)+1),""))</f>
        <v/>
      </c>
      <c r="FD53" s="1753" t="str" cm="1">
        <f t="array" ref="FD53">IF($CG53="","",IF(INDEX($D$6:$CB$53,MATCH($CG53,$B$6:$B$53,0),COLUMN()-COLUMN($CI$5)+1)&gt;0,INDEX($D$6:$CB$53,MATCH($CG53,$B$6:$B$53,0),COLUMN()-COLUMN($CI$5)+1),""))</f>
        <v/>
      </c>
      <c r="FE53" s="1753" t="str" cm="1">
        <f t="array" ref="FE53">IF($CG53="","",IF(INDEX($D$6:$CB$53,MATCH($CG53,$B$6:$B$53,0),COLUMN()-COLUMN($CI$5)+1)&gt;0,INDEX($D$6:$CB$53,MATCH($CG53,$B$6:$B$53,0),COLUMN()-COLUMN($CI$5)+1),""))</f>
        <v/>
      </c>
      <c r="FF53" s="1753" t="str" cm="1">
        <f t="array" ref="FF53">IF($CG53="","",IF(INDEX($D$6:$CB$53,MATCH($CG53,$B$6:$B$53,0),COLUMN()-COLUMN($CI$5)+1)&gt;0,INDEX($D$6:$CB$53,MATCH($CG53,$B$6:$B$53,0),COLUMN()-COLUMN($CI$5)+1),""))</f>
        <v/>
      </c>
      <c r="FG53" s="1753" t="str" cm="1">
        <f t="array" ref="FG53">IF($CG53="","",IF(INDEX($D$6:$CB$53,MATCH($CG53,$B$6:$B$53,0),COLUMN()-COLUMN($CI$5)+1)&gt;0,INDEX($D$6:$CB$53,MATCH($CG53,$B$6:$B$53,0),COLUMN()-COLUMN($CI$5)+1),""))</f>
        <v/>
      </c>
      <c r="FH53" s="1753" t="str">
        <f t="shared" si="7"/>
        <v/>
      </c>
      <c r="FI53" s="1753" t="str">
        <f t="shared" si="8"/>
        <v/>
      </c>
      <c r="FJ53" s="1753" t="str">
        <f t="shared" si="9"/>
        <v/>
      </c>
      <c r="FK53" s="1753"/>
    </row>
    <row r="54" spans="1:167" ht="17.25" thickBot="1">
      <c r="A54" s="1220"/>
      <c r="B54" s="1283"/>
      <c r="C54" s="1426" t="s">
        <v>106</v>
      </c>
      <c r="D54" s="1427">
        <f t="shared" ref="D54:AI54" si="10">SUM(D6:D53)</f>
        <v>0</v>
      </c>
      <c r="E54" s="1428">
        <f t="shared" si="10"/>
        <v>0</v>
      </c>
      <c r="F54" s="1428">
        <f t="shared" si="10"/>
        <v>0</v>
      </c>
      <c r="G54" s="1428">
        <f t="shared" si="10"/>
        <v>0</v>
      </c>
      <c r="H54" s="1428">
        <f t="shared" si="10"/>
        <v>0</v>
      </c>
      <c r="I54" s="1428">
        <f t="shared" si="10"/>
        <v>0</v>
      </c>
      <c r="J54" s="1428">
        <f t="shared" si="10"/>
        <v>0</v>
      </c>
      <c r="K54" s="1428">
        <f t="shared" si="10"/>
        <v>0</v>
      </c>
      <c r="L54" s="1428">
        <f t="shared" si="10"/>
        <v>0</v>
      </c>
      <c r="M54" s="1428">
        <f t="shared" si="10"/>
        <v>0</v>
      </c>
      <c r="N54" s="1428">
        <f t="shared" si="10"/>
        <v>0</v>
      </c>
      <c r="O54" s="1428">
        <f t="shared" si="10"/>
        <v>0</v>
      </c>
      <c r="P54" s="1428">
        <f t="shared" si="10"/>
        <v>0</v>
      </c>
      <c r="Q54" s="1428">
        <f t="shared" si="10"/>
        <v>0</v>
      </c>
      <c r="R54" s="1428">
        <f t="shared" si="10"/>
        <v>0</v>
      </c>
      <c r="S54" s="1428">
        <f t="shared" si="10"/>
        <v>0</v>
      </c>
      <c r="T54" s="1428">
        <f t="shared" si="10"/>
        <v>0</v>
      </c>
      <c r="U54" s="1428">
        <f t="shared" si="10"/>
        <v>0</v>
      </c>
      <c r="V54" s="1428">
        <f t="shared" si="10"/>
        <v>0</v>
      </c>
      <c r="W54" s="1428">
        <f t="shared" si="10"/>
        <v>0</v>
      </c>
      <c r="X54" s="1428">
        <f t="shared" si="10"/>
        <v>0</v>
      </c>
      <c r="Y54" s="1428">
        <f t="shared" si="10"/>
        <v>0</v>
      </c>
      <c r="Z54" s="1428">
        <f t="shared" si="10"/>
        <v>0</v>
      </c>
      <c r="AA54" s="1428">
        <f t="shared" si="10"/>
        <v>0</v>
      </c>
      <c r="AB54" s="1428">
        <f t="shared" si="10"/>
        <v>0</v>
      </c>
      <c r="AC54" s="1428">
        <f t="shared" si="10"/>
        <v>0</v>
      </c>
      <c r="AD54" s="1428">
        <f t="shared" si="10"/>
        <v>0</v>
      </c>
      <c r="AE54" s="1428">
        <f t="shared" si="10"/>
        <v>0</v>
      </c>
      <c r="AF54" s="1428">
        <f t="shared" si="10"/>
        <v>0</v>
      </c>
      <c r="AG54" s="1428">
        <f t="shared" si="10"/>
        <v>0</v>
      </c>
      <c r="AH54" s="1428">
        <f t="shared" si="10"/>
        <v>0</v>
      </c>
      <c r="AI54" s="1428">
        <f t="shared" si="10"/>
        <v>0</v>
      </c>
      <c r="AJ54" s="1428">
        <f t="shared" ref="AJ54:BO54" si="11">SUM(AJ6:AJ53)</f>
        <v>0</v>
      </c>
      <c r="AK54" s="1428">
        <f t="shared" si="11"/>
        <v>0</v>
      </c>
      <c r="AL54" s="1428">
        <f t="shared" si="11"/>
        <v>0</v>
      </c>
      <c r="AM54" s="1428">
        <f t="shared" si="11"/>
        <v>0</v>
      </c>
      <c r="AN54" s="1428">
        <f t="shared" si="11"/>
        <v>0</v>
      </c>
      <c r="AO54" s="1428">
        <f t="shared" si="11"/>
        <v>0</v>
      </c>
      <c r="AP54" s="1428">
        <f t="shared" si="11"/>
        <v>0</v>
      </c>
      <c r="AQ54" s="1428">
        <f t="shared" si="11"/>
        <v>0</v>
      </c>
      <c r="AR54" s="1428">
        <f t="shared" si="11"/>
        <v>0</v>
      </c>
      <c r="AS54" s="1428">
        <f t="shared" si="11"/>
        <v>0</v>
      </c>
      <c r="AT54" s="1428">
        <f t="shared" si="11"/>
        <v>0</v>
      </c>
      <c r="AU54" s="1428">
        <f t="shared" si="11"/>
        <v>0</v>
      </c>
      <c r="AV54" s="1428">
        <f t="shared" si="11"/>
        <v>0</v>
      </c>
      <c r="AW54" s="1428">
        <f t="shared" si="11"/>
        <v>0</v>
      </c>
      <c r="AX54" s="1428">
        <f t="shared" si="11"/>
        <v>0</v>
      </c>
      <c r="AY54" s="1428">
        <f t="shared" si="11"/>
        <v>0</v>
      </c>
      <c r="AZ54" s="1428">
        <f t="shared" si="11"/>
        <v>0</v>
      </c>
      <c r="BA54" s="1428">
        <f t="shared" si="11"/>
        <v>0</v>
      </c>
      <c r="BB54" s="1428">
        <f t="shared" si="11"/>
        <v>0</v>
      </c>
      <c r="BC54" s="1428">
        <f t="shared" si="11"/>
        <v>0</v>
      </c>
      <c r="BD54" s="1428">
        <f t="shared" si="11"/>
        <v>0</v>
      </c>
      <c r="BE54" s="1428">
        <f t="shared" si="11"/>
        <v>0</v>
      </c>
      <c r="BF54" s="1428">
        <f t="shared" si="11"/>
        <v>0</v>
      </c>
      <c r="BG54" s="1428">
        <f t="shared" si="11"/>
        <v>0</v>
      </c>
      <c r="BH54" s="1428">
        <f t="shared" si="11"/>
        <v>0</v>
      </c>
      <c r="BI54" s="1428">
        <f t="shared" si="11"/>
        <v>0</v>
      </c>
      <c r="BJ54" s="1428">
        <f t="shared" si="11"/>
        <v>0</v>
      </c>
      <c r="BK54" s="1428">
        <f t="shared" si="11"/>
        <v>0</v>
      </c>
      <c r="BL54" s="1428">
        <f t="shared" si="11"/>
        <v>0</v>
      </c>
      <c r="BM54" s="1428">
        <f t="shared" si="11"/>
        <v>0</v>
      </c>
      <c r="BN54" s="1428">
        <f t="shared" si="11"/>
        <v>0</v>
      </c>
      <c r="BO54" s="1428">
        <f t="shared" si="11"/>
        <v>0</v>
      </c>
      <c r="BP54" s="1428">
        <f t="shared" ref="BP54:BQ54" si="12">SUM(BP6:BP53)</f>
        <v>0</v>
      </c>
      <c r="BQ54" s="1428">
        <f t="shared" si="12"/>
        <v>0</v>
      </c>
      <c r="BR54" s="1429">
        <f t="shared" ref="BR54:CB54" si="13">SUM(BR6:BR53)</f>
        <v>0</v>
      </c>
      <c r="BS54" s="1424">
        <f t="shared" si="13"/>
        <v>0</v>
      </c>
      <c r="BT54" s="1424">
        <f t="shared" si="13"/>
        <v>0</v>
      </c>
      <c r="BU54" s="1424">
        <f t="shared" si="13"/>
        <v>0</v>
      </c>
      <c r="BV54" s="1424">
        <f t="shared" si="13"/>
        <v>0</v>
      </c>
      <c r="BW54" s="1424">
        <f t="shared" si="13"/>
        <v>0</v>
      </c>
      <c r="BX54" s="1424">
        <f t="shared" si="13"/>
        <v>0</v>
      </c>
      <c r="BY54" s="1424">
        <f t="shared" si="13"/>
        <v>0</v>
      </c>
      <c r="BZ54" s="1424">
        <f t="shared" si="13"/>
        <v>0</v>
      </c>
      <c r="CA54" s="1424">
        <f t="shared" si="13"/>
        <v>0</v>
      </c>
      <c r="CB54" s="1425">
        <f t="shared" si="13"/>
        <v>0</v>
      </c>
      <c r="CC54" s="1248">
        <f>SUM(CC6:CC53)</f>
        <v>0</v>
      </c>
      <c r="CD54" s="1249">
        <f>SUM(CD6:CD53)</f>
        <v>0</v>
      </c>
      <c r="CE54" s="1250">
        <f>SUM(CE6:CE53)</f>
        <v>0</v>
      </c>
      <c r="CF54" s="1220"/>
      <c r="CG54" s="1251"/>
      <c r="CH54" s="1251"/>
      <c r="CI54" s="1251"/>
      <c r="CJ54" s="1251"/>
      <c r="CK54" s="1251"/>
      <c r="CL54" s="1251"/>
      <c r="CM54" s="1251"/>
      <c r="CN54" s="1251"/>
      <c r="CO54" s="1251"/>
      <c r="CP54" s="1251"/>
      <c r="CQ54" s="1251"/>
      <c r="CR54" s="1251"/>
      <c r="CS54" s="1251"/>
      <c r="CT54" s="1251"/>
      <c r="CU54" s="1251"/>
      <c r="CV54" s="1251"/>
      <c r="CW54" s="1251"/>
      <c r="CX54" s="1251"/>
      <c r="CY54" s="1251"/>
      <c r="CZ54" s="1251"/>
      <c r="DA54" s="1251"/>
      <c r="DB54" s="1251"/>
      <c r="DC54" s="1251"/>
      <c r="DD54" s="1251"/>
      <c r="DE54" s="1251"/>
      <c r="DF54" s="1251"/>
      <c r="DG54" s="1251"/>
      <c r="DH54" s="1251"/>
      <c r="DI54" s="1251"/>
      <c r="DJ54" s="1251"/>
      <c r="DK54" s="1251"/>
      <c r="DL54" s="1251"/>
      <c r="DM54" s="1251"/>
      <c r="DN54" s="1251"/>
      <c r="DO54" s="1251"/>
      <c r="DP54" s="1251"/>
      <c r="DQ54" s="1251"/>
      <c r="DR54" s="1251"/>
      <c r="DS54" s="1251"/>
      <c r="DT54" s="1251"/>
      <c r="DU54" s="1251"/>
      <c r="DV54" s="1251"/>
      <c r="DW54" s="1251"/>
      <c r="DX54" s="1251"/>
      <c r="DY54" s="1251"/>
      <c r="DZ54" s="1251"/>
      <c r="EA54" s="1251"/>
      <c r="EB54" s="1251"/>
      <c r="EC54" s="1251"/>
      <c r="ED54" s="1251"/>
      <c r="EE54" s="1251"/>
      <c r="EF54" s="1251"/>
      <c r="EG54" s="1251"/>
      <c r="EH54" s="1251"/>
      <c r="EI54" s="1251"/>
      <c r="EJ54" s="1251"/>
      <c r="EK54" s="1251"/>
      <c r="EL54" s="1251"/>
      <c r="EM54" s="1251"/>
      <c r="EN54" s="1251"/>
      <c r="EO54" s="1251"/>
      <c r="EP54" s="1251"/>
      <c r="EQ54" s="1251"/>
      <c r="ER54" s="1251"/>
      <c r="ES54" s="1251"/>
      <c r="ET54" s="1251"/>
      <c r="EU54" s="1251"/>
      <c r="EV54" s="1251"/>
      <c r="EW54" s="1251"/>
      <c r="EX54" s="1251"/>
      <c r="EY54" s="1251"/>
      <c r="EZ54" s="1251"/>
      <c r="FA54" s="1251"/>
      <c r="FB54" s="1251"/>
      <c r="FC54" s="1251"/>
      <c r="FD54" s="1251"/>
      <c r="FE54" s="1251"/>
      <c r="FF54" s="1251"/>
      <c r="FG54" s="1251"/>
      <c r="FH54" s="1251"/>
      <c r="FI54" s="1251"/>
      <c r="FJ54" s="1251"/>
      <c r="FK54" s="1251"/>
    </row>
    <row r="55" spans="1:167" ht="17.25" thickBot="1">
      <c r="A55" s="1220"/>
      <c r="B55" s="1228"/>
      <c r="C55" s="1220"/>
      <c r="D55" s="1220"/>
      <c r="E55" s="1220"/>
      <c r="F55" s="1220"/>
      <c r="G55" s="1220"/>
      <c r="H55" s="1220"/>
      <c r="I55" s="1220"/>
      <c r="J55" s="1220"/>
      <c r="K55" s="1220"/>
      <c r="L55" s="1220"/>
      <c r="M55" s="1220"/>
      <c r="N55" s="1220"/>
      <c r="O55" s="1220"/>
      <c r="P55" s="1220"/>
      <c r="Q55" s="1220"/>
      <c r="R55" s="1220"/>
      <c r="S55" s="1220"/>
      <c r="T55" s="1220"/>
      <c r="U55" s="1220"/>
      <c r="V55" s="1220"/>
      <c r="W55" s="1220"/>
      <c r="X55" s="1220"/>
      <c r="Y55" s="1220"/>
      <c r="Z55" s="1220"/>
      <c r="AA55" s="1220"/>
      <c r="AB55" s="1220"/>
      <c r="AC55" s="1220"/>
      <c r="AD55" s="1220"/>
      <c r="AE55" s="1220"/>
      <c r="AF55" s="1220"/>
      <c r="AG55" s="1220"/>
      <c r="AH55" s="1220"/>
      <c r="AI55" s="1220"/>
      <c r="AJ55" s="1220"/>
      <c r="AK55" s="1220"/>
      <c r="AL55" s="1220"/>
      <c r="AM55" s="1220"/>
      <c r="AN55" s="1220"/>
      <c r="AO55" s="1220"/>
      <c r="AP55" s="1220"/>
      <c r="AQ55" s="1220"/>
      <c r="AR55" s="1220"/>
      <c r="AS55" s="1220"/>
      <c r="AT55" s="1220"/>
      <c r="AU55" s="1220"/>
      <c r="AV55" s="1220"/>
      <c r="AW55" s="1220"/>
      <c r="AX55" s="1220"/>
      <c r="AY55" s="1220"/>
      <c r="AZ55" s="1220"/>
      <c r="BA55" s="1220"/>
      <c r="BB55" s="1220"/>
      <c r="BC55" s="1220"/>
      <c r="BD55" s="1220"/>
      <c r="BE55" s="1220"/>
      <c r="BF55" s="1220"/>
      <c r="BG55" s="1220"/>
      <c r="BH55" s="1220"/>
      <c r="BI55" s="1220"/>
      <c r="BJ55" s="1220"/>
      <c r="BK55" s="1220"/>
      <c r="BL55" s="1220"/>
      <c r="BM55" s="1220"/>
      <c r="BN55" s="1220"/>
      <c r="BO55" s="1220"/>
      <c r="BP55" s="1220"/>
      <c r="BQ55" s="1220"/>
      <c r="BR55" s="1220"/>
      <c r="BS55" s="1220"/>
      <c r="BT55" s="1220"/>
      <c r="BU55" s="1220"/>
      <c r="BV55" s="1220"/>
      <c r="BW55" s="1220"/>
      <c r="BX55" s="1220"/>
      <c r="BY55" s="1220"/>
      <c r="BZ55" s="1220"/>
      <c r="CA55" s="1220"/>
      <c r="CB55" s="1220"/>
      <c r="CC55" s="1228"/>
      <c r="CD55" s="1228"/>
      <c r="CE55" s="1228"/>
      <c r="CF55" s="1220"/>
      <c r="CG55" s="1251"/>
      <c r="CH55" s="1251"/>
      <c r="CI55" s="1251"/>
      <c r="CJ55" s="1251"/>
      <c r="CK55" s="1251"/>
      <c r="CL55" s="1251"/>
      <c r="CM55" s="1251"/>
      <c r="CN55" s="1251"/>
      <c r="CO55" s="1251"/>
      <c r="CP55" s="1251"/>
      <c r="CQ55" s="1251"/>
      <c r="CR55" s="1251"/>
      <c r="CS55" s="1251"/>
      <c r="CT55" s="1251"/>
      <c r="CU55" s="1251"/>
      <c r="CV55" s="1251"/>
      <c r="CW55" s="1251"/>
      <c r="CX55" s="1251"/>
      <c r="CY55" s="1251"/>
      <c r="CZ55" s="1251"/>
      <c r="DA55" s="1251"/>
      <c r="DB55" s="1251"/>
      <c r="DC55" s="1251"/>
      <c r="DD55" s="1251"/>
      <c r="DE55" s="1251"/>
      <c r="DF55" s="1251"/>
      <c r="DG55" s="1251"/>
      <c r="DH55" s="1251"/>
      <c r="DI55" s="1251"/>
      <c r="DJ55" s="1251"/>
      <c r="DK55" s="1251"/>
      <c r="DL55" s="1251"/>
      <c r="DM55" s="1251"/>
      <c r="DN55" s="1251"/>
      <c r="DO55" s="1251"/>
      <c r="DP55" s="1251"/>
      <c r="DQ55" s="1251"/>
      <c r="DR55" s="1251"/>
      <c r="DS55" s="1251"/>
      <c r="DT55" s="1251"/>
      <c r="DU55" s="1251"/>
      <c r="DV55" s="1251"/>
      <c r="DW55" s="1251"/>
      <c r="DX55" s="1251"/>
      <c r="DY55" s="1543"/>
      <c r="DZ55" s="1251"/>
      <c r="EA55" s="1251"/>
      <c r="EB55" s="1251"/>
      <c r="EC55" s="1251"/>
      <c r="ED55" s="1251"/>
      <c r="EE55" s="1251"/>
      <c r="EF55" s="1251"/>
      <c r="EG55" s="1251"/>
      <c r="EH55" s="1251"/>
      <c r="EI55" s="1251"/>
      <c r="EJ55" s="1251"/>
      <c r="EK55" s="1251"/>
      <c r="EL55" s="1251"/>
      <c r="EM55" s="1251"/>
      <c r="EN55" s="1251"/>
      <c r="EO55" s="1251"/>
      <c r="EP55" s="1251"/>
      <c r="EQ55" s="1251"/>
      <c r="ER55" s="1251"/>
      <c r="ES55" s="1251"/>
      <c r="ET55" s="1251"/>
      <c r="EU55" s="1251"/>
      <c r="EV55" s="1251"/>
      <c r="EW55" s="1251"/>
      <c r="EX55" s="1251"/>
      <c r="EY55" s="1251"/>
      <c r="EZ55" s="1251"/>
      <c r="FA55" s="1251"/>
      <c r="FB55" s="1251"/>
      <c r="FC55" s="1251"/>
      <c r="FD55" s="1251"/>
      <c r="FE55" s="1251"/>
      <c r="FF55" s="1251"/>
      <c r="FG55" s="1251"/>
      <c r="FH55" s="1251"/>
      <c r="FI55" s="1251"/>
      <c r="FJ55" s="1251"/>
      <c r="FK55" s="1251"/>
    </row>
    <row r="56" spans="1:167" ht="25.5">
      <c r="A56" s="1220"/>
      <c r="B56" s="1228"/>
      <c r="C56" s="1252" t="s">
        <v>111</v>
      </c>
      <c r="D56" s="2738">
        <f>SUM(D54:W54)*20</f>
        <v>0</v>
      </c>
      <c r="E56" s="2739"/>
      <c r="F56" s="2739"/>
      <c r="G56" s="2739"/>
      <c r="H56" s="2739"/>
      <c r="I56" s="2739"/>
      <c r="J56" s="2739"/>
      <c r="K56" s="2739"/>
      <c r="L56" s="2739"/>
      <c r="M56" s="2739"/>
      <c r="N56" s="2739"/>
      <c r="O56" s="2739"/>
      <c r="P56" s="2739"/>
      <c r="Q56" s="2739"/>
      <c r="R56" s="2739"/>
      <c r="S56" s="2739"/>
      <c r="T56" s="2739"/>
      <c r="U56" s="2739"/>
      <c r="V56" s="2739"/>
      <c r="W56" s="2739"/>
      <c r="X56" s="2740"/>
      <c r="Y56" s="1680"/>
      <c r="Z56" s="1680"/>
      <c r="AA56" s="1680"/>
      <c r="AB56" s="1680"/>
      <c r="AC56" s="1680"/>
      <c r="AD56" s="1680"/>
      <c r="AE56" s="1680"/>
      <c r="AF56" s="1680"/>
      <c r="AG56" s="1680"/>
      <c r="AH56" s="1680"/>
      <c r="AI56" s="1680"/>
      <c r="AJ56" s="1680"/>
      <c r="AK56" s="1680"/>
      <c r="AL56" s="1680"/>
      <c r="AM56" s="1680"/>
      <c r="AN56" s="1680"/>
      <c r="AO56" s="1681"/>
      <c r="AP56" s="2732">
        <f>SUM(X54:BG54)*20</f>
        <v>0</v>
      </c>
      <c r="AQ56" s="2733"/>
      <c r="AR56" s="2733"/>
      <c r="AS56" s="2733"/>
      <c r="AT56" s="2733"/>
      <c r="AU56" s="2733"/>
      <c r="AV56" s="2733"/>
      <c r="AW56" s="2733"/>
      <c r="AX56" s="2733"/>
      <c r="AY56" s="2733"/>
      <c r="AZ56" s="2733"/>
      <c r="BA56" s="2733"/>
      <c r="BB56" s="2733"/>
      <c r="BC56" s="2733"/>
      <c r="BD56" s="2733"/>
      <c r="BE56" s="2733"/>
      <c r="BF56" s="2733"/>
      <c r="BG56" s="2733"/>
      <c r="BH56" s="2733"/>
      <c r="BI56" s="2733"/>
      <c r="BJ56" s="2733"/>
      <c r="BK56" s="2733"/>
      <c r="BL56" s="2733"/>
      <c r="BM56" s="2733"/>
      <c r="BN56" s="2733"/>
      <c r="BO56" s="2733"/>
      <c r="BP56" s="2733"/>
      <c r="BQ56" s="2734"/>
      <c r="BR56" s="2708">
        <f>SUM(BR54:CB54)*20</f>
        <v>0</v>
      </c>
      <c r="BS56" s="2709"/>
      <c r="BT56" s="2709"/>
      <c r="BU56" s="2709"/>
      <c r="BV56" s="2709"/>
      <c r="BW56" s="2709"/>
      <c r="BX56" s="2709"/>
      <c r="BY56" s="2709"/>
      <c r="BZ56" s="2709"/>
      <c r="CA56" s="2709"/>
      <c r="CB56" s="2710"/>
      <c r="CC56" s="1228"/>
      <c r="CD56" s="1253" t="s">
        <v>77</v>
      </c>
      <c r="CE56" s="1254" t="str">
        <f>IFERROR(CE54/PP!K20*100,"")</f>
        <v/>
      </c>
      <c r="CF56" s="1220"/>
      <c r="CG56" s="1251"/>
      <c r="CH56" s="1251"/>
      <c r="CI56" s="1251"/>
      <c r="CJ56" s="1251"/>
      <c r="CK56" s="1251"/>
      <c r="CL56" s="1251"/>
      <c r="CM56" s="1251"/>
      <c r="CN56" s="1251"/>
      <c r="CO56" s="1251"/>
      <c r="CP56" s="1251"/>
      <c r="CQ56" s="1251"/>
      <c r="CR56" s="1251"/>
      <c r="CS56" s="1251"/>
      <c r="CT56" s="1251"/>
      <c r="CU56" s="1251"/>
      <c r="CV56" s="1251"/>
      <c r="CW56" s="1251"/>
      <c r="CX56" s="1251"/>
      <c r="CY56" s="1251"/>
      <c r="CZ56" s="1251"/>
      <c r="DA56" s="1251"/>
      <c r="DB56" s="1251"/>
      <c r="DC56" s="1251"/>
      <c r="DD56" s="1251"/>
      <c r="DE56" s="1251"/>
      <c r="DF56" s="1251"/>
      <c r="DG56" s="1251"/>
      <c r="DH56" s="1251"/>
      <c r="DI56" s="1251"/>
      <c r="DJ56" s="1251"/>
      <c r="DK56" s="1251"/>
      <c r="DL56" s="1251"/>
      <c r="DM56" s="1251"/>
      <c r="DN56" s="1251"/>
      <c r="DO56" s="1251"/>
      <c r="DP56" s="1251"/>
      <c r="DQ56" s="1251"/>
      <c r="DR56" s="1251"/>
      <c r="DS56" s="1251"/>
      <c r="DT56" s="1251"/>
      <c r="DU56" s="1251"/>
      <c r="DV56" s="1251"/>
      <c r="DW56" s="1251"/>
      <c r="DX56" s="1251"/>
      <c r="DY56" s="1543"/>
      <c r="DZ56" s="1251"/>
      <c r="EA56" s="1251"/>
      <c r="EB56" s="1251"/>
      <c r="EC56" s="1251"/>
      <c r="ED56" s="1251"/>
      <c r="EE56" s="1251"/>
      <c r="EF56" s="1251"/>
      <c r="EG56" s="1251"/>
      <c r="EH56" s="1251"/>
      <c r="EI56" s="1251"/>
      <c r="EJ56" s="1251"/>
      <c r="EK56" s="1251"/>
      <c r="EL56" s="1251"/>
      <c r="EM56" s="1251"/>
      <c r="EN56" s="1251"/>
      <c r="EO56" s="1251"/>
      <c r="EP56" s="1251"/>
      <c r="EQ56" s="1251"/>
      <c r="ER56" s="1251"/>
      <c r="ES56" s="1251"/>
      <c r="ET56" s="1251"/>
      <c r="EU56" s="1251"/>
      <c r="EV56" s="1251"/>
      <c r="EW56" s="1251"/>
      <c r="EX56" s="1251"/>
      <c r="EY56" s="1251"/>
      <c r="EZ56" s="1251"/>
      <c r="FA56" s="1251"/>
      <c r="FB56" s="1251"/>
      <c r="FC56" s="1251"/>
      <c r="FD56" s="1251"/>
      <c r="FE56" s="1251"/>
      <c r="FF56" s="1251"/>
      <c r="FG56" s="1251"/>
      <c r="FH56" s="1251"/>
      <c r="FI56" s="1251"/>
      <c r="FJ56" s="1251"/>
      <c r="FK56" s="1251"/>
    </row>
    <row r="57" spans="1:167" ht="26.25" thickBot="1">
      <c r="A57" s="1220"/>
      <c r="B57" s="1228"/>
      <c r="C57" s="1255" t="s">
        <v>110</v>
      </c>
      <c r="D57" s="2741"/>
      <c r="E57" s="2742"/>
      <c r="F57" s="2742"/>
      <c r="G57" s="2742"/>
      <c r="H57" s="2742"/>
      <c r="I57" s="2742"/>
      <c r="J57" s="2742"/>
      <c r="K57" s="2742"/>
      <c r="L57" s="2742"/>
      <c r="M57" s="2742"/>
      <c r="N57" s="2742"/>
      <c r="O57" s="2742"/>
      <c r="P57" s="2742"/>
      <c r="Q57" s="2742"/>
      <c r="R57" s="2742"/>
      <c r="S57" s="2742"/>
      <c r="T57" s="2742"/>
      <c r="U57" s="2742"/>
      <c r="V57" s="2742"/>
      <c r="W57" s="2742"/>
      <c r="X57" s="2743"/>
      <c r="Y57" s="1682"/>
      <c r="Z57" s="1682"/>
      <c r="AA57" s="1682"/>
      <c r="AB57" s="1682"/>
      <c r="AC57" s="1682"/>
      <c r="AD57" s="1682"/>
      <c r="AE57" s="1682"/>
      <c r="AF57" s="1682"/>
      <c r="AG57" s="1682"/>
      <c r="AH57" s="1682"/>
      <c r="AI57" s="1682"/>
      <c r="AJ57" s="1682"/>
      <c r="AK57" s="1682"/>
      <c r="AL57" s="1682"/>
      <c r="AM57" s="1682"/>
      <c r="AN57" s="1682"/>
      <c r="AO57" s="1683"/>
      <c r="AP57" s="2735"/>
      <c r="AQ57" s="2736"/>
      <c r="AR57" s="2736"/>
      <c r="AS57" s="2736"/>
      <c r="AT57" s="2736"/>
      <c r="AU57" s="2736"/>
      <c r="AV57" s="2736"/>
      <c r="AW57" s="2736"/>
      <c r="AX57" s="2736"/>
      <c r="AY57" s="2736"/>
      <c r="AZ57" s="2736"/>
      <c r="BA57" s="2736"/>
      <c r="BB57" s="2736"/>
      <c r="BC57" s="2736"/>
      <c r="BD57" s="2736"/>
      <c r="BE57" s="2736"/>
      <c r="BF57" s="2736"/>
      <c r="BG57" s="2736"/>
      <c r="BH57" s="2736"/>
      <c r="BI57" s="2736"/>
      <c r="BJ57" s="2736"/>
      <c r="BK57" s="2736"/>
      <c r="BL57" s="2736"/>
      <c r="BM57" s="2736"/>
      <c r="BN57" s="2736"/>
      <c r="BO57" s="2736"/>
      <c r="BP57" s="2736"/>
      <c r="BQ57" s="2737"/>
      <c r="BR57" s="2711"/>
      <c r="BS57" s="2712"/>
      <c r="BT57" s="2712"/>
      <c r="BU57" s="2712"/>
      <c r="BV57" s="2712"/>
      <c r="BW57" s="2712"/>
      <c r="BX57" s="2712"/>
      <c r="BY57" s="2712"/>
      <c r="BZ57" s="2712"/>
      <c r="CA57" s="2712"/>
      <c r="CB57" s="2713"/>
      <c r="CC57" s="1228"/>
      <c r="CD57" s="1228"/>
      <c r="CE57" s="1228">
        <f>+D56+P57</f>
        <v>0</v>
      </c>
      <c r="CF57" s="1220"/>
      <c r="CG57" s="1251"/>
      <c r="CH57" s="1251"/>
      <c r="CI57" s="1251"/>
      <c r="CJ57" s="1251"/>
      <c r="CK57" s="1251"/>
      <c r="CL57" s="1251"/>
      <c r="CM57" s="1251"/>
      <c r="CN57" s="1251"/>
      <c r="CO57" s="1251"/>
      <c r="CP57" s="1251"/>
      <c r="CQ57" s="1251"/>
      <c r="CR57" s="1251"/>
      <c r="CS57" s="1251"/>
      <c r="CT57" s="1251"/>
      <c r="CU57" s="1251"/>
      <c r="CV57" s="1251"/>
      <c r="CW57" s="1251"/>
      <c r="CX57" s="1251"/>
      <c r="CY57" s="1251"/>
      <c r="CZ57" s="1251"/>
      <c r="DA57" s="1251"/>
      <c r="DB57" s="1251"/>
      <c r="DC57" s="1251"/>
      <c r="DD57" s="1251"/>
      <c r="DE57" s="1251"/>
      <c r="DF57" s="1251"/>
      <c r="DG57" s="1251"/>
      <c r="DH57" s="1251"/>
      <c r="DI57" s="1251"/>
      <c r="DJ57" s="1251"/>
      <c r="DK57" s="1251"/>
      <c r="DL57" s="1251"/>
      <c r="DM57" s="1251"/>
      <c r="DN57" s="1251"/>
      <c r="DO57" s="1251"/>
      <c r="DP57" s="1251"/>
      <c r="DQ57" s="1251"/>
      <c r="DR57" s="1251"/>
      <c r="DS57" s="1251"/>
      <c r="DT57" s="1251"/>
      <c r="DU57" s="1251"/>
      <c r="DV57" s="1251"/>
      <c r="DW57" s="1251"/>
      <c r="DX57" s="1251"/>
      <c r="DY57" s="1251"/>
      <c r="DZ57" s="1251"/>
      <c r="EA57" s="1251"/>
      <c r="EB57" s="1251"/>
      <c r="EC57" s="1251"/>
      <c r="ED57" s="1251"/>
      <c r="EE57" s="1251"/>
      <c r="EF57" s="1251"/>
      <c r="EG57" s="1251"/>
      <c r="EH57" s="1251"/>
      <c r="EI57" s="1251"/>
      <c r="EJ57" s="1251"/>
      <c r="EK57" s="1251"/>
      <c r="EL57" s="1251"/>
      <c r="EM57" s="1251"/>
      <c r="EN57" s="1251"/>
      <c r="EO57" s="1251"/>
      <c r="EP57" s="1251"/>
      <c r="EQ57" s="1251"/>
      <c r="ER57" s="1251"/>
      <c r="ES57" s="1251"/>
      <c r="ET57" s="1251"/>
      <c r="EU57" s="1251"/>
      <c r="EV57" s="1251"/>
      <c r="EW57" s="1251"/>
      <c r="EX57" s="1251"/>
      <c r="EY57" s="1251"/>
      <c r="EZ57" s="1251"/>
      <c r="FA57" s="1251"/>
      <c r="FB57" s="1251"/>
      <c r="FC57" s="1251"/>
      <c r="FD57" s="1251"/>
      <c r="FE57" s="1251"/>
      <c r="FF57" s="1251"/>
      <c r="FG57" s="1251"/>
      <c r="FH57" s="1251"/>
      <c r="FI57" s="1251"/>
      <c r="FJ57" s="1251"/>
      <c r="FK57" s="1251"/>
    </row>
    <row r="58" spans="1:167" ht="19.5">
      <c r="A58" s="1220"/>
      <c r="B58" s="1228"/>
      <c r="C58" s="1252" t="s">
        <v>300</v>
      </c>
      <c r="D58" s="2699" t="s">
        <v>655</v>
      </c>
      <c r="E58" s="2700"/>
      <c r="F58" s="2700"/>
      <c r="G58" s="2700"/>
      <c r="H58" s="2700"/>
      <c r="I58" s="2700"/>
      <c r="J58" s="2700"/>
      <c r="K58" s="2700"/>
      <c r="L58" s="2700"/>
      <c r="M58" s="2700"/>
      <c r="N58" s="2700"/>
      <c r="O58" s="2700"/>
      <c r="P58" s="2700"/>
      <c r="Q58" s="2700"/>
      <c r="R58" s="2700"/>
      <c r="S58" s="2700"/>
      <c r="T58" s="2700"/>
      <c r="U58" s="2700"/>
      <c r="V58" s="2700"/>
      <c r="W58" s="2700"/>
      <c r="X58" s="2701"/>
      <c r="Y58" s="1684"/>
      <c r="Z58" s="1684"/>
      <c r="AA58" s="1684"/>
      <c r="AB58" s="1684"/>
      <c r="AC58" s="1684"/>
      <c r="AD58" s="1684"/>
      <c r="AE58" s="1684"/>
      <c r="AF58" s="1684"/>
      <c r="AG58" s="1684"/>
      <c r="AH58" s="1684"/>
      <c r="AI58" s="1684"/>
      <c r="AJ58" s="1684"/>
      <c r="AK58" s="1684"/>
      <c r="AL58" s="1684"/>
      <c r="AM58" s="1684"/>
      <c r="AN58" s="1684"/>
      <c r="AO58" s="1685"/>
      <c r="AP58" s="2720" t="s">
        <v>656</v>
      </c>
      <c r="AQ58" s="2721"/>
      <c r="AR58" s="2721"/>
      <c r="AS58" s="2721"/>
      <c r="AT58" s="2721"/>
      <c r="AU58" s="2721"/>
      <c r="AV58" s="2721"/>
      <c r="AW58" s="2721"/>
      <c r="AX58" s="2721"/>
      <c r="AY58" s="2721"/>
      <c r="AZ58" s="2721"/>
      <c r="BA58" s="2721"/>
      <c r="BB58" s="2721"/>
      <c r="BC58" s="2721"/>
      <c r="BD58" s="2721"/>
      <c r="BE58" s="2721"/>
      <c r="BF58" s="2721"/>
      <c r="BG58" s="2721"/>
      <c r="BH58" s="2721"/>
      <c r="BI58" s="2721"/>
      <c r="BJ58" s="2721"/>
      <c r="BK58" s="2721"/>
      <c r="BL58" s="2721"/>
      <c r="BM58" s="2721"/>
      <c r="BN58" s="2721"/>
      <c r="BO58" s="2721"/>
      <c r="BP58" s="2721"/>
      <c r="BQ58" s="2722"/>
      <c r="BR58" s="2714" t="s">
        <v>655</v>
      </c>
      <c r="BS58" s="2715"/>
      <c r="BT58" s="2715"/>
      <c r="BU58" s="2715"/>
      <c r="BV58" s="2715"/>
      <c r="BW58" s="2715"/>
      <c r="BX58" s="2715"/>
      <c r="BY58" s="2715"/>
      <c r="BZ58" s="2715"/>
      <c r="CA58" s="2715"/>
      <c r="CB58" s="2716"/>
      <c r="CC58" s="1228"/>
      <c r="CD58" s="1228"/>
      <c r="CE58" s="1228">
        <f>+D57</f>
        <v>0</v>
      </c>
      <c r="CF58" s="1220"/>
      <c r="CG58" s="1251"/>
      <c r="CH58" s="1251"/>
      <c r="CI58" s="1251"/>
      <c r="CJ58" s="1251"/>
      <c r="CK58" s="1251"/>
      <c r="CL58" s="1251"/>
      <c r="CM58" s="1251"/>
      <c r="CN58" s="1251"/>
      <c r="CO58" s="1251"/>
      <c r="CP58" s="1251"/>
      <c r="CQ58" s="1251"/>
      <c r="CR58" s="1251"/>
      <c r="CS58" s="1251"/>
      <c r="CT58" s="1251"/>
      <c r="CU58" s="1251"/>
      <c r="CV58" s="1251"/>
      <c r="CW58" s="1251"/>
      <c r="CX58" s="1251"/>
      <c r="CY58" s="1251"/>
      <c r="CZ58" s="1251"/>
      <c r="DA58" s="1251"/>
      <c r="DB58" s="1251"/>
      <c r="DC58" s="1251"/>
      <c r="DD58" s="1251"/>
      <c r="DE58" s="1251"/>
      <c r="DF58" s="1251"/>
      <c r="DG58" s="1251"/>
      <c r="DH58" s="1251"/>
      <c r="DI58" s="1251"/>
      <c r="DJ58" s="1251"/>
      <c r="DK58" s="1251"/>
      <c r="DL58" s="1251"/>
      <c r="DM58" s="1251"/>
      <c r="DN58" s="1251"/>
      <c r="DO58" s="1251"/>
      <c r="DP58" s="1251"/>
      <c r="DQ58" s="1251"/>
      <c r="DR58" s="1251"/>
      <c r="DS58" s="1251"/>
      <c r="DT58" s="1251"/>
      <c r="DU58" s="1251"/>
      <c r="DV58" s="1251"/>
      <c r="DW58" s="1251"/>
      <c r="DX58" s="1251"/>
      <c r="DY58" s="1251"/>
      <c r="DZ58" s="1251"/>
      <c r="EA58" s="1251"/>
      <c r="EB58" s="1251"/>
      <c r="EC58" s="1251"/>
      <c r="ED58" s="1251"/>
      <c r="EE58" s="1251"/>
      <c r="EF58" s="1251"/>
      <c r="EG58" s="1251"/>
      <c r="EH58" s="1251"/>
      <c r="EI58" s="1251"/>
      <c r="EJ58" s="1251"/>
      <c r="EK58" s="1251"/>
      <c r="EL58" s="1251"/>
      <c r="EM58" s="1251"/>
      <c r="EN58" s="1251"/>
      <c r="EO58" s="1251"/>
      <c r="EP58" s="1251"/>
      <c r="EQ58" s="1251"/>
      <c r="ER58" s="1251"/>
      <c r="ES58" s="1251"/>
      <c r="ET58" s="1251"/>
      <c r="EU58" s="1251"/>
      <c r="EV58" s="1251"/>
      <c r="EW58" s="1251"/>
      <c r="EX58" s="1251"/>
      <c r="EY58" s="1251"/>
      <c r="EZ58" s="1251"/>
      <c r="FA58" s="1251"/>
      <c r="FB58" s="1251"/>
      <c r="FC58" s="1251"/>
      <c r="FD58" s="1251"/>
      <c r="FE58" s="1251"/>
      <c r="FF58" s="1251"/>
      <c r="FG58" s="1251"/>
      <c r="FH58" s="1251"/>
      <c r="FI58" s="1251"/>
      <c r="FJ58" s="1251"/>
      <c r="FK58" s="1251"/>
    </row>
    <row r="59" spans="1:167" ht="20.25" thickBot="1">
      <c r="A59" s="1220"/>
      <c r="B59" s="1228"/>
      <c r="C59" s="1252" t="s">
        <v>314</v>
      </c>
      <c r="D59" s="2702"/>
      <c r="E59" s="2703"/>
      <c r="F59" s="2703"/>
      <c r="G59" s="2703"/>
      <c r="H59" s="2703"/>
      <c r="I59" s="2703"/>
      <c r="J59" s="2703"/>
      <c r="K59" s="2703"/>
      <c r="L59" s="2703"/>
      <c r="M59" s="2703"/>
      <c r="N59" s="2703"/>
      <c r="O59" s="2703"/>
      <c r="P59" s="2703"/>
      <c r="Q59" s="2703"/>
      <c r="R59" s="2703"/>
      <c r="S59" s="2703"/>
      <c r="T59" s="2703"/>
      <c r="U59" s="2703"/>
      <c r="V59" s="2703"/>
      <c r="W59" s="2703"/>
      <c r="X59" s="2704"/>
      <c r="Y59" s="1686"/>
      <c r="Z59" s="1686"/>
      <c r="AA59" s="1686"/>
      <c r="AB59" s="1686"/>
      <c r="AC59" s="1686"/>
      <c r="AD59" s="1686"/>
      <c r="AE59" s="1686"/>
      <c r="AF59" s="1686"/>
      <c r="AG59" s="1686"/>
      <c r="AH59" s="1686"/>
      <c r="AI59" s="1686"/>
      <c r="AJ59" s="1686"/>
      <c r="AK59" s="1686"/>
      <c r="AL59" s="1686"/>
      <c r="AM59" s="1686"/>
      <c r="AN59" s="1686"/>
      <c r="AO59" s="1687"/>
      <c r="AP59" s="2723"/>
      <c r="AQ59" s="2724"/>
      <c r="AR59" s="2724"/>
      <c r="AS59" s="2724"/>
      <c r="AT59" s="2724"/>
      <c r="AU59" s="2724"/>
      <c r="AV59" s="2724"/>
      <c r="AW59" s="2724"/>
      <c r="AX59" s="2724"/>
      <c r="AY59" s="2724"/>
      <c r="AZ59" s="2724"/>
      <c r="BA59" s="2724"/>
      <c r="BB59" s="2724"/>
      <c r="BC59" s="2724"/>
      <c r="BD59" s="2724"/>
      <c r="BE59" s="2724"/>
      <c r="BF59" s="2724"/>
      <c r="BG59" s="2724"/>
      <c r="BH59" s="2724"/>
      <c r="BI59" s="2724"/>
      <c r="BJ59" s="2724"/>
      <c r="BK59" s="2724"/>
      <c r="BL59" s="2724"/>
      <c r="BM59" s="2724"/>
      <c r="BN59" s="2724"/>
      <c r="BO59" s="2724"/>
      <c r="BP59" s="2724"/>
      <c r="BQ59" s="2725"/>
      <c r="BR59" s="2717"/>
      <c r="BS59" s="2718"/>
      <c r="BT59" s="2718"/>
      <c r="BU59" s="2718"/>
      <c r="BV59" s="2718"/>
      <c r="BW59" s="2718"/>
      <c r="BX59" s="2718"/>
      <c r="BY59" s="2718"/>
      <c r="BZ59" s="2718"/>
      <c r="CA59" s="2718"/>
      <c r="CB59" s="2719"/>
      <c r="CC59" s="1228"/>
      <c r="CD59" s="1228"/>
      <c r="CE59" s="1228"/>
      <c r="CF59" s="1220"/>
      <c r="CG59" s="1220"/>
      <c r="CH59" s="1220"/>
      <c r="CI59" s="1220"/>
      <c r="CJ59" s="1220"/>
      <c r="CK59" s="1220"/>
      <c r="CL59" s="1220"/>
      <c r="CM59" s="1220"/>
      <c r="CN59" s="1220"/>
      <c r="CO59" s="1220"/>
      <c r="CP59" s="1220"/>
      <c r="CQ59" s="1220"/>
      <c r="CR59" s="1220"/>
      <c r="CS59" s="1220"/>
      <c r="CT59" s="1220"/>
      <c r="CU59" s="1220"/>
      <c r="CV59" s="1220"/>
      <c r="CW59" s="1220"/>
      <c r="CX59" s="1220"/>
      <c r="CY59" s="1220"/>
      <c r="CZ59" s="1220"/>
      <c r="DA59" s="1220"/>
      <c r="DB59" s="1220"/>
      <c r="DC59" s="1220"/>
      <c r="DD59" s="1220"/>
      <c r="DE59" s="1220"/>
      <c r="DF59" s="1220"/>
      <c r="DG59" s="1220"/>
      <c r="DH59" s="1220"/>
      <c r="DI59" s="1220"/>
      <c r="DJ59" s="1220"/>
      <c r="DK59" s="1220"/>
      <c r="DL59" s="1220"/>
      <c r="DM59" s="1220"/>
      <c r="DN59" s="1220"/>
      <c r="DO59" s="1220"/>
      <c r="DP59" s="1220"/>
      <c r="DQ59" s="1220"/>
      <c r="DR59" s="1220"/>
      <c r="DS59" s="1220"/>
      <c r="DT59" s="1220"/>
      <c r="DU59" s="1220"/>
      <c r="DV59" s="1220"/>
      <c r="DW59" s="1220"/>
      <c r="DX59" s="1220"/>
      <c r="DY59" s="1220"/>
      <c r="DZ59" s="1220"/>
      <c r="EA59" s="1220"/>
      <c r="EB59" s="1220"/>
      <c r="EC59" s="1220"/>
      <c r="ED59" s="1220"/>
      <c r="EE59" s="1220"/>
      <c r="EF59" s="1220"/>
      <c r="EG59" s="1220"/>
      <c r="EH59" s="1220"/>
      <c r="EI59" s="1220"/>
      <c r="EJ59" s="1220"/>
      <c r="EK59" s="1220"/>
      <c r="EL59" s="1220"/>
      <c r="EM59" s="1220"/>
      <c r="EN59" s="1220"/>
      <c r="EO59" s="1220"/>
      <c r="EP59" s="1220"/>
      <c r="EQ59" s="1220"/>
      <c r="ER59" s="1220"/>
      <c r="ES59" s="1220"/>
      <c r="ET59" s="1220"/>
      <c r="EU59" s="1220"/>
      <c r="EV59" s="1220"/>
      <c r="EW59" s="1220"/>
      <c r="EX59" s="1220"/>
      <c r="EY59" s="1220"/>
      <c r="EZ59" s="1220"/>
      <c r="FA59" s="1220"/>
      <c r="FB59" s="1220"/>
      <c r="FC59" s="1220"/>
      <c r="FD59" s="1220"/>
      <c r="FE59" s="1220"/>
      <c r="FF59" s="1220"/>
      <c r="FG59" s="1220"/>
      <c r="FH59" s="1220"/>
      <c r="FI59" s="1220"/>
      <c r="FJ59" s="1220"/>
      <c r="FK59" s="1220"/>
    </row>
    <row r="60" spans="1:167" ht="25.5">
      <c r="A60" s="1220"/>
      <c r="B60" s="1228"/>
      <c r="C60" s="1220"/>
      <c r="D60" s="2693">
        <f>+D56*55/1000</f>
        <v>0</v>
      </c>
      <c r="E60" s="2693"/>
      <c r="F60" s="2693"/>
      <c r="G60" s="2693"/>
      <c r="H60" s="2693"/>
      <c r="I60" s="2693"/>
      <c r="J60" s="2693"/>
      <c r="K60" s="2693"/>
      <c r="L60" s="2693"/>
      <c r="M60" s="2693"/>
      <c r="N60" s="2693"/>
      <c r="O60" s="2693"/>
      <c r="P60" s="2693"/>
      <c r="Q60" s="2693"/>
      <c r="R60" s="2693"/>
      <c r="S60" s="2693"/>
      <c r="T60" s="2693"/>
      <c r="U60" s="2693"/>
      <c r="V60" s="2693"/>
      <c r="W60" s="2693"/>
      <c r="X60" s="2693"/>
      <c r="Y60" s="1519"/>
      <c r="Z60" s="1519"/>
      <c r="AA60" s="1519"/>
      <c r="AB60" s="1519"/>
      <c r="AC60" s="1519"/>
      <c r="AD60" s="1519"/>
      <c r="AE60" s="1519"/>
      <c r="AF60" s="1519"/>
      <c r="AG60" s="1519"/>
      <c r="AH60" s="1519"/>
      <c r="AI60" s="1519"/>
      <c r="AJ60" s="1519"/>
      <c r="AK60" s="1519"/>
      <c r="AL60" s="1519"/>
      <c r="AM60" s="1519"/>
      <c r="AN60" s="1519"/>
      <c r="AO60" s="1519"/>
      <c r="AP60" s="2690">
        <f>+AP56*0.055</f>
        <v>0</v>
      </c>
      <c r="AQ60" s="2690"/>
      <c r="AR60" s="2690"/>
      <c r="AS60" s="2690"/>
      <c r="AT60" s="2690"/>
      <c r="AU60" s="2690"/>
      <c r="AV60" s="2690"/>
      <c r="AW60" s="2690"/>
      <c r="AX60" s="2690"/>
      <c r="AY60" s="2690"/>
      <c r="AZ60" s="2690"/>
      <c r="BA60" s="2690"/>
      <c r="BB60" s="2690"/>
      <c r="BC60" s="2690"/>
      <c r="BD60" s="2690"/>
      <c r="BE60" s="2690"/>
      <c r="BF60" s="2690"/>
      <c r="BG60" s="2690"/>
      <c r="BH60" s="2690"/>
      <c r="BI60" s="2690"/>
      <c r="BJ60" s="2690"/>
      <c r="BK60" s="2690"/>
      <c r="BL60" s="2690"/>
      <c r="BM60" s="2690"/>
      <c r="BN60" s="2690"/>
      <c r="BO60" s="2690"/>
      <c r="BP60" s="2690"/>
      <c r="BQ60" s="1688"/>
      <c r="BR60" s="2693">
        <f>+BR56*55/1000</f>
        <v>0</v>
      </c>
      <c r="BS60" s="2693"/>
      <c r="BT60" s="2693"/>
      <c r="BU60" s="2693"/>
      <c r="BV60" s="2693"/>
      <c r="BW60" s="2693"/>
      <c r="BX60" s="2693"/>
      <c r="BY60" s="2693"/>
      <c r="BZ60" s="2693"/>
      <c r="CA60" s="2693"/>
      <c r="CB60" s="2693"/>
      <c r="CC60" s="1228"/>
      <c r="CD60" s="1228"/>
      <c r="CE60" s="1228"/>
      <c r="CF60" s="1220"/>
      <c r="CG60" s="1220"/>
      <c r="CH60" s="1220"/>
      <c r="CI60" s="1220"/>
      <c r="CJ60" s="1220"/>
      <c r="CK60" s="1220"/>
      <c r="CL60" s="1220"/>
      <c r="CM60" s="1220"/>
      <c r="CN60" s="1220"/>
      <c r="CO60" s="1220"/>
      <c r="CP60" s="1220"/>
      <c r="CQ60" s="1220"/>
      <c r="CR60" s="1220"/>
      <c r="CS60" s="1220"/>
      <c r="CT60" s="1220"/>
      <c r="CU60" s="1220"/>
      <c r="CV60" s="1220"/>
      <c r="CW60" s="1220"/>
      <c r="CX60" s="1220"/>
      <c r="CY60" s="1220"/>
      <c r="CZ60" s="1220"/>
      <c r="DA60" s="1220"/>
      <c r="DB60" s="1220"/>
      <c r="DC60" s="1220"/>
      <c r="DD60" s="1220"/>
      <c r="DE60" s="1220"/>
      <c r="DF60" s="1220"/>
      <c r="DG60" s="1220"/>
      <c r="DH60" s="1220"/>
      <c r="DI60" s="1220"/>
      <c r="DJ60" s="1220"/>
      <c r="DK60" s="1220"/>
      <c r="DL60" s="1220"/>
      <c r="DM60" s="1220"/>
      <c r="DN60" s="1220"/>
      <c r="DO60" s="1220"/>
      <c r="DP60" s="1220"/>
      <c r="DQ60" s="1220"/>
      <c r="DR60" s="1220"/>
      <c r="DS60" s="1220"/>
      <c r="DT60" s="1220"/>
      <c r="DU60" s="1220"/>
      <c r="DV60" s="1220"/>
      <c r="DW60" s="1220"/>
      <c r="DX60" s="1220"/>
      <c r="DY60" s="1220"/>
      <c r="DZ60" s="1220"/>
      <c r="EA60" s="1220"/>
      <c r="EB60" s="1220"/>
      <c r="EC60" s="1220"/>
      <c r="ED60" s="1220"/>
      <c r="EE60" s="1220"/>
      <c r="EF60" s="1220"/>
      <c r="EG60" s="1220"/>
      <c r="EH60" s="1220"/>
      <c r="EI60" s="1220"/>
      <c r="EJ60" s="1220"/>
      <c r="EK60" s="1220"/>
      <c r="EL60" s="1220"/>
      <c r="EM60" s="1220"/>
      <c r="EN60" s="1220"/>
      <c r="EO60" s="1220"/>
      <c r="EP60" s="1220"/>
      <c r="EQ60" s="1220"/>
      <c r="ER60" s="1220"/>
      <c r="ES60" s="1220"/>
      <c r="ET60" s="1220"/>
      <c r="EU60" s="1220"/>
      <c r="EV60" s="1220"/>
      <c r="EW60" s="1220"/>
      <c r="EX60" s="1220"/>
      <c r="EY60" s="1220"/>
      <c r="EZ60" s="1220"/>
      <c r="FA60" s="1220"/>
      <c r="FB60" s="1220"/>
      <c r="FC60" s="1220"/>
      <c r="FD60" s="1220"/>
      <c r="FE60" s="1220"/>
      <c r="FF60" s="1220"/>
      <c r="FG60" s="1220"/>
      <c r="FH60" s="1220"/>
      <c r="FI60" s="1220"/>
      <c r="FJ60" s="1220"/>
      <c r="FK60" s="1220"/>
    </row>
    <row r="61" spans="1:167" ht="26.25" thickBot="1">
      <c r="A61" s="1220"/>
      <c r="B61" s="1228"/>
      <c r="C61" s="1220"/>
      <c r="D61" s="2693"/>
      <c r="E61" s="2693"/>
      <c r="F61" s="2693"/>
      <c r="G61" s="2693"/>
      <c r="H61" s="2693"/>
      <c r="I61" s="2693"/>
      <c r="J61" s="2693"/>
      <c r="K61" s="2693"/>
      <c r="L61" s="2693"/>
      <c r="M61" s="2693"/>
      <c r="N61" s="2693"/>
      <c r="O61" s="2693"/>
      <c r="P61" s="2693"/>
      <c r="Q61" s="2693"/>
      <c r="R61" s="2693"/>
      <c r="S61" s="2693"/>
      <c r="T61" s="2693"/>
      <c r="U61" s="2693"/>
      <c r="V61" s="2693"/>
      <c r="W61" s="2693"/>
      <c r="X61" s="2693"/>
      <c r="Y61" s="1519"/>
      <c r="Z61" s="1519"/>
      <c r="AA61" s="1519"/>
      <c r="AB61" s="1519"/>
      <c r="AC61" s="1519"/>
      <c r="AD61" s="1519"/>
      <c r="AE61" s="1519"/>
      <c r="AF61" s="1519"/>
      <c r="AG61" s="1519"/>
      <c r="AH61" s="1519"/>
      <c r="AI61" s="1519"/>
      <c r="AJ61" s="1519"/>
      <c r="AK61" s="1519"/>
      <c r="AL61" s="1519"/>
      <c r="AM61" s="1519"/>
      <c r="AN61" s="1519"/>
      <c r="AO61" s="1519"/>
      <c r="AP61" s="2693"/>
      <c r="AQ61" s="2693"/>
      <c r="AR61" s="2693"/>
      <c r="AS61" s="2693"/>
      <c r="AT61" s="2693"/>
      <c r="AU61" s="2693"/>
      <c r="AV61" s="2693"/>
      <c r="AW61" s="2693"/>
      <c r="AX61" s="2693"/>
      <c r="AY61" s="2693"/>
      <c r="AZ61" s="2693"/>
      <c r="BA61" s="2693"/>
      <c r="BB61" s="2693"/>
      <c r="BC61" s="2693"/>
      <c r="BD61" s="2693"/>
      <c r="BE61" s="2693"/>
      <c r="BF61" s="2693"/>
      <c r="BG61" s="2693"/>
      <c r="BH61" s="2693"/>
      <c r="BI61" s="2693"/>
      <c r="BJ61" s="2693"/>
      <c r="BK61" s="2693"/>
      <c r="BL61" s="2693"/>
      <c r="BM61" s="2693"/>
      <c r="BN61" s="2693"/>
      <c r="BO61" s="2693"/>
      <c r="BP61" s="2693"/>
      <c r="BQ61" s="1519"/>
      <c r="BR61" s="2693"/>
      <c r="BS61" s="2693"/>
      <c r="BT61" s="2693"/>
      <c r="BU61" s="2693"/>
      <c r="BV61" s="2693"/>
      <c r="BW61" s="2693"/>
      <c r="BX61" s="2693"/>
      <c r="BY61" s="2693"/>
      <c r="BZ61" s="2693"/>
      <c r="CA61" s="2693"/>
      <c r="CB61" s="2693"/>
      <c r="CC61" s="1228"/>
      <c r="CD61" s="1228"/>
      <c r="CE61" s="1228"/>
      <c r="CF61" s="1220"/>
      <c r="CG61" s="1220"/>
      <c r="CH61" s="1220"/>
      <c r="CI61" s="1220"/>
      <c r="CJ61" s="1220"/>
      <c r="CK61" s="1220"/>
      <c r="CL61" s="1220"/>
      <c r="CM61" s="1220"/>
      <c r="CN61" s="1220"/>
      <c r="CO61" s="1220"/>
      <c r="CP61" s="1220"/>
      <c r="CQ61" s="1220"/>
      <c r="CR61" s="1220"/>
      <c r="CS61" s="1220"/>
      <c r="CT61" s="1220"/>
      <c r="CU61" s="1220"/>
      <c r="CV61" s="1220"/>
      <c r="CW61" s="1220"/>
      <c r="CX61" s="1220"/>
      <c r="CY61" s="1220"/>
      <c r="CZ61" s="1220"/>
      <c r="DA61" s="1220"/>
      <c r="DB61" s="1220"/>
      <c r="DC61" s="1220"/>
      <c r="DD61" s="1220"/>
      <c r="DE61" s="1220"/>
      <c r="DF61" s="1220"/>
      <c r="DG61" s="1220"/>
      <c r="DH61" s="1220"/>
      <c r="DI61" s="1220"/>
      <c r="DJ61" s="1220"/>
      <c r="DK61" s="1220"/>
      <c r="DL61" s="1220"/>
      <c r="DM61" s="1220"/>
      <c r="DN61" s="1220"/>
      <c r="DO61" s="1220"/>
      <c r="DP61" s="1220"/>
      <c r="DQ61" s="1220"/>
      <c r="DR61" s="1220"/>
      <c r="DS61" s="1220"/>
      <c r="DT61" s="1220"/>
      <c r="DU61" s="1220"/>
      <c r="DV61" s="1220"/>
      <c r="DW61" s="1220"/>
      <c r="DX61" s="1220"/>
      <c r="DY61" s="1220"/>
      <c r="DZ61" s="1220"/>
      <c r="EA61" s="1220"/>
      <c r="EB61" s="1220"/>
      <c r="EC61" s="1220"/>
      <c r="ED61" s="1220"/>
      <c r="EE61" s="1220"/>
      <c r="EF61" s="1220"/>
      <c r="EG61" s="1220"/>
      <c r="EH61" s="1220"/>
      <c r="EI61" s="1220"/>
      <c r="EJ61" s="1220"/>
      <c r="EK61" s="1220"/>
      <c r="EL61" s="1220"/>
      <c r="EM61" s="1220"/>
      <c r="EN61" s="1220"/>
      <c r="EO61" s="1220"/>
      <c r="EP61" s="1220"/>
      <c r="EQ61" s="1220"/>
      <c r="ER61" s="1220"/>
      <c r="ES61" s="1220"/>
      <c r="ET61" s="1220"/>
      <c r="EU61" s="1220"/>
      <c r="EV61" s="1220"/>
      <c r="EW61" s="1220"/>
      <c r="EX61" s="1220"/>
      <c r="EY61" s="1220"/>
      <c r="EZ61" s="1220"/>
      <c r="FA61" s="1220"/>
      <c r="FB61" s="1220"/>
      <c r="FC61" s="1220"/>
      <c r="FD61" s="1220"/>
      <c r="FE61" s="1220"/>
      <c r="FF61" s="1220"/>
      <c r="FG61" s="1220"/>
      <c r="FH61" s="1220"/>
      <c r="FI61" s="1220"/>
      <c r="FJ61" s="1220"/>
      <c r="FK61" s="1220"/>
    </row>
    <row r="62" spans="1:167" ht="25.5">
      <c r="A62" s="1220"/>
      <c r="B62" s="1228"/>
      <c r="C62" s="1220"/>
      <c r="D62" s="1519"/>
      <c r="E62" s="1519"/>
      <c r="F62" s="1519"/>
      <c r="G62" s="1519"/>
      <c r="H62" s="1519"/>
      <c r="I62" s="1519"/>
      <c r="J62" s="1519"/>
      <c r="K62" s="1519"/>
      <c r="L62" s="1519"/>
      <c r="M62" s="1519"/>
      <c r="N62" s="1519"/>
      <c r="O62" s="1519"/>
      <c r="P62" s="1519"/>
      <c r="Q62" s="1519"/>
      <c r="R62" s="1519"/>
      <c r="S62" s="1519"/>
      <c r="T62" s="1519"/>
      <c r="U62" s="1519"/>
      <c r="V62" s="1519"/>
      <c r="W62" s="2689">
        <f>307+19</f>
        <v>326</v>
      </c>
      <c r="X62" s="2690"/>
      <c r="Y62" s="2690"/>
      <c r="Z62" s="2690"/>
      <c r="AA62" s="2690"/>
      <c r="AB62" s="2690"/>
      <c r="AC62" s="2690"/>
      <c r="AD62" s="2690"/>
      <c r="AE62" s="2690"/>
      <c r="AF62" s="2690"/>
      <c r="AG62" s="2690"/>
      <c r="AH62" s="2690"/>
      <c r="AI62" s="2690"/>
      <c r="AJ62" s="2690"/>
      <c r="AK62" s="2690"/>
      <c r="AL62" s="2690"/>
      <c r="AM62" s="2690"/>
      <c r="AN62" s="2690"/>
      <c r="AO62" s="2690"/>
      <c r="AP62" s="2690"/>
      <c r="AQ62" s="2690"/>
      <c r="AR62" s="2690"/>
      <c r="AS62" s="2690"/>
      <c r="AT62" s="2691"/>
      <c r="AU62" s="1519"/>
      <c r="AV62" s="1519"/>
      <c r="AW62" s="1519"/>
      <c r="AX62" s="1519"/>
      <c r="AY62" s="1519"/>
      <c r="AZ62" s="1519"/>
      <c r="BA62" s="1519"/>
      <c r="BB62" s="1519"/>
      <c r="BC62" s="1519"/>
      <c r="BD62" s="1519"/>
      <c r="BE62" s="1519"/>
      <c r="BF62" s="1519"/>
      <c r="BG62" s="1519"/>
      <c r="BH62" s="1519"/>
      <c r="BI62" s="1519"/>
      <c r="BJ62" s="1519"/>
      <c r="BK62" s="1519"/>
      <c r="BL62" s="1519"/>
      <c r="BM62" s="1519"/>
      <c r="BN62" s="1519"/>
      <c r="BO62" s="1519"/>
      <c r="BP62" s="1519"/>
      <c r="BQ62" s="1519"/>
      <c r="BR62" s="2693"/>
      <c r="BS62" s="2693"/>
      <c r="BT62" s="2693"/>
      <c r="BU62" s="2693"/>
      <c r="BV62" s="2693"/>
      <c r="BW62" s="2693"/>
      <c r="BX62" s="2693"/>
      <c r="BY62" s="2693"/>
      <c r="BZ62" s="2693"/>
      <c r="CA62" s="2693"/>
      <c r="CB62" s="2693"/>
      <c r="CC62" s="1228"/>
      <c r="CD62" s="1228"/>
      <c r="CE62" s="1228"/>
      <c r="CF62" s="1220"/>
      <c r="CG62" s="1220"/>
      <c r="CH62" s="1220"/>
      <c r="CI62" s="1220"/>
      <c r="CJ62" s="1220"/>
      <c r="CK62" s="1220"/>
      <c r="CL62" s="1220"/>
      <c r="CM62" s="1220"/>
      <c r="CN62" s="1220"/>
      <c r="CO62" s="1220"/>
      <c r="CP62" s="1220"/>
      <c r="CQ62" s="1220"/>
      <c r="CR62" s="1220"/>
      <c r="CS62" s="1220"/>
      <c r="CT62" s="1220"/>
      <c r="CU62" s="1220"/>
      <c r="CV62" s="1220"/>
      <c r="CW62" s="1220"/>
      <c r="CX62" s="1220"/>
      <c r="CY62" s="1220"/>
      <c r="CZ62" s="1220"/>
      <c r="DA62" s="1220"/>
      <c r="DB62" s="1220"/>
      <c r="DC62" s="1220"/>
      <c r="DD62" s="1220"/>
      <c r="DE62" s="1220"/>
      <c r="DF62" s="1220"/>
      <c r="DG62" s="1220"/>
      <c r="DH62" s="1220"/>
      <c r="DI62" s="1220"/>
      <c r="DJ62" s="1220"/>
      <c r="DK62" s="1220"/>
      <c r="DL62" s="1220"/>
      <c r="DM62" s="1220"/>
      <c r="DN62" s="1220"/>
      <c r="DO62" s="1220"/>
      <c r="DP62" s="1220"/>
      <c r="DQ62" s="1220"/>
      <c r="DR62" s="1220"/>
      <c r="DS62" s="1220"/>
      <c r="DT62" s="1220"/>
      <c r="DU62" s="1220"/>
      <c r="DV62" s="1220"/>
      <c r="DW62" s="1220"/>
      <c r="DX62" s="1220"/>
      <c r="DY62" s="1220"/>
      <c r="DZ62" s="1220"/>
      <c r="EA62" s="1220"/>
      <c r="EB62" s="1220"/>
      <c r="EC62" s="1220"/>
      <c r="ED62" s="1220"/>
      <c r="EE62" s="1220"/>
      <c r="EF62" s="1220"/>
      <c r="EG62" s="1220"/>
      <c r="EH62" s="1220"/>
      <c r="EI62" s="1220"/>
      <c r="EJ62" s="1220"/>
      <c r="EK62" s="1220"/>
      <c r="EL62" s="1220"/>
      <c r="EM62" s="1220"/>
      <c r="EN62" s="1220"/>
      <c r="EO62" s="1220"/>
      <c r="EP62" s="1220"/>
      <c r="EQ62" s="1220"/>
      <c r="ER62" s="1220"/>
      <c r="ES62" s="1220"/>
      <c r="ET62" s="1220"/>
      <c r="EU62" s="1220"/>
      <c r="EV62" s="1220"/>
      <c r="EW62" s="1220"/>
      <c r="EX62" s="1220"/>
      <c r="EY62" s="1220"/>
      <c r="EZ62" s="1220"/>
      <c r="FA62" s="1220"/>
      <c r="FB62" s="1220"/>
      <c r="FC62" s="1220"/>
      <c r="FD62" s="1220"/>
      <c r="FE62" s="1220"/>
      <c r="FF62" s="1220"/>
      <c r="FG62" s="1220"/>
      <c r="FH62" s="1220"/>
      <c r="FI62" s="1220"/>
      <c r="FJ62" s="1220"/>
      <c r="FK62" s="1220"/>
    </row>
    <row r="63" spans="1:167" ht="25.5">
      <c r="A63" s="1220"/>
      <c r="B63" s="1228"/>
      <c r="C63" s="1220"/>
      <c r="D63" s="1519"/>
      <c r="E63" s="1519"/>
      <c r="F63" s="1519"/>
      <c r="G63" s="1519"/>
      <c r="H63" s="1519"/>
      <c r="I63" s="1519"/>
      <c r="J63" s="1519"/>
      <c r="K63" s="1519"/>
      <c r="L63" s="1519"/>
      <c r="M63" s="1519"/>
      <c r="N63" s="1519"/>
      <c r="O63" s="1519"/>
      <c r="P63" s="1519"/>
      <c r="Q63" s="1519"/>
      <c r="R63" s="1519"/>
      <c r="S63" s="1519"/>
      <c r="T63" s="1519"/>
      <c r="U63" s="1519"/>
      <c r="V63" s="1519"/>
      <c r="W63" s="2692"/>
      <c r="X63" s="2693"/>
      <c r="Y63" s="2693"/>
      <c r="Z63" s="2693"/>
      <c r="AA63" s="2693"/>
      <c r="AB63" s="2693"/>
      <c r="AC63" s="2693"/>
      <c r="AD63" s="2693"/>
      <c r="AE63" s="2693"/>
      <c r="AF63" s="2693"/>
      <c r="AG63" s="2693"/>
      <c r="AH63" s="2693"/>
      <c r="AI63" s="2693"/>
      <c r="AJ63" s="2693"/>
      <c r="AK63" s="2693"/>
      <c r="AL63" s="2693"/>
      <c r="AM63" s="2693"/>
      <c r="AN63" s="2693"/>
      <c r="AO63" s="2693"/>
      <c r="AP63" s="2693"/>
      <c r="AQ63" s="2693"/>
      <c r="AR63" s="2693"/>
      <c r="AS63" s="2693"/>
      <c r="AT63" s="2694"/>
      <c r="AU63" s="1519"/>
      <c r="AV63" s="1519"/>
      <c r="AW63" s="1519"/>
      <c r="AX63" s="1519"/>
      <c r="AY63" s="1519"/>
      <c r="AZ63" s="1519"/>
      <c r="BA63" s="1519"/>
      <c r="BB63" s="1519"/>
      <c r="BC63" s="1519"/>
      <c r="BD63" s="1519"/>
      <c r="BE63" s="1519"/>
      <c r="BF63" s="1519"/>
      <c r="BG63" s="1519"/>
      <c r="BH63" s="1519"/>
      <c r="BI63" s="1519"/>
      <c r="BJ63" s="1519"/>
      <c r="BK63" s="1519"/>
      <c r="BL63" s="1519"/>
      <c r="BM63" s="1519"/>
      <c r="BN63" s="1519"/>
      <c r="BO63" s="1519"/>
      <c r="BP63" s="1519"/>
      <c r="BQ63" s="1519"/>
      <c r="BR63" s="2693"/>
      <c r="BS63" s="2693"/>
      <c r="BT63" s="2693"/>
      <c r="BU63" s="2693"/>
      <c r="BV63" s="2693"/>
      <c r="BW63" s="2693"/>
      <c r="BX63" s="2693"/>
      <c r="BY63" s="2693"/>
      <c r="BZ63" s="2693"/>
      <c r="CA63" s="2693"/>
      <c r="CB63" s="2693"/>
      <c r="CC63" s="1228"/>
      <c r="CD63" s="1228"/>
      <c r="CE63" s="1228"/>
      <c r="CF63" s="1220"/>
      <c r="CG63" s="1220"/>
      <c r="CH63" s="1220"/>
      <c r="CI63" s="1220"/>
      <c r="CJ63" s="1220"/>
      <c r="CK63" s="1220"/>
      <c r="CL63" s="1220"/>
      <c r="CM63" s="1220"/>
      <c r="CN63" s="1220"/>
      <c r="CO63" s="1220"/>
      <c r="CP63" s="1220"/>
      <c r="CQ63" s="1220"/>
      <c r="CR63" s="1220"/>
      <c r="CS63" s="1220"/>
      <c r="CT63" s="1220"/>
      <c r="CU63" s="1220"/>
      <c r="CV63" s="1220"/>
      <c r="CW63" s="1220"/>
      <c r="CX63" s="1220"/>
      <c r="CY63" s="1220"/>
      <c r="CZ63" s="1220"/>
      <c r="DA63" s="1220"/>
      <c r="DB63" s="1220"/>
      <c r="DC63" s="1220"/>
      <c r="DD63" s="1220"/>
      <c r="DE63" s="1220"/>
      <c r="DF63" s="1220"/>
      <c r="DG63" s="1220"/>
      <c r="DH63" s="1220"/>
      <c r="DI63" s="1220"/>
      <c r="DJ63" s="1220"/>
      <c r="DK63" s="1220"/>
      <c r="DL63" s="1220"/>
      <c r="DM63" s="1220"/>
      <c r="DN63" s="1220"/>
      <c r="DO63" s="1220"/>
      <c r="DP63" s="1220"/>
      <c r="DQ63" s="1220"/>
      <c r="DR63" s="1220"/>
      <c r="DS63" s="1220"/>
      <c r="DT63" s="1220"/>
      <c r="DU63" s="1220"/>
      <c r="DV63" s="1220"/>
      <c r="DW63" s="1220"/>
      <c r="DX63" s="1220"/>
      <c r="DY63" s="1220"/>
      <c r="DZ63" s="1220"/>
      <c r="EA63" s="1220"/>
      <c r="EB63" s="1220"/>
      <c r="EC63" s="1220"/>
      <c r="ED63" s="1220"/>
      <c r="EE63" s="1220"/>
      <c r="EF63" s="1220"/>
      <c r="EG63" s="1220"/>
      <c r="EH63" s="1220"/>
      <c r="EI63" s="1220"/>
      <c r="EJ63" s="1220"/>
      <c r="EK63" s="1220"/>
      <c r="EL63" s="1220"/>
      <c r="EM63" s="1220"/>
      <c r="EN63" s="1220"/>
      <c r="EO63" s="1220"/>
      <c r="EP63" s="1220"/>
      <c r="EQ63" s="1220"/>
      <c r="ER63" s="1220"/>
      <c r="ES63" s="1220"/>
      <c r="ET63" s="1220"/>
      <c r="EU63" s="1220"/>
      <c r="EV63" s="1220"/>
      <c r="EW63" s="1220"/>
      <c r="EX63" s="1220"/>
      <c r="EY63" s="1220"/>
      <c r="EZ63" s="1220"/>
      <c r="FA63" s="1220"/>
      <c r="FB63" s="1220"/>
      <c r="FC63" s="1220"/>
      <c r="FD63" s="1220"/>
      <c r="FE63" s="1220"/>
      <c r="FF63" s="1220"/>
      <c r="FG63" s="1220"/>
      <c r="FH63" s="1220"/>
      <c r="FI63" s="1220"/>
      <c r="FJ63" s="1220"/>
      <c r="FK63" s="1220"/>
    </row>
    <row r="64" spans="1:167" ht="34.5" thickBot="1">
      <c r="A64" s="1220"/>
      <c r="B64" s="1228"/>
      <c r="C64" s="947"/>
      <c r="D64" s="1519"/>
      <c r="E64" s="1519"/>
      <c r="F64" s="1519"/>
      <c r="G64" s="1519"/>
      <c r="H64" s="1519"/>
      <c r="I64" s="1519"/>
      <c r="J64" s="1519"/>
      <c r="K64" s="1519"/>
      <c r="L64" s="1519"/>
      <c r="M64" s="1519"/>
      <c r="N64" s="1519"/>
      <c r="O64" s="1519"/>
      <c r="P64" s="1519"/>
      <c r="Q64" s="1519"/>
      <c r="R64" s="1519"/>
      <c r="S64" s="1519"/>
      <c r="T64" s="1519"/>
      <c r="U64" s="1519"/>
      <c r="V64" s="1519"/>
      <c r="W64" s="2695"/>
      <c r="X64" s="2696"/>
      <c r="Y64" s="2696"/>
      <c r="Z64" s="2696"/>
      <c r="AA64" s="2696"/>
      <c r="AB64" s="2696"/>
      <c r="AC64" s="2696"/>
      <c r="AD64" s="2696"/>
      <c r="AE64" s="2696"/>
      <c r="AF64" s="2696"/>
      <c r="AG64" s="2696"/>
      <c r="AH64" s="2696"/>
      <c r="AI64" s="2696"/>
      <c r="AJ64" s="2696"/>
      <c r="AK64" s="2696"/>
      <c r="AL64" s="2696"/>
      <c r="AM64" s="2696"/>
      <c r="AN64" s="2696"/>
      <c r="AO64" s="2696"/>
      <c r="AP64" s="2696"/>
      <c r="AQ64" s="2696"/>
      <c r="AR64" s="2696"/>
      <c r="AS64" s="2696"/>
      <c r="AT64" s="2697"/>
      <c r="AU64" s="1519"/>
      <c r="AV64" s="1519"/>
      <c r="AW64" s="1519"/>
      <c r="AX64" s="1519"/>
      <c r="AY64" s="1519"/>
      <c r="AZ64" s="1519"/>
      <c r="BA64" s="1519"/>
      <c r="BB64" s="1519"/>
      <c r="BC64" s="1519"/>
      <c r="BD64" s="1519"/>
      <c r="BE64" s="1519"/>
      <c r="BF64" s="1519"/>
      <c r="BG64" s="1519"/>
      <c r="BH64" s="1519"/>
      <c r="BI64" s="1519"/>
      <c r="BJ64" s="1519"/>
      <c r="BK64" s="1519"/>
      <c r="BL64" s="1519"/>
      <c r="BM64" s="1519"/>
      <c r="BN64" s="1519"/>
      <c r="BO64" s="1519"/>
      <c r="BP64" s="1519"/>
      <c r="BQ64" s="1519"/>
      <c r="BR64" s="2693"/>
      <c r="BS64" s="2693"/>
      <c r="BT64" s="2693"/>
      <c r="BU64" s="2693"/>
      <c r="BV64" s="2693"/>
      <c r="BW64" s="2693"/>
      <c r="BX64" s="2693"/>
      <c r="BY64" s="2693"/>
      <c r="BZ64" s="2693"/>
      <c r="CA64" s="2693"/>
      <c r="CB64" s="2693"/>
      <c r="CC64" s="1228"/>
      <c r="CD64" s="1228"/>
      <c r="CE64" s="1228"/>
      <c r="CF64" s="1220"/>
      <c r="CG64" s="1220"/>
      <c r="CH64" s="1220"/>
      <c r="CI64" s="1220"/>
      <c r="CJ64" s="1220"/>
      <c r="CK64" s="1220"/>
      <c r="CL64" s="1220"/>
      <c r="CM64" s="1220"/>
      <c r="CN64" s="1220"/>
      <c r="CO64" s="1220"/>
      <c r="CP64" s="1220"/>
      <c r="CQ64" s="1220"/>
      <c r="CR64" s="1220"/>
      <c r="CS64" s="1220"/>
      <c r="CT64" s="1220"/>
      <c r="CU64" s="1220"/>
      <c r="CV64" s="1220"/>
      <c r="CW64" s="1220"/>
      <c r="CX64" s="1220"/>
      <c r="CY64" s="1220"/>
      <c r="CZ64" s="1220"/>
      <c r="DA64" s="1220"/>
      <c r="DB64" s="1220"/>
      <c r="DC64" s="1220"/>
      <c r="DD64" s="1220"/>
      <c r="DE64" s="1220"/>
      <c r="DF64" s="1220"/>
      <c r="DG64" s="1220"/>
      <c r="DH64" s="1220"/>
      <c r="DI64" s="1220"/>
      <c r="DJ64" s="1220"/>
      <c r="DK64" s="1220"/>
      <c r="DL64" s="1220"/>
      <c r="DM64" s="1220"/>
      <c r="DN64" s="1220"/>
      <c r="DO64" s="1220"/>
      <c r="DP64" s="1220"/>
      <c r="DQ64" s="1220"/>
      <c r="DR64" s="1220"/>
      <c r="DS64" s="1220"/>
      <c r="DT64" s="1220"/>
      <c r="DU64" s="1220"/>
      <c r="DV64" s="1220"/>
      <c r="DW64" s="1220"/>
      <c r="DX64" s="1220"/>
      <c r="DY64" s="1220"/>
      <c r="DZ64" s="1220"/>
      <c r="EA64" s="1220"/>
      <c r="EB64" s="1220"/>
      <c r="EC64" s="1220"/>
      <c r="ED64" s="1220"/>
      <c r="EE64" s="1220"/>
      <c r="EF64" s="1220"/>
      <c r="EG64" s="1220"/>
      <c r="EH64" s="1220"/>
      <c r="EI64" s="1220"/>
      <c r="EJ64" s="1220"/>
      <c r="EK64" s="1220"/>
      <c r="EL64" s="1220"/>
      <c r="EM64" s="1220"/>
      <c r="EN64" s="1220"/>
      <c r="EO64" s="1220"/>
      <c r="EP64" s="1220"/>
      <c r="EQ64" s="1220"/>
      <c r="ER64" s="1220"/>
      <c r="ES64" s="1220"/>
      <c r="ET64" s="1220"/>
      <c r="EU64" s="1220"/>
      <c r="EV64" s="1220"/>
      <c r="EW64" s="1220"/>
      <c r="EX64" s="1220"/>
      <c r="EY64" s="1220"/>
      <c r="EZ64" s="1220"/>
      <c r="FA64" s="1220"/>
      <c r="FB64" s="1220"/>
      <c r="FC64" s="1220"/>
      <c r="FD64" s="1220"/>
      <c r="FE64" s="1220"/>
      <c r="FF64" s="1220"/>
      <c r="FG64" s="1220"/>
      <c r="FH64" s="1220"/>
      <c r="FI64" s="1220"/>
      <c r="FJ64" s="1220"/>
      <c r="FK64" s="1220"/>
    </row>
    <row r="65" spans="1:167" ht="60">
      <c r="A65" s="1220"/>
      <c r="B65" s="1228"/>
      <c r="C65" s="947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/>
      <c r="Q65" s="192"/>
      <c r="R65" s="1207"/>
      <c r="S65" s="1631"/>
      <c r="T65" s="1207"/>
      <c r="U65" s="1207"/>
      <c r="V65" s="1207"/>
      <c r="W65" s="1519"/>
      <c r="X65" s="1519"/>
      <c r="Y65" s="1519"/>
      <c r="Z65" s="1519"/>
      <c r="AA65" s="1519"/>
      <c r="AB65" s="1519"/>
      <c r="AC65" s="1519"/>
      <c r="AD65" s="1519"/>
      <c r="AE65" s="1519"/>
      <c r="AF65" s="1519"/>
      <c r="AG65" s="1519"/>
      <c r="AH65" s="1519"/>
      <c r="AI65" s="1519"/>
      <c r="AJ65" s="1519"/>
      <c r="AK65" s="1519"/>
      <c r="AL65" s="1519"/>
      <c r="AM65" s="1519"/>
      <c r="AN65" s="1519"/>
      <c r="AO65" s="1519"/>
      <c r="AP65" s="1519"/>
      <c r="AQ65" s="1519"/>
      <c r="AR65" s="1519"/>
      <c r="AS65" s="1519"/>
      <c r="AT65" s="1519"/>
      <c r="AU65" s="1220"/>
      <c r="AV65" s="1220"/>
      <c r="AW65" s="1220"/>
      <c r="AX65" s="1220"/>
      <c r="AY65" s="1220"/>
      <c r="AZ65" s="1220"/>
      <c r="BA65" s="1220"/>
      <c r="BB65" s="1220"/>
      <c r="BC65" s="1220"/>
      <c r="BD65" s="1220"/>
      <c r="BE65" s="1220"/>
      <c r="BF65" s="1220"/>
      <c r="BG65" s="1220"/>
      <c r="BH65" s="1220"/>
      <c r="BI65" s="1220"/>
      <c r="BJ65" s="1220"/>
      <c r="BK65" s="1220"/>
      <c r="BL65" s="1220"/>
      <c r="BM65" s="1220"/>
      <c r="BN65" s="1220"/>
      <c r="BO65" s="1220"/>
      <c r="BP65" s="1220"/>
      <c r="BQ65" s="1220"/>
      <c r="BR65" s="1220"/>
      <c r="BS65" s="1220"/>
      <c r="BT65" s="1220"/>
      <c r="BU65" s="1220"/>
      <c r="BV65" s="1220"/>
      <c r="BW65" s="1220"/>
      <c r="BX65" s="1220"/>
      <c r="BY65" s="1220"/>
      <c r="BZ65" s="1220"/>
      <c r="CA65" s="1220"/>
      <c r="CB65" s="1220"/>
      <c r="CC65" s="1228"/>
      <c r="CD65" s="1228"/>
      <c r="CE65" s="1228"/>
      <c r="CF65" s="1220"/>
      <c r="CG65" s="1220"/>
      <c r="CH65" s="1220"/>
      <c r="CI65" s="1220"/>
      <c r="CJ65" s="1220"/>
      <c r="CK65" s="1220"/>
      <c r="CL65" s="1220"/>
      <c r="CM65" s="1220"/>
      <c r="CN65" s="1220"/>
      <c r="CO65" s="1220"/>
      <c r="CP65" s="1220"/>
      <c r="CQ65" s="1220"/>
      <c r="CR65" s="1220"/>
      <c r="CS65" s="1220"/>
      <c r="CT65" s="1220"/>
      <c r="CU65" s="1220"/>
      <c r="CV65" s="1220"/>
      <c r="CW65" s="1220"/>
      <c r="CX65" s="1220"/>
      <c r="CY65" s="1220"/>
      <c r="CZ65" s="1220"/>
      <c r="DA65" s="1220"/>
      <c r="DB65" s="1220"/>
      <c r="DC65" s="1220"/>
      <c r="DD65" s="1220"/>
      <c r="DE65" s="1220"/>
      <c r="DF65" s="1220"/>
      <c r="DG65" s="1220"/>
      <c r="DH65" s="1220"/>
      <c r="DI65" s="1220"/>
      <c r="DJ65" s="1220"/>
      <c r="DK65" s="1220"/>
      <c r="DL65" s="1220"/>
      <c r="DM65" s="1220"/>
      <c r="DN65" s="1220"/>
      <c r="DO65" s="1220"/>
      <c r="DP65" s="1220"/>
      <c r="DQ65" s="1220"/>
      <c r="DR65" s="1220"/>
      <c r="DS65" s="1220"/>
      <c r="DT65" s="1220"/>
      <c r="DU65" s="1220"/>
      <c r="DV65" s="1220"/>
      <c r="DW65" s="1220"/>
      <c r="DX65" s="1220"/>
      <c r="DY65" s="1220"/>
      <c r="DZ65" s="1220"/>
      <c r="EA65" s="1220"/>
      <c r="EB65" s="1220"/>
      <c r="EC65" s="1220"/>
      <c r="ED65" s="1220"/>
      <c r="EE65" s="1220"/>
      <c r="EF65" s="1220"/>
      <c r="EG65" s="1220"/>
      <c r="EH65" s="1220"/>
      <c r="EI65" s="1220"/>
      <c r="EJ65" s="1220"/>
      <c r="EK65" s="1220"/>
      <c r="EL65" s="1220"/>
      <c r="EM65" s="1220"/>
      <c r="EN65" s="1220"/>
      <c r="EO65" s="1220"/>
      <c r="EP65" s="1220"/>
      <c r="EQ65" s="1220"/>
      <c r="ER65" s="1220"/>
      <c r="ES65" s="1220"/>
      <c r="ET65" s="1220"/>
      <c r="EU65" s="1220"/>
      <c r="EV65" s="1220"/>
      <c r="EW65" s="1220"/>
      <c r="EX65" s="1220"/>
      <c r="EY65" s="1220"/>
      <c r="EZ65" s="1220"/>
      <c r="FA65" s="1220"/>
      <c r="FB65" s="1220"/>
      <c r="FC65" s="1220"/>
      <c r="FD65" s="1220"/>
      <c r="FE65" s="1220"/>
      <c r="FF65" s="1220"/>
      <c r="FG65" s="1220"/>
      <c r="FH65" s="1220"/>
      <c r="FI65" s="1220"/>
      <c r="FJ65" s="1220"/>
      <c r="FK65" s="1220"/>
    </row>
    <row r="66" spans="1:167" ht="60">
      <c r="A66" s="1220"/>
      <c r="B66" s="1228"/>
      <c r="C66" s="947"/>
      <c r="D66" s="192"/>
      <c r="E66" s="192"/>
      <c r="F66" s="192"/>
      <c r="G66" s="192"/>
      <c r="H66" s="192"/>
      <c r="I66" s="192"/>
      <c r="J66" s="192"/>
      <c r="K66" s="192"/>
      <c r="L66" s="192"/>
      <c r="M66" s="192"/>
      <c r="N66" s="192"/>
      <c r="O66" s="192"/>
      <c r="P66" s="192"/>
      <c r="Q66" s="192"/>
      <c r="R66" s="1207"/>
      <c r="S66" s="1207"/>
      <c r="T66" s="1207"/>
      <c r="U66" s="1207"/>
      <c r="V66" s="1207"/>
      <c r="W66" s="1207"/>
      <c r="X66" s="1207"/>
      <c r="Y66" s="1207"/>
      <c r="Z66" s="1207"/>
      <c r="AA66" s="1207"/>
      <c r="AB66" s="1207"/>
      <c r="AC66" s="1207"/>
      <c r="AD66" s="1220"/>
      <c r="AE66" s="1220"/>
      <c r="AF66" s="1220"/>
      <c r="AG66" s="1220"/>
      <c r="AH66" s="1220"/>
      <c r="AI66" s="1220"/>
      <c r="AJ66" s="1220"/>
      <c r="AK66" s="1220"/>
      <c r="AL66" s="1220"/>
      <c r="AM66" s="1220"/>
      <c r="AN66" s="1220"/>
      <c r="AO66" s="1220"/>
      <c r="AP66" s="1220"/>
      <c r="AQ66" s="1220"/>
      <c r="AR66" s="1220"/>
      <c r="AS66" s="1220"/>
      <c r="AT66" s="1220"/>
      <c r="AU66" s="1220"/>
      <c r="AV66" s="1220"/>
      <c r="AW66" s="1220"/>
      <c r="AX66" s="1220"/>
      <c r="AY66" s="1220"/>
      <c r="AZ66" s="1220"/>
      <c r="BA66" s="1220"/>
      <c r="BB66" s="1220"/>
      <c r="BC66" s="1220"/>
      <c r="BD66" s="1220"/>
      <c r="BE66" s="1220"/>
      <c r="BF66" s="1220"/>
      <c r="BG66" s="1220"/>
      <c r="BH66" s="1220"/>
      <c r="BI66" s="1220"/>
      <c r="BJ66" s="1220"/>
      <c r="BK66" s="1220"/>
      <c r="BL66" s="1220"/>
      <c r="BM66" s="1220"/>
      <c r="BN66" s="1220"/>
      <c r="BO66" s="1220"/>
      <c r="BP66" s="1220"/>
      <c r="BQ66" s="1220"/>
      <c r="BR66" s="1220"/>
      <c r="BS66" s="1220"/>
      <c r="BT66" s="1220"/>
      <c r="BU66" s="1220"/>
      <c r="BV66" s="1220"/>
      <c r="BW66" s="1220"/>
      <c r="BX66" s="1220"/>
      <c r="BY66" s="1220"/>
      <c r="BZ66" s="1220"/>
      <c r="CA66" s="1220"/>
      <c r="CB66" s="1220"/>
      <c r="CC66" s="1228"/>
      <c r="CD66" s="1228"/>
      <c r="CE66" s="1228"/>
      <c r="CF66" s="1220"/>
      <c r="CG66" s="1220"/>
      <c r="CH66" s="1220"/>
      <c r="CI66" s="1220"/>
      <c r="CJ66" s="1220"/>
      <c r="CK66" s="1220"/>
      <c r="CL66" s="1220"/>
      <c r="CM66" s="1220"/>
      <c r="CN66" s="1220"/>
      <c r="CO66" s="1220"/>
      <c r="CP66" s="1220"/>
      <c r="CQ66" s="1220"/>
      <c r="CR66" s="1220"/>
      <c r="CS66" s="1220"/>
      <c r="CT66" s="1220"/>
      <c r="CU66" s="1220"/>
      <c r="CV66" s="1220"/>
      <c r="CW66" s="1220"/>
      <c r="CX66" s="1220"/>
      <c r="CY66" s="1220"/>
      <c r="CZ66" s="1220"/>
      <c r="DA66" s="1220"/>
      <c r="DB66" s="1220"/>
      <c r="DC66" s="1220"/>
      <c r="DD66" s="1220"/>
      <c r="DE66" s="1220"/>
      <c r="DF66" s="1220"/>
      <c r="DG66" s="1220"/>
      <c r="DH66" s="1220"/>
      <c r="DI66" s="1220"/>
      <c r="DJ66" s="1220"/>
      <c r="DK66" s="1220"/>
      <c r="DL66" s="1220"/>
      <c r="DM66" s="1220"/>
      <c r="DN66" s="1220"/>
      <c r="DO66" s="1220"/>
      <c r="DP66" s="1220"/>
      <c r="DQ66" s="1220"/>
      <c r="DR66" s="1220"/>
      <c r="DS66" s="1220"/>
      <c r="DT66" s="1220"/>
      <c r="DU66" s="1220"/>
      <c r="DV66" s="1220"/>
      <c r="DW66" s="1220"/>
      <c r="DX66" s="1220"/>
      <c r="DY66" s="1220"/>
      <c r="DZ66" s="1220"/>
      <c r="EA66" s="1220"/>
      <c r="EB66" s="1220"/>
      <c r="EC66" s="1220"/>
      <c r="ED66" s="1220"/>
      <c r="EE66" s="1220"/>
      <c r="EF66" s="1220"/>
      <c r="EG66" s="1220"/>
      <c r="EH66" s="1220"/>
      <c r="EI66" s="1220"/>
      <c r="EJ66" s="1220"/>
      <c r="EK66" s="1220"/>
      <c r="EL66" s="1220"/>
      <c r="EM66" s="1220"/>
      <c r="EN66" s="1220"/>
      <c r="EO66" s="1220"/>
      <c r="EP66" s="1220"/>
      <c r="EQ66" s="1220"/>
      <c r="ER66" s="1220"/>
      <c r="ES66" s="1220"/>
      <c r="ET66" s="1220"/>
      <c r="EU66" s="1220"/>
      <c r="EV66" s="1220"/>
      <c r="EW66" s="1220"/>
      <c r="EX66" s="1220"/>
      <c r="EY66" s="1220"/>
      <c r="EZ66" s="1220"/>
      <c r="FA66" s="1220"/>
      <c r="FB66" s="1220"/>
      <c r="FC66" s="1220"/>
      <c r="FD66" s="1220"/>
      <c r="FE66" s="1220"/>
      <c r="FF66" s="1220"/>
      <c r="FG66" s="1220"/>
      <c r="FH66" s="1220"/>
      <c r="FI66" s="1220"/>
      <c r="FJ66" s="1220"/>
      <c r="FK66" s="1220"/>
    </row>
    <row r="67" spans="1:167" ht="60">
      <c r="A67" s="1220"/>
      <c r="B67" s="1228"/>
      <c r="C67" s="947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192"/>
      <c r="O67" s="192"/>
      <c r="P67" s="192"/>
      <c r="Q67" s="192"/>
      <c r="R67" s="1207"/>
      <c r="S67" s="1207"/>
      <c r="T67" s="1207"/>
      <c r="U67" s="1207"/>
      <c r="V67" s="1207"/>
      <c r="W67" s="1207"/>
      <c r="X67" s="1207"/>
      <c r="Y67" s="1207"/>
      <c r="Z67" s="1207"/>
      <c r="AA67" s="1207"/>
      <c r="AB67" s="1207"/>
      <c r="AC67" s="1207"/>
      <c r="AD67" s="1220"/>
      <c r="AE67" s="1220"/>
      <c r="AF67" s="1220"/>
      <c r="AG67" s="1220"/>
      <c r="AH67" s="1220"/>
      <c r="AI67" s="1220"/>
      <c r="AJ67" s="1220"/>
      <c r="AK67" s="1220"/>
      <c r="AL67" s="1220"/>
      <c r="AM67" s="1220"/>
      <c r="AN67" s="1220"/>
      <c r="AO67" s="1220"/>
      <c r="AP67" s="1220"/>
      <c r="AQ67" s="1220"/>
      <c r="AR67" s="1220"/>
      <c r="AS67" s="1220"/>
      <c r="AT67" s="1220"/>
      <c r="AU67" s="1220"/>
      <c r="AV67" s="1220"/>
      <c r="AW67" s="1220"/>
      <c r="AX67" s="1220"/>
      <c r="AY67" s="1220"/>
      <c r="AZ67" s="1220"/>
      <c r="BA67" s="1220"/>
      <c r="BB67" s="1220"/>
      <c r="BC67" s="1220"/>
      <c r="BD67" s="1220"/>
      <c r="BE67" s="1220"/>
      <c r="BF67" s="1220"/>
      <c r="BG67" s="1220"/>
      <c r="BH67" s="1220"/>
      <c r="BI67" s="1220"/>
      <c r="BJ67" s="1220"/>
      <c r="BK67" s="1220"/>
      <c r="BL67" s="1220"/>
      <c r="BM67" s="1220"/>
      <c r="BN67" s="1220"/>
      <c r="BO67" s="1220"/>
      <c r="BP67" s="1220"/>
      <c r="BQ67" s="1220"/>
      <c r="BR67" s="1220"/>
      <c r="BS67" s="1220"/>
      <c r="BT67" s="1220"/>
      <c r="BU67" s="1220"/>
      <c r="BV67" s="1220"/>
      <c r="BW67" s="1220"/>
      <c r="BX67" s="1220"/>
      <c r="BY67" s="1220"/>
      <c r="BZ67" s="1220"/>
      <c r="CA67" s="1220"/>
      <c r="CB67" s="1220"/>
      <c r="CC67" s="1228"/>
      <c r="CD67" s="1228"/>
      <c r="CE67" s="1228"/>
      <c r="CF67" s="1220"/>
      <c r="CG67" s="1220"/>
      <c r="CH67" s="1220"/>
      <c r="CI67" s="1220"/>
      <c r="CJ67" s="1220"/>
      <c r="CK67" s="1220"/>
      <c r="CL67" s="1220"/>
      <c r="CM67" s="1220"/>
      <c r="CN67" s="1220"/>
      <c r="CO67" s="1220"/>
      <c r="CP67" s="1220"/>
      <c r="CQ67" s="1220"/>
      <c r="CR67" s="1220"/>
      <c r="CS67" s="1220"/>
      <c r="CT67" s="1220"/>
      <c r="CU67" s="1220"/>
      <c r="CV67" s="1220"/>
      <c r="CW67" s="1220"/>
      <c r="CX67" s="1220"/>
      <c r="CY67" s="1220"/>
      <c r="CZ67" s="1220"/>
      <c r="DA67" s="1220"/>
      <c r="DB67" s="1220"/>
      <c r="DC67" s="1220"/>
      <c r="DD67" s="1220"/>
      <c r="DE67" s="1220"/>
      <c r="DF67" s="1220"/>
      <c r="DG67" s="1220"/>
      <c r="DH67" s="1220"/>
      <c r="DI67" s="1220"/>
      <c r="DJ67" s="1220"/>
      <c r="DK67" s="1220"/>
      <c r="DL67" s="1220"/>
      <c r="DM67" s="1220"/>
      <c r="DN67" s="1220"/>
      <c r="DO67" s="1220"/>
      <c r="DP67" s="1220"/>
      <c r="DQ67" s="1220"/>
      <c r="DR67" s="1220"/>
      <c r="DS67" s="1220"/>
      <c r="DT67" s="1220"/>
      <c r="DU67" s="1220"/>
      <c r="DV67" s="1220"/>
      <c r="DW67" s="1220"/>
      <c r="DX67" s="1220"/>
      <c r="DY67" s="1220"/>
      <c r="DZ67" s="1220"/>
      <c r="EA67" s="1220"/>
      <c r="EB67" s="1220"/>
      <c r="EC67" s="1220"/>
      <c r="ED67" s="1220"/>
      <c r="EE67" s="1220"/>
      <c r="EF67" s="1220"/>
      <c r="EG67" s="1220"/>
      <c r="EH67" s="1220"/>
      <c r="EI67" s="1220"/>
      <c r="EJ67" s="1220"/>
      <c r="EK67" s="1220"/>
      <c r="EL67" s="1220"/>
      <c r="EM67" s="1220"/>
      <c r="EN67" s="1220"/>
      <c r="EO67" s="1220"/>
      <c r="EP67" s="1220"/>
      <c r="EQ67" s="1220"/>
      <c r="ER67" s="1220"/>
      <c r="ES67" s="1220"/>
      <c r="ET67" s="1220"/>
      <c r="EU67" s="1220"/>
      <c r="EV67" s="1220"/>
      <c r="EW67" s="1220"/>
      <c r="EX67" s="1220"/>
      <c r="EY67" s="1220"/>
      <c r="EZ67" s="1220"/>
      <c r="FA67" s="1220"/>
      <c r="FB67" s="1220"/>
      <c r="FC67" s="1220"/>
      <c r="FD67" s="1220"/>
      <c r="FE67" s="1220"/>
      <c r="FF67" s="1220"/>
      <c r="FG67" s="1220"/>
      <c r="FH67" s="1220"/>
      <c r="FI67" s="1220"/>
      <c r="FJ67" s="1220"/>
      <c r="FK67" s="1220"/>
    </row>
    <row r="68" spans="1:167" ht="60">
      <c r="A68" s="1220"/>
      <c r="B68" s="1228"/>
      <c r="C68" s="947"/>
      <c r="D68" s="192"/>
      <c r="E68" s="192"/>
      <c r="F68" s="192"/>
      <c r="G68" s="192"/>
      <c r="H68" s="192"/>
      <c r="I68" s="192"/>
      <c r="J68" s="192"/>
      <c r="K68" s="192"/>
      <c r="L68" s="192"/>
      <c r="M68" s="192"/>
      <c r="N68" s="192"/>
      <c r="O68" s="192"/>
      <c r="P68" s="192"/>
      <c r="Q68" s="192"/>
      <c r="R68" s="1207"/>
      <c r="S68" s="1207"/>
      <c r="T68" s="1207"/>
      <c r="U68" s="1207"/>
      <c r="V68" s="1207"/>
      <c r="W68" s="1207"/>
      <c r="X68" s="1207"/>
      <c r="Y68" s="1207"/>
      <c r="Z68" s="1207"/>
      <c r="AA68" s="1207"/>
      <c r="AB68" s="1207"/>
      <c r="AC68" s="1207"/>
      <c r="AD68" s="1220"/>
      <c r="AE68" s="1220"/>
      <c r="AF68" s="1220"/>
      <c r="AG68" s="1220"/>
      <c r="AH68" s="1220"/>
      <c r="AI68" s="1220"/>
      <c r="AJ68" s="1220"/>
      <c r="AK68" s="1220"/>
      <c r="AL68" s="1220"/>
      <c r="AM68" s="1220"/>
      <c r="AN68" s="1220"/>
      <c r="AO68" s="1220"/>
      <c r="AP68" s="1220"/>
      <c r="AQ68" s="1220"/>
      <c r="AR68" s="1220"/>
      <c r="AS68" s="1220"/>
      <c r="AT68" s="1220"/>
      <c r="AU68" s="1220"/>
      <c r="AV68" s="1220"/>
      <c r="AW68" s="1220"/>
      <c r="AX68" s="1220"/>
      <c r="AY68" s="1220"/>
      <c r="AZ68" s="1220"/>
      <c r="BA68" s="1220"/>
      <c r="BB68" s="1220"/>
      <c r="BC68" s="1220"/>
      <c r="BD68" s="1220"/>
      <c r="BE68" s="1220"/>
      <c r="BF68" s="1220"/>
      <c r="BG68" s="1220"/>
      <c r="BH68" s="1220"/>
      <c r="BI68" s="1220"/>
      <c r="BJ68" s="1220"/>
      <c r="BK68" s="1220"/>
      <c r="BL68" s="1220"/>
      <c r="BM68" s="1220"/>
      <c r="BN68" s="1220"/>
      <c r="BO68" s="1220"/>
      <c r="BP68" s="1220"/>
      <c r="BQ68" s="1220"/>
      <c r="BR68" s="1220"/>
      <c r="BS68" s="1220"/>
      <c r="BT68" s="1220"/>
      <c r="BU68" s="1220"/>
      <c r="BV68" s="1220"/>
      <c r="BW68" s="1220"/>
      <c r="BX68" s="1220"/>
      <c r="BY68" s="1220"/>
      <c r="BZ68" s="1220"/>
      <c r="CA68" s="1220"/>
      <c r="CB68" s="1220"/>
      <c r="CC68" s="1228"/>
      <c r="CD68" s="1228"/>
      <c r="CE68" s="1228"/>
      <c r="CF68" s="1220"/>
      <c r="CG68" s="1220"/>
      <c r="CH68" s="1220"/>
      <c r="CI68" s="1220"/>
      <c r="CJ68" s="1220"/>
      <c r="CK68" s="1220"/>
      <c r="CL68" s="1220"/>
      <c r="CM68" s="1220"/>
      <c r="CN68" s="1220"/>
      <c r="CO68" s="1220"/>
      <c r="CP68" s="1220"/>
      <c r="CQ68" s="1220"/>
      <c r="CR68" s="1220"/>
      <c r="CS68" s="1220"/>
      <c r="CT68" s="1220"/>
      <c r="CU68" s="1220"/>
      <c r="CV68" s="1220"/>
      <c r="CW68" s="1220"/>
      <c r="CX68" s="1220"/>
      <c r="CY68" s="1220"/>
      <c r="CZ68" s="1220"/>
      <c r="DA68" s="1220"/>
      <c r="DB68" s="1220"/>
      <c r="DC68" s="1220"/>
      <c r="DD68" s="1220"/>
      <c r="DE68" s="1220"/>
      <c r="DF68" s="1220"/>
      <c r="DG68" s="1220"/>
      <c r="DH68" s="1220"/>
      <c r="DI68" s="1220"/>
      <c r="DJ68" s="1220"/>
      <c r="DK68" s="1220"/>
      <c r="DL68" s="1220"/>
      <c r="DM68" s="1220"/>
      <c r="DN68" s="1220"/>
      <c r="DO68" s="1220"/>
      <c r="DP68" s="1220"/>
      <c r="DQ68" s="1220"/>
      <c r="DR68" s="1220"/>
      <c r="DS68" s="1220"/>
      <c r="DT68" s="1220"/>
      <c r="DU68" s="1220"/>
      <c r="DV68" s="1220"/>
      <c r="DW68" s="1220"/>
      <c r="DX68" s="1220"/>
      <c r="DY68" s="1220"/>
      <c r="DZ68" s="1220"/>
      <c r="EA68" s="1220"/>
      <c r="EB68" s="1220"/>
      <c r="EC68" s="1220"/>
      <c r="ED68" s="1220"/>
      <c r="EE68" s="1220"/>
      <c r="EF68" s="1220"/>
      <c r="EG68" s="1220"/>
      <c r="EH68" s="1220"/>
      <c r="EI68" s="1220"/>
      <c r="EJ68" s="1220"/>
      <c r="EK68" s="1220"/>
      <c r="EL68" s="1220"/>
      <c r="EM68" s="1220"/>
      <c r="EN68" s="1220"/>
      <c r="EO68" s="1220"/>
      <c r="EP68" s="1220"/>
      <c r="EQ68" s="1220"/>
      <c r="ER68" s="1220"/>
      <c r="ES68" s="1220"/>
      <c r="ET68" s="1220"/>
      <c r="EU68" s="1220"/>
      <c r="EV68" s="1220"/>
      <c r="EW68" s="1220"/>
      <c r="EX68" s="1220"/>
      <c r="EY68" s="1220"/>
      <c r="EZ68" s="1220"/>
      <c r="FA68" s="1220"/>
      <c r="FB68" s="1220"/>
      <c r="FC68" s="1220"/>
      <c r="FD68" s="1220"/>
      <c r="FE68" s="1220"/>
      <c r="FF68" s="1220"/>
      <c r="FG68" s="1220"/>
      <c r="FH68" s="1220"/>
      <c r="FI68" s="1220"/>
      <c r="FJ68" s="1220"/>
      <c r="FK68" s="1220"/>
    </row>
    <row r="69" spans="1:167" ht="60">
      <c r="A69" s="1220"/>
      <c r="B69" s="1228"/>
      <c r="C69" s="947"/>
      <c r="D69" s="192"/>
      <c r="E69" s="192"/>
      <c r="F69" s="192"/>
      <c r="G69" s="192"/>
      <c r="H69" s="192"/>
      <c r="I69" s="192"/>
      <c r="J69" s="192"/>
      <c r="K69" s="192"/>
      <c r="L69" s="192"/>
      <c r="M69" s="192"/>
      <c r="N69" s="192"/>
      <c r="O69" s="192"/>
      <c r="P69" s="192"/>
      <c r="Q69" s="192"/>
      <c r="R69" s="1207"/>
      <c r="S69" s="1207"/>
      <c r="T69" s="1207"/>
      <c r="U69" s="1207"/>
      <c r="V69" s="1207"/>
      <c r="W69" s="1207"/>
      <c r="X69" s="1207"/>
      <c r="Y69" s="1207"/>
      <c r="Z69" s="1207"/>
      <c r="AA69" s="1207"/>
      <c r="AB69" s="1207"/>
      <c r="AC69" s="1207"/>
      <c r="AD69" s="1220"/>
      <c r="AE69" s="1220"/>
      <c r="AF69" s="1220"/>
      <c r="AG69" s="1220"/>
      <c r="AH69" s="1220"/>
      <c r="AI69" s="1220"/>
      <c r="AJ69" s="1220"/>
      <c r="AK69" s="1220"/>
      <c r="AL69" s="1220"/>
      <c r="AM69" s="1220"/>
      <c r="AN69" s="1220"/>
      <c r="AO69" s="1220"/>
      <c r="AP69" s="1220"/>
      <c r="AQ69" s="1220"/>
      <c r="AR69" s="1220"/>
      <c r="AS69" s="1220"/>
      <c r="AT69" s="1220"/>
      <c r="AU69" s="1220"/>
      <c r="AV69" s="1220"/>
      <c r="AW69" s="1220"/>
      <c r="AX69" s="1220"/>
      <c r="AY69" s="1220"/>
      <c r="AZ69" s="1220"/>
      <c r="BA69" s="1220"/>
      <c r="BB69" s="1220"/>
      <c r="BC69" s="1220"/>
      <c r="BD69" s="1220"/>
      <c r="BE69" s="1220"/>
      <c r="BF69" s="1220"/>
      <c r="BG69" s="1220"/>
      <c r="BH69" s="1220"/>
      <c r="BI69" s="1220"/>
      <c r="BJ69" s="1220"/>
      <c r="BK69" s="1220"/>
      <c r="BL69" s="1220"/>
      <c r="BM69" s="1220"/>
      <c r="BN69" s="1220"/>
      <c r="BO69" s="1220"/>
      <c r="BP69" s="1220"/>
      <c r="BQ69" s="1220"/>
      <c r="BR69" s="1220"/>
      <c r="BS69" s="1220"/>
      <c r="BT69" s="1220"/>
      <c r="BU69" s="1220"/>
      <c r="BV69" s="1220"/>
      <c r="BW69" s="1220"/>
      <c r="BX69" s="1220"/>
      <c r="BY69" s="1220"/>
      <c r="BZ69" s="1220"/>
      <c r="CA69" s="1220"/>
      <c r="CB69" s="1220"/>
      <c r="CC69" s="1228"/>
      <c r="CD69" s="1228"/>
      <c r="CE69" s="1228"/>
      <c r="CF69" s="1220"/>
      <c r="CG69" s="1220"/>
      <c r="CH69" s="1220"/>
      <c r="CI69" s="1220"/>
      <c r="CJ69" s="1220"/>
      <c r="CK69" s="1220"/>
      <c r="CL69" s="1220"/>
      <c r="CM69" s="1220"/>
      <c r="CN69" s="1220"/>
      <c r="CO69" s="1220"/>
      <c r="CP69" s="1220"/>
      <c r="CQ69" s="1220"/>
      <c r="CR69" s="1220"/>
      <c r="CS69" s="1220"/>
      <c r="CT69" s="1220"/>
      <c r="CU69" s="1220"/>
      <c r="CV69" s="1220"/>
      <c r="CW69" s="1220"/>
      <c r="CX69" s="1220"/>
      <c r="CY69" s="1220"/>
      <c r="CZ69" s="1220"/>
      <c r="DA69" s="1220"/>
      <c r="DB69" s="1220"/>
      <c r="DC69" s="1220"/>
      <c r="DD69" s="1220"/>
      <c r="DE69" s="1220"/>
      <c r="DF69" s="1220"/>
      <c r="DG69" s="1220"/>
      <c r="DH69" s="1220"/>
      <c r="DI69" s="1220"/>
      <c r="DJ69" s="1220"/>
      <c r="DK69" s="1220"/>
      <c r="DL69" s="1220"/>
      <c r="DM69" s="1220"/>
      <c r="DN69" s="1220"/>
      <c r="DO69" s="1220"/>
      <c r="DP69" s="1220"/>
      <c r="DQ69" s="1220"/>
      <c r="DR69" s="1220"/>
      <c r="DS69" s="1220"/>
      <c r="DT69" s="1220"/>
      <c r="DU69" s="1220"/>
      <c r="DV69" s="1220"/>
      <c r="DW69" s="1220"/>
      <c r="DX69" s="1220"/>
      <c r="DY69" s="1220"/>
      <c r="DZ69" s="1220"/>
      <c r="EA69" s="1220"/>
      <c r="EB69" s="1220"/>
      <c r="EC69" s="1220"/>
      <c r="ED69" s="1220"/>
      <c r="EE69" s="1220"/>
      <c r="EF69" s="1220"/>
      <c r="EG69" s="1220"/>
      <c r="EH69" s="1220"/>
      <c r="EI69" s="1220"/>
      <c r="EJ69" s="1220"/>
      <c r="EK69" s="1220"/>
      <c r="EL69" s="1220"/>
      <c r="EM69" s="1220"/>
      <c r="EN69" s="1220"/>
      <c r="EO69" s="1220"/>
      <c r="EP69" s="1220"/>
      <c r="EQ69" s="1220"/>
      <c r="ER69" s="1220"/>
      <c r="ES69" s="1220"/>
      <c r="ET69" s="1220"/>
      <c r="EU69" s="1220"/>
      <c r="EV69" s="1220"/>
      <c r="EW69" s="1220"/>
      <c r="EX69" s="1220"/>
      <c r="EY69" s="1220"/>
      <c r="EZ69" s="1220"/>
      <c r="FA69" s="1220"/>
      <c r="FB69" s="1220"/>
      <c r="FC69" s="1220"/>
      <c r="FD69" s="1220"/>
      <c r="FE69" s="1220"/>
      <c r="FF69" s="1220"/>
      <c r="FG69" s="1220"/>
      <c r="FH69" s="1220"/>
      <c r="FI69" s="1220"/>
      <c r="FJ69" s="1220"/>
      <c r="FK69" s="1220"/>
    </row>
    <row r="70" spans="1:167" ht="60">
      <c r="A70" s="1220"/>
      <c r="B70" s="1228"/>
      <c r="C70" s="947"/>
      <c r="D70" s="192"/>
      <c r="E70" s="192"/>
      <c r="F70" s="192"/>
      <c r="G70" s="192"/>
      <c r="H70" s="192"/>
      <c r="I70" s="192"/>
      <c r="J70" s="192"/>
      <c r="K70" s="192"/>
      <c r="L70" s="192"/>
      <c r="M70" s="192"/>
      <c r="N70" s="192"/>
      <c r="O70" s="192"/>
      <c r="P70" s="192"/>
      <c r="Q70" s="192"/>
      <c r="R70" s="1207"/>
      <c r="S70" s="1207"/>
      <c r="T70" s="1207"/>
      <c r="U70" s="1207"/>
      <c r="V70" s="1207"/>
      <c r="W70" s="1207"/>
      <c r="X70" s="1207"/>
      <c r="Y70" s="1207"/>
      <c r="Z70" s="1207"/>
      <c r="AA70" s="1207"/>
      <c r="AB70" s="1207"/>
      <c r="AC70" s="1207"/>
      <c r="AD70" s="1220"/>
      <c r="AE70" s="1220"/>
      <c r="AF70" s="1220"/>
      <c r="AG70" s="1220"/>
      <c r="AH70" s="1220"/>
      <c r="AI70" s="1220"/>
      <c r="AJ70" s="1220"/>
      <c r="AK70" s="1220"/>
      <c r="AL70" s="1220"/>
      <c r="AM70" s="1220"/>
      <c r="AN70" s="1220"/>
      <c r="AO70" s="1220"/>
      <c r="AP70" s="1220"/>
      <c r="AQ70" s="1220"/>
      <c r="AR70" s="1220"/>
      <c r="AS70" s="1220"/>
      <c r="AT70" s="1220"/>
      <c r="AU70" s="1220"/>
      <c r="AV70" s="1220"/>
      <c r="AW70" s="1220"/>
      <c r="AX70" s="1220"/>
      <c r="AY70" s="1220"/>
      <c r="AZ70" s="1220"/>
      <c r="BA70" s="1220"/>
      <c r="BB70" s="1220"/>
      <c r="BC70" s="1220"/>
      <c r="BD70" s="1220"/>
      <c r="BE70" s="1220"/>
      <c r="BF70" s="1220"/>
      <c r="BG70" s="1220"/>
      <c r="BH70" s="1220"/>
      <c r="BI70" s="1220"/>
      <c r="BJ70" s="1220"/>
      <c r="BK70" s="1220"/>
      <c r="BL70" s="1220"/>
      <c r="BM70" s="1220"/>
      <c r="BN70" s="1220"/>
      <c r="BO70" s="1220"/>
      <c r="BP70" s="1220"/>
      <c r="BQ70" s="1220"/>
      <c r="BR70" s="1220"/>
      <c r="BS70" s="1220"/>
      <c r="BT70" s="1220"/>
      <c r="BU70" s="1220"/>
      <c r="BV70" s="1220"/>
      <c r="BW70" s="1220"/>
      <c r="BX70" s="1220"/>
      <c r="BY70" s="1220"/>
      <c r="BZ70" s="1220"/>
      <c r="CA70" s="1220"/>
      <c r="CB70" s="1220"/>
      <c r="CC70" s="1228"/>
      <c r="CD70" s="1228"/>
      <c r="CE70" s="1228"/>
      <c r="CF70" s="1220"/>
      <c r="CG70" s="1220"/>
      <c r="CH70" s="1220"/>
      <c r="CI70" s="1220"/>
      <c r="CJ70" s="1220"/>
      <c r="CK70" s="1220"/>
      <c r="CL70" s="1220"/>
      <c r="CM70" s="1220"/>
      <c r="CN70" s="1220"/>
      <c r="CO70" s="1220"/>
      <c r="CP70" s="1220"/>
      <c r="CQ70" s="1220"/>
      <c r="CR70" s="1220"/>
      <c r="CS70" s="1220"/>
      <c r="CT70" s="1220"/>
      <c r="CU70" s="1220"/>
      <c r="CV70" s="1220"/>
      <c r="CW70" s="1220"/>
      <c r="CX70" s="1220"/>
      <c r="CY70" s="1220"/>
      <c r="CZ70" s="1220"/>
      <c r="DA70" s="1220"/>
      <c r="DB70" s="1220"/>
      <c r="DC70" s="1220"/>
      <c r="DD70" s="1220"/>
      <c r="DE70" s="1220"/>
      <c r="DF70" s="1220"/>
      <c r="DG70" s="1220"/>
      <c r="DH70" s="1220"/>
      <c r="DI70" s="1220"/>
      <c r="DJ70" s="1220"/>
      <c r="DK70" s="1220"/>
      <c r="DL70" s="1220"/>
      <c r="DM70" s="1220"/>
      <c r="DN70" s="1220"/>
      <c r="DO70" s="1220"/>
      <c r="DP70" s="1220"/>
      <c r="DQ70" s="1220"/>
      <c r="DR70" s="1220"/>
      <c r="DS70" s="1220"/>
      <c r="DT70" s="1220"/>
      <c r="DU70" s="1220"/>
      <c r="DV70" s="1220"/>
      <c r="DW70" s="1220"/>
      <c r="DX70" s="1220"/>
      <c r="DY70" s="1220"/>
      <c r="DZ70" s="1220"/>
      <c r="EA70" s="1220"/>
      <c r="EB70" s="1220"/>
      <c r="EC70" s="1220"/>
      <c r="ED70" s="1220"/>
      <c r="EE70" s="1220"/>
      <c r="EF70" s="1220"/>
      <c r="EG70" s="1220"/>
      <c r="EH70" s="1220"/>
      <c r="EI70" s="1220"/>
      <c r="EJ70" s="1220"/>
      <c r="EK70" s="1220"/>
      <c r="EL70" s="1220"/>
      <c r="EM70" s="1220"/>
      <c r="EN70" s="1220"/>
      <c r="EO70" s="1220"/>
      <c r="EP70" s="1220"/>
      <c r="EQ70" s="1220"/>
      <c r="ER70" s="1220"/>
      <c r="ES70" s="1220"/>
      <c r="ET70" s="1220"/>
      <c r="EU70" s="1220"/>
      <c r="EV70" s="1220"/>
      <c r="EW70" s="1220"/>
      <c r="EX70" s="1220"/>
      <c r="EY70" s="1220"/>
      <c r="EZ70" s="1220"/>
      <c r="FA70" s="1220"/>
      <c r="FB70" s="1220"/>
      <c r="FC70" s="1220"/>
      <c r="FD70" s="1220"/>
      <c r="FE70" s="1220"/>
      <c r="FF70" s="1220"/>
      <c r="FG70" s="1220"/>
      <c r="FH70" s="1220"/>
      <c r="FI70" s="1220"/>
      <c r="FJ70" s="1220"/>
      <c r="FK70" s="1220"/>
    </row>
    <row r="71" spans="1:167" ht="60">
      <c r="A71" s="1220"/>
      <c r="B71" s="1228"/>
      <c r="C71" s="947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192"/>
      <c r="O71" s="192"/>
      <c r="P71" s="192"/>
      <c r="Q71" s="192"/>
      <c r="R71" s="1207"/>
      <c r="S71" s="1207"/>
      <c r="T71" s="1207"/>
      <c r="U71" s="1207"/>
      <c r="V71" s="1207"/>
      <c r="W71" s="1207"/>
      <c r="X71" s="1207"/>
      <c r="Y71" s="1207"/>
      <c r="Z71" s="1207"/>
      <c r="AA71" s="1207"/>
      <c r="AB71" s="1207"/>
      <c r="AC71" s="1207"/>
      <c r="AD71" s="1220"/>
      <c r="AE71" s="1220"/>
      <c r="AF71" s="1220"/>
      <c r="AG71" s="1220"/>
      <c r="AH71" s="1220"/>
      <c r="AI71" s="1220"/>
      <c r="AJ71" s="1220"/>
      <c r="AK71" s="1220"/>
      <c r="AL71" s="1220"/>
      <c r="AM71" s="1220"/>
      <c r="AN71" s="1220"/>
      <c r="AO71" s="1220"/>
      <c r="AP71" s="1220"/>
      <c r="AQ71" s="1220"/>
      <c r="AR71" s="1220"/>
      <c r="AS71" s="1220"/>
      <c r="AT71" s="1220"/>
      <c r="AU71" s="1220"/>
      <c r="AV71" s="1220"/>
      <c r="AW71" s="1220"/>
      <c r="AX71" s="1220"/>
      <c r="AY71" s="1220"/>
      <c r="AZ71" s="1220"/>
      <c r="BA71" s="1220"/>
      <c r="BB71" s="1220"/>
      <c r="BC71" s="1220"/>
      <c r="BD71" s="1220"/>
      <c r="BE71" s="1220"/>
      <c r="BF71" s="1220"/>
      <c r="BG71" s="1220"/>
      <c r="BH71" s="1220"/>
      <c r="BI71" s="1220"/>
      <c r="BJ71" s="1220"/>
      <c r="BK71" s="1220"/>
      <c r="BL71" s="1220"/>
      <c r="BM71" s="1220"/>
      <c r="BN71" s="1220"/>
      <c r="BO71" s="1220"/>
      <c r="BP71" s="1220"/>
      <c r="BQ71" s="1220"/>
      <c r="BR71" s="1220"/>
      <c r="BS71" s="1220"/>
      <c r="BT71" s="1220"/>
      <c r="BU71" s="1220"/>
      <c r="BV71" s="1220"/>
      <c r="BW71" s="1220"/>
      <c r="BX71" s="1220"/>
      <c r="BY71" s="1220"/>
      <c r="BZ71" s="1220"/>
      <c r="CA71" s="1220"/>
      <c r="CB71" s="1220"/>
      <c r="CC71" s="1228"/>
      <c r="CD71" s="1228"/>
      <c r="CE71" s="1228"/>
      <c r="CF71" s="1220"/>
      <c r="CG71" s="1220"/>
      <c r="CH71" s="1220"/>
      <c r="CI71" s="1220"/>
      <c r="CJ71" s="1220"/>
      <c r="CK71" s="1220"/>
      <c r="CL71" s="1220"/>
      <c r="CM71" s="1220"/>
      <c r="CN71" s="1220"/>
      <c r="CO71" s="1220"/>
      <c r="CP71" s="1220"/>
      <c r="CQ71" s="1220"/>
      <c r="CR71" s="1220"/>
      <c r="CS71" s="1220"/>
      <c r="CT71" s="1220"/>
      <c r="CU71" s="1220"/>
      <c r="CV71" s="1220"/>
      <c r="CW71" s="1220"/>
      <c r="CX71" s="1220"/>
      <c r="CY71" s="1220"/>
      <c r="CZ71" s="1220"/>
      <c r="DA71" s="1220"/>
      <c r="DB71" s="1220"/>
      <c r="DC71" s="1220"/>
      <c r="DD71" s="1220"/>
      <c r="DE71" s="1220"/>
      <c r="DF71" s="1220"/>
      <c r="DG71" s="1220"/>
      <c r="DH71" s="1220"/>
      <c r="DI71" s="1220"/>
      <c r="DJ71" s="1220"/>
      <c r="DK71" s="1220"/>
      <c r="DL71" s="1220"/>
      <c r="DM71" s="1220"/>
      <c r="DN71" s="1220"/>
      <c r="DO71" s="1220"/>
      <c r="DP71" s="1220"/>
      <c r="DQ71" s="1220"/>
      <c r="DR71" s="1220"/>
      <c r="DS71" s="1220"/>
      <c r="DT71" s="1220"/>
      <c r="DU71" s="1220"/>
      <c r="DV71" s="1220"/>
      <c r="DW71" s="1220"/>
      <c r="DX71" s="1220"/>
      <c r="DY71" s="1220"/>
      <c r="DZ71" s="1220"/>
      <c r="EA71" s="1220"/>
      <c r="EB71" s="1220"/>
      <c r="EC71" s="1220"/>
      <c r="ED71" s="1220"/>
      <c r="EE71" s="1220"/>
      <c r="EF71" s="1220"/>
      <c r="EG71" s="1220"/>
      <c r="EH71" s="1220"/>
      <c r="EI71" s="1220"/>
      <c r="EJ71" s="1220"/>
      <c r="EK71" s="1220"/>
      <c r="EL71" s="1220"/>
      <c r="EM71" s="1220"/>
      <c r="EN71" s="1220"/>
      <c r="EO71" s="1220"/>
      <c r="EP71" s="1220"/>
      <c r="EQ71" s="1220"/>
      <c r="ER71" s="1220"/>
      <c r="ES71" s="1220"/>
      <c r="ET71" s="1220"/>
      <c r="EU71" s="1220"/>
      <c r="EV71" s="1220"/>
      <c r="EW71" s="1220"/>
      <c r="EX71" s="1220"/>
      <c r="EY71" s="1220"/>
      <c r="EZ71" s="1220"/>
      <c r="FA71" s="1220"/>
      <c r="FB71" s="1220"/>
      <c r="FC71" s="1220"/>
      <c r="FD71" s="1220"/>
      <c r="FE71" s="1220"/>
      <c r="FF71" s="1220"/>
      <c r="FG71" s="1220"/>
      <c r="FH71" s="1220"/>
      <c r="FI71" s="1220"/>
      <c r="FJ71" s="1220"/>
      <c r="FK71" s="1220"/>
    </row>
    <row r="72" spans="1:167" ht="25.5">
      <c r="A72" s="1220"/>
      <c r="B72" s="1228"/>
      <c r="C72" s="1220"/>
      <c r="D72" s="192"/>
      <c r="E72" s="192"/>
      <c r="F72" s="192"/>
      <c r="G72" s="192"/>
      <c r="H72" s="192"/>
      <c r="I72" s="192"/>
      <c r="J72" s="192"/>
      <c r="K72" s="192"/>
      <c r="L72" s="192"/>
      <c r="M72" s="192"/>
      <c r="N72" s="192"/>
      <c r="O72" s="192"/>
      <c r="P72" s="192"/>
      <c r="Q72" s="192"/>
      <c r="R72" s="192"/>
      <c r="S72" s="192"/>
      <c r="T72" s="192"/>
      <c r="U72" s="192"/>
      <c r="V72" s="192"/>
      <c r="W72" s="192"/>
      <c r="X72" s="1220"/>
      <c r="Y72" s="1220"/>
      <c r="Z72" s="1220"/>
      <c r="AA72" s="1220"/>
      <c r="AB72" s="1220"/>
      <c r="AC72" s="1220"/>
      <c r="AD72" s="1220"/>
      <c r="AE72" s="1220"/>
      <c r="AF72" s="1220"/>
      <c r="AG72" s="1220"/>
      <c r="AH72" s="1220"/>
      <c r="AI72" s="1220"/>
      <c r="AJ72" s="1220"/>
      <c r="AK72" s="1220"/>
      <c r="AL72" s="1220"/>
      <c r="AM72" s="1220"/>
      <c r="AN72" s="1220"/>
      <c r="AO72" s="1220"/>
      <c r="AP72" s="1220"/>
      <c r="AQ72" s="1220"/>
      <c r="AR72" s="1220"/>
      <c r="AS72" s="1220"/>
      <c r="AT72" s="1220"/>
      <c r="AU72" s="1220"/>
      <c r="AV72" s="1220"/>
      <c r="AW72" s="1220"/>
      <c r="AX72" s="1220"/>
      <c r="AY72" s="1220"/>
      <c r="AZ72" s="1220"/>
      <c r="BA72" s="1220"/>
      <c r="BB72" s="1220"/>
      <c r="BC72" s="1220"/>
      <c r="BD72" s="1220"/>
      <c r="BE72" s="1220"/>
      <c r="BF72" s="1220"/>
      <c r="BG72" s="1220"/>
      <c r="BH72" s="1220"/>
      <c r="BI72" s="1220"/>
      <c r="BJ72" s="1220"/>
      <c r="BK72" s="1220"/>
      <c r="BL72" s="1220"/>
      <c r="BM72" s="1220"/>
      <c r="BN72" s="1220"/>
      <c r="BO72" s="1220"/>
      <c r="BP72" s="1220"/>
      <c r="BQ72" s="1220"/>
      <c r="BR72" s="1220"/>
      <c r="BS72" s="1220"/>
      <c r="BT72" s="1220"/>
      <c r="BU72" s="1220"/>
      <c r="BV72" s="1220"/>
      <c r="BW72" s="1220"/>
      <c r="BX72" s="1220"/>
      <c r="BY72" s="1220"/>
      <c r="BZ72" s="1220"/>
      <c r="CA72" s="1220"/>
      <c r="CB72" s="1220"/>
      <c r="CC72" s="1228"/>
      <c r="CD72" s="1228"/>
      <c r="CE72" s="1228"/>
      <c r="CF72" s="1220"/>
      <c r="CG72" s="1220"/>
      <c r="CH72" s="1220"/>
      <c r="CI72" s="1220"/>
      <c r="CJ72" s="1220"/>
      <c r="CK72" s="1220"/>
      <c r="CL72" s="1220"/>
      <c r="CM72" s="1220"/>
      <c r="CN72" s="1220"/>
      <c r="CO72" s="1220"/>
      <c r="CP72" s="1220"/>
      <c r="CQ72" s="1220"/>
      <c r="CR72" s="1220"/>
      <c r="CS72" s="1220"/>
      <c r="CT72" s="1220"/>
      <c r="CU72" s="1220"/>
      <c r="CV72" s="1220"/>
      <c r="CW72" s="1220"/>
      <c r="CX72" s="1220"/>
      <c r="CY72" s="1220"/>
      <c r="CZ72" s="1220"/>
      <c r="DA72" s="1220"/>
      <c r="DB72" s="1220"/>
      <c r="DC72" s="1220"/>
      <c r="DD72" s="1220"/>
      <c r="DE72" s="1220"/>
      <c r="DF72" s="1220"/>
      <c r="DG72" s="1220"/>
      <c r="DH72" s="1220"/>
      <c r="DI72" s="1220"/>
      <c r="DJ72" s="1220"/>
      <c r="DK72" s="1220"/>
      <c r="DL72" s="1220"/>
      <c r="DM72" s="1220"/>
      <c r="DN72" s="1220"/>
      <c r="DO72" s="1220"/>
      <c r="DP72" s="1220"/>
      <c r="DQ72" s="1220"/>
      <c r="DR72" s="1220"/>
      <c r="DS72" s="1220"/>
      <c r="DT72" s="1220"/>
      <c r="DU72" s="1220"/>
      <c r="DV72" s="1220"/>
      <c r="DW72" s="1220"/>
      <c r="DX72" s="1220"/>
      <c r="DY72" s="1220"/>
      <c r="DZ72" s="1220"/>
      <c r="EA72" s="1220"/>
      <c r="EB72" s="1220"/>
      <c r="EC72" s="1220"/>
      <c r="ED72" s="1220"/>
      <c r="EE72" s="1220"/>
      <c r="EF72" s="1220"/>
      <c r="EG72" s="1220"/>
      <c r="EH72" s="1220"/>
      <c r="EI72" s="1220"/>
      <c r="EJ72" s="1220"/>
      <c r="EK72" s="1220"/>
      <c r="EL72" s="1220"/>
      <c r="EM72" s="1220"/>
      <c r="EN72" s="1220"/>
      <c r="EO72" s="1220"/>
      <c r="EP72" s="1220"/>
      <c r="EQ72" s="1220"/>
      <c r="ER72" s="1220"/>
      <c r="ES72" s="1220"/>
      <c r="ET72" s="1220"/>
      <c r="EU72" s="1220"/>
      <c r="EV72" s="1220"/>
      <c r="EW72" s="1220"/>
      <c r="EX72" s="1220"/>
      <c r="EY72" s="1220"/>
      <c r="EZ72" s="1220"/>
      <c r="FA72" s="1220"/>
      <c r="FB72" s="1220"/>
      <c r="FC72" s="1220"/>
      <c r="FD72" s="1220"/>
      <c r="FE72" s="1220"/>
      <c r="FF72" s="1220"/>
      <c r="FG72" s="1220"/>
      <c r="FH72" s="1220"/>
      <c r="FI72" s="1220"/>
      <c r="FJ72" s="1220"/>
      <c r="FK72" s="1220"/>
    </row>
    <row r="73" spans="1:167">
      <c r="A73" s="1220"/>
      <c r="B73" s="1228"/>
      <c r="C73" s="1220"/>
      <c r="D73" s="1220"/>
      <c r="E73" s="1220"/>
      <c r="F73" s="1220"/>
      <c r="G73" s="1220"/>
      <c r="H73" s="1220"/>
      <c r="I73" s="1220"/>
      <c r="J73" s="1220"/>
      <c r="K73" s="1220"/>
      <c r="L73" s="1220"/>
      <c r="M73" s="1220"/>
      <c r="N73" s="1220"/>
      <c r="O73" s="1220"/>
      <c r="P73" s="1220"/>
      <c r="Q73" s="1220"/>
      <c r="R73" s="1220"/>
      <c r="S73" s="1220"/>
      <c r="T73" s="1220"/>
      <c r="U73" s="1220"/>
      <c r="V73" s="1220"/>
      <c r="W73" s="1220"/>
      <c r="X73" s="1220"/>
      <c r="Y73" s="1220"/>
      <c r="Z73" s="1220"/>
      <c r="AA73" s="1220"/>
      <c r="AB73" s="1220"/>
      <c r="AC73" s="1220"/>
      <c r="AD73" s="1220"/>
      <c r="AE73" s="1220"/>
      <c r="AF73" s="1220"/>
      <c r="AG73" s="1220"/>
      <c r="AH73" s="1220"/>
      <c r="AI73" s="1220"/>
      <c r="AJ73" s="1220"/>
      <c r="AK73" s="1220"/>
      <c r="AL73" s="1220"/>
      <c r="AM73" s="1220"/>
      <c r="AN73" s="1220"/>
      <c r="AO73" s="1220"/>
      <c r="AP73" s="1220"/>
      <c r="AQ73" s="1220"/>
      <c r="AR73" s="1220"/>
      <c r="AS73" s="1220"/>
      <c r="AT73" s="1220"/>
      <c r="AU73" s="1220"/>
      <c r="AV73" s="1220"/>
      <c r="AW73" s="1220"/>
      <c r="AX73" s="1220"/>
      <c r="AY73" s="1220"/>
      <c r="AZ73" s="1220"/>
      <c r="BA73" s="1220"/>
      <c r="BB73" s="1220"/>
      <c r="BC73" s="1220"/>
      <c r="BD73" s="1220"/>
      <c r="BE73" s="1220"/>
      <c r="BF73" s="1220"/>
      <c r="BG73" s="1220"/>
      <c r="BH73" s="1220"/>
      <c r="BI73" s="1220"/>
      <c r="BJ73" s="1220"/>
      <c r="BK73" s="1220"/>
      <c r="BL73" s="1220"/>
      <c r="BM73" s="1220"/>
      <c r="BN73" s="1220"/>
      <c r="BO73" s="1220"/>
      <c r="BP73" s="1220"/>
      <c r="BQ73" s="1220"/>
      <c r="BR73" s="1220"/>
      <c r="BS73" s="1220"/>
      <c r="BT73" s="1220"/>
      <c r="BU73" s="1220"/>
      <c r="BV73" s="1220"/>
      <c r="BW73" s="1220"/>
      <c r="BX73" s="1220"/>
      <c r="BY73" s="1220"/>
      <c r="BZ73" s="1220"/>
      <c r="CA73" s="1220"/>
      <c r="CB73" s="1220"/>
      <c r="CC73" s="1228"/>
      <c r="CD73" s="1228"/>
      <c r="CE73" s="1228"/>
      <c r="CF73" s="1220"/>
      <c r="CG73" s="1220"/>
      <c r="CH73" s="1220"/>
      <c r="CI73" s="1220"/>
      <c r="CJ73" s="1220"/>
      <c r="CK73" s="1220"/>
      <c r="CL73" s="1220"/>
      <c r="CM73" s="1220"/>
      <c r="CN73" s="1220"/>
      <c r="CO73" s="1220"/>
      <c r="CP73" s="1220"/>
      <c r="CQ73" s="1220"/>
      <c r="CR73" s="1220"/>
      <c r="CS73" s="1220"/>
      <c r="CT73" s="1220"/>
      <c r="CU73" s="1220"/>
      <c r="CV73" s="1220"/>
      <c r="CW73" s="1220"/>
      <c r="CX73" s="1220"/>
      <c r="CY73" s="1220"/>
      <c r="CZ73" s="1220"/>
      <c r="DA73" s="1220"/>
      <c r="DB73" s="1220"/>
      <c r="DC73" s="1220"/>
      <c r="DD73" s="1220"/>
      <c r="DE73" s="1220"/>
      <c r="DF73" s="1220"/>
      <c r="DG73" s="1220"/>
      <c r="DH73" s="1220"/>
      <c r="DI73" s="1220"/>
      <c r="DJ73" s="1220"/>
      <c r="DK73" s="1220"/>
      <c r="DL73" s="1220"/>
      <c r="DM73" s="1220"/>
      <c r="DN73" s="1220"/>
      <c r="DO73" s="1220"/>
      <c r="DP73" s="1220"/>
      <c r="DQ73" s="1220"/>
      <c r="DR73" s="1220"/>
      <c r="DS73" s="1220"/>
      <c r="DT73" s="1220"/>
      <c r="DU73" s="1220"/>
      <c r="DV73" s="1220"/>
      <c r="DW73" s="1220"/>
      <c r="DX73" s="1220"/>
      <c r="DY73" s="1220"/>
      <c r="DZ73" s="1220"/>
      <c r="EA73" s="1220"/>
      <c r="EB73" s="1220"/>
      <c r="EC73" s="1220"/>
      <c r="ED73" s="1220"/>
      <c r="EE73" s="1220"/>
      <c r="EF73" s="1220"/>
      <c r="EG73" s="1220"/>
      <c r="EH73" s="1220"/>
      <c r="EI73" s="1220"/>
      <c r="EJ73" s="1220"/>
      <c r="EK73" s="1220"/>
      <c r="EL73" s="1220"/>
      <c r="EM73" s="1220"/>
      <c r="EN73" s="1220"/>
      <c r="EO73" s="1220"/>
      <c r="EP73" s="1220"/>
      <c r="EQ73" s="1220"/>
      <c r="ER73" s="1220"/>
      <c r="ES73" s="1220"/>
      <c r="ET73" s="1220"/>
      <c r="EU73" s="1220"/>
      <c r="EV73" s="1220"/>
      <c r="EW73" s="1220"/>
      <c r="EX73" s="1220"/>
      <c r="EY73" s="1220"/>
      <c r="EZ73" s="1220"/>
      <c r="FA73" s="1220"/>
      <c r="FB73" s="1220"/>
      <c r="FC73" s="1220"/>
      <c r="FD73" s="1220"/>
      <c r="FE73" s="1220"/>
      <c r="FF73" s="1220"/>
      <c r="FG73" s="1220"/>
      <c r="FH73" s="1220"/>
      <c r="FI73" s="1220"/>
      <c r="FJ73" s="1220"/>
      <c r="FK73" s="1220"/>
    </row>
    <row r="74" spans="1:167">
      <c r="A74" s="1220"/>
      <c r="B74" s="1228"/>
      <c r="C74" s="1220"/>
      <c r="D74" s="1220"/>
      <c r="E74" s="1220"/>
      <c r="F74" s="1220"/>
      <c r="G74" s="1220"/>
      <c r="H74" s="1220"/>
      <c r="I74" s="1220"/>
      <c r="J74" s="1220"/>
      <c r="K74" s="1220"/>
      <c r="L74" s="1220"/>
      <c r="M74" s="1220"/>
      <c r="N74" s="1220"/>
      <c r="O74" s="1220"/>
      <c r="P74" s="1220"/>
      <c r="Q74" s="1220"/>
      <c r="R74" s="1220"/>
      <c r="S74" s="1220"/>
      <c r="T74" s="1220"/>
      <c r="U74" s="1220"/>
      <c r="V74" s="1220"/>
      <c r="W74" s="1220"/>
      <c r="X74" s="1220"/>
      <c r="Y74" s="1220"/>
      <c r="Z74" s="1220"/>
      <c r="AA74" s="1220"/>
      <c r="AB74" s="1220"/>
      <c r="AC74" s="1220"/>
      <c r="AD74" s="1220"/>
      <c r="AE74" s="1220"/>
      <c r="AF74" s="1220"/>
      <c r="AG74" s="1220"/>
      <c r="AH74" s="1220"/>
      <c r="AI74" s="1220"/>
      <c r="AJ74" s="1220"/>
      <c r="AK74" s="1220"/>
      <c r="AL74" s="1220"/>
      <c r="AM74" s="1220"/>
      <c r="AN74" s="1220"/>
      <c r="AO74" s="1220"/>
      <c r="AP74" s="1220"/>
      <c r="AQ74" s="1220"/>
      <c r="AR74" s="1220"/>
      <c r="AS74" s="1220"/>
      <c r="AT74" s="1220"/>
      <c r="AU74" s="1220"/>
      <c r="AV74" s="1220"/>
      <c r="AW74" s="1220"/>
      <c r="AX74" s="1220"/>
      <c r="AY74" s="1220"/>
      <c r="AZ74" s="1220"/>
      <c r="BA74" s="1220"/>
      <c r="BB74" s="1220"/>
      <c r="BC74" s="1220"/>
      <c r="BD74" s="1220"/>
      <c r="BE74" s="1220"/>
      <c r="BF74" s="1220"/>
      <c r="BG74" s="1220"/>
      <c r="BH74" s="1220"/>
      <c r="BI74" s="1220"/>
      <c r="BJ74" s="1220"/>
      <c r="BK74" s="1220"/>
      <c r="BL74" s="1220"/>
      <c r="BM74" s="1220"/>
      <c r="BN74" s="1220"/>
      <c r="BO74" s="1220"/>
      <c r="BP74" s="1220"/>
      <c r="BQ74" s="1220"/>
      <c r="BR74" s="1220"/>
      <c r="BS74" s="1220"/>
      <c r="BT74" s="1220"/>
      <c r="BU74" s="1220"/>
      <c r="BV74" s="1220"/>
      <c r="BW74" s="1220"/>
      <c r="BX74" s="1220"/>
      <c r="BY74" s="1220"/>
      <c r="BZ74" s="1220"/>
      <c r="CA74" s="1220"/>
      <c r="CB74" s="1220"/>
      <c r="CC74" s="1228"/>
      <c r="CD74" s="1228"/>
      <c r="CE74" s="1228"/>
      <c r="CF74" s="1220"/>
      <c r="CG74" s="1220"/>
      <c r="CH74" s="1220"/>
      <c r="CI74" s="1220"/>
      <c r="CJ74" s="1220"/>
      <c r="CK74" s="1220"/>
      <c r="CL74" s="1220"/>
      <c r="CM74" s="1220"/>
      <c r="CN74" s="1220"/>
      <c r="CO74" s="1220"/>
      <c r="CP74" s="1220"/>
      <c r="CQ74" s="1220"/>
      <c r="CR74" s="1220"/>
      <c r="CS74" s="1220"/>
      <c r="CT74" s="1220"/>
      <c r="CU74" s="1220"/>
      <c r="CV74" s="1220"/>
      <c r="CW74" s="1220"/>
      <c r="CX74" s="1220"/>
      <c r="CY74" s="1220"/>
      <c r="CZ74" s="1220"/>
      <c r="DA74" s="1220"/>
      <c r="DB74" s="1220"/>
      <c r="DC74" s="1220"/>
      <c r="DD74" s="1220"/>
      <c r="DE74" s="1220"/>
      <c r="DF74" s="1220"/>
      <c r="DG74" s="1220"/>
      <c r="DH74" s="1220"/>
      <c r="DI74" s="1220"/>
      <c r="DJ74" s="1220"/>
      <c r="DK74" s="1220"/>
      <c r="DL74" s="1220"/>
      <c r="DM74" s="1220"/>
      <c r="DN74" s="1220"/>
      <c r="DO74" s="1220"/>
      <c r="DP74" s="1220"/>
      <c r="DQ74" s="1220"/>
      <c r="DR74" s="1220"/>
      <c r="DS74" s="1220"/>
      <c r="DT74" s="1220"/>
      <c r="DU74" s="1220"/>
      <c r="DV74" s="1220"/>
      <c r="DW74" s="1220"/>
      <c r="DX74" s="1220"/>
      <c r="DY74" s="1220"/>
      <c r="DZ74" s="1220"/>
      <c r="EA74" s="1220"/>
      <c r="EB74" s="1220"/>
      <c r="EC74" s="1220"/>
      <c r="ED74" s="1220"/>
      <c r="EE74" s="1220"/>
      <c r="EF74" s="1220"/>
      <c r="EG74" s="1220"/>
      <c r="EH74" s="1220"/>
      <c r="EI74" s="1220"/>
      <c r="EJ74" s="1220"/>
      <c r="EK74" s="1220"/>
      <c r="EL74" s="1220"/>
      <c r="EM74" s="1220"/>
      <c r="EN74" s="1220"/>
      <c r="EO74" s="1220"/>
      <c r="EP74" s="1220"/>
      <c r="EQ74" s="1220"/>
      <c r="ER74" s="1220"/>
      <c r="ES74" s="1220"/>
      <c r="ET74" s="1220"/>
      <c r="EU74" s="1220"/>
      <c r="EV74" s="1220"/>
      <c r="EW74" s="1220"/>
      <c r="EX74" s="1220"/>
      <c r="EY74" s="1220"/>
      <c r="EZ74" s="1220"/>
      <c r="FA74" s="1220"/>
      <c r="FB74" s="1220"/>
      <c r="FC74" s="1220"/>
      <c r="FD74" s="1220"/>
      <c r="FE74" s="1220"/>
      <c r="FF74" s="1220"/>
      <c r="FG74" s="1220"/>
      <c r="FH74" s="1220"/>
      <c r="FI74" s="1220"/>
      <c r="FJ74" s="1220"/>
      <c r="FK74" s="1220"/>
    </row>
    <row r="75" spans="1:167">
      <c r="A75" s="1220"/>
      <c r="B75" s="1228"/>
      <c r="C75" s="1220"/>
      <c r="D75" s="1220"/>
      <c r="E75" s="1220"/>
      <c r="F75" s="1220"/>
      <c r="G75" s="1220"/>
      <c r="H75" s="1220"/>
      <c r="I75" s="1220"/>
      <c r="J75" s="1220"/>
      <c r="K75" s="1220"/>
      <c r="L75" s="1220"/>
      <c r="M75" s="1220"/>
      <c r="N75" s="1220"/>
      <c r="O75" s="1220"/>
      <c r="P75" s="1220"/>
      <c r="Q75" s="1220"/>
      <c r="R75" s="1220"/>
      <c r="S75" s="1220"/>
      <c r="T75" s="1220"/>
      <c r="U75" s="1220"/>
      <c r="V75" s="1220"/>
      <c r="W75" s="1220"/>
      <c r="X75" s="1220"/>
      <c r="Y75" s="1220"/>
      <c r="Z75" s="1220"/>
      <c r="AA75" s="1220"/>
      <c r="AB75" s="1220"/>
      <c r="AC75" s="1220"/>
      <c r="AD75" s="1220"/>
      <c r="AE75" s="1220"/>
      <c r="AF75" s="1220"/>
      <c r="AG75" s="1220"/>
      <c r="AH75" s="1220"/>
      <c r="AI75" s="1220"/>
      <c r="AJ75" s="1220"/>
      <c r="AK75" s="1220"/>
      <c r="AL75" s="1220"/>
      <c r="AM75" s="1220"/>
      <c r="AN75" s="1220"/>
      <c r="AO75" s="1220"/>
      <c r="AP75" s="1220"/>
      <c r="AQ75" s="1220"/>
      <c r="AR75" s="1220"/>
      <c r="AS75" s="1220"/>
      <c r="AT75" s="1220"/>
      <c r="AU75" s="1220"/>
      <c r="AV75" s="1220"/>
      <c r="AW75" s="1220"/>
      <c r="AX75" s="1220"/>
      <c r="AY75" s="1220"/>
      <c r="AZ75" s="1220"/>
      <c r="BA75" s="1220"/>
      <c r="BB75" s="1220"/>
      <c r="BC75" s="1220"/>
      <c r="BD75" s="1220"/>
      <c r="BE75" s="1220"/>
      <c r="BF75" s="1220"/>
      <c r="BG75" s="1220"/>
      <c r="BH75" s="1220"/>
      <c r="BI75" s="1220"/>
      <c r="BJ75" s="1220"/>
      <c r="BK75" s="1220"/>
      <c r="BL75" s="1220"/>
      <c r="BM75" s="1220"/>
      <c r="BN75" s="1220"/>
      <c r="BO75" s="1220"/>
      <c r="BP75" s="1220"/>
      <c r="BQ75" s="1220"/>
      <c r="BR75" s="1220"/>
      <c r="BS75" s="1220"/>
      <c r="BT75" s="1220"/>
      <c r="BU75" s="1220"/>
      <c r="BV75" s="1220"/>
      <c r="BW75" s="1220"/>
      <c r="BX75" s="1220"/>
      <c r="BY75" s="1220"/>
      <c r="BZ75" s="1220"/>
      <c r="CA75" s="1220"/>
      <c r="CB75" s="1220"/>
      <c r="CC75" s="1228"/>
      <c r="CD75" s="1228"/>
      <c r="CE75" s="1228"/>
      <c r="CF75" s="1220"/>
      <c r="CG75" s="1220"/>
      <c r="CH75" s="1220"/>
      <c r="CI75" s="1220"/>
      <c r="CJ75" s="1220"/>
      <c r="CK75" s="1220"/>
      <c r="CL75" s="1220"/>
      <c r="CM75" s="1220"/>
      <c r="CN75" s="1220"/>
      <c r="CO75" s="1220"/>
      <c r="CP75" s="1220"/>
      <c r="CQ75" s="1220"/>
      <c r="CR75" s="1220"/>
      <c r="CS75" s="1220"/>
      <c r="CT75" s="1220"/>
      <c r="CU75" s="1220"/>
      <c r="CV75" s="1220"/>
      <c r="CW75" s="1220"/>
      <c r="CX75" s="1220"/>
      <c r="CY75" s="1220"/>
      <c r="CZ75" s="1220"/>
      <c r="DA75" s="1220"/>
      <c r="DB75" s="1220"/>
      <c r="DC75" s="1220"/>
      <c r="DD75" s="1220"/>
      <c r="DE75" s="1220"/>
      <c r="DF75" s="1220"/>
      <c r="DG75" s="1220"/>
      <c r="DH75" s="1220"/>
      <c r="DI75" s="1220"/>
      <c r="DJ75" s="1220"/>
      <c r="DK75" s="1220"/>
      <c r="DL75" s="1220"/>
      <c r="DM75" s="1220"/>
      <c r="DN75" s="1220"/>
      <c r="DO75" s="1220"/>
      <c r="DP75" s="1220"/>
      <c r="DQ75" s="1220"/>
      <c r="DR75" s="1220"/>
      <c r="DS75" s="1220"/>
      <c r="DT75" s="1220"/>
      <c r="DU75" s="1220"/>
      <c r="DV75" s="1220"/>
      <c r="DW75" s="1220"/>
      <c r="DX75" s="1220"/>
      <c r="DY75" s="1220"/>
      <c r="DZ75" s="1220"/>
      <c r="EA75" s="1220"/>
      <c r="EB75" s="1220"/>
      <c r="EC75" s="1220"/>
      <c r="ED75" s="1220"/>
      <c r="EE75" s="1220"/>
      <c r="EF75" s="1220"/>
      <c r="EG75" s="1220"/>
      <c r="EH75" s="1220"/>
      <c r="EI75" s="1220"/>
      <c r="EJ75" s="1220"/>
      <c r="EK75" s="1220"/>
      <c r="EL75" s="1220"/>
      <c r="EM75" s="1220"/>
      <c r="EN75" s="1220"/>
      <c r="EO75" s="1220"/>
      <c r="EP75" s="1220"/>
      <c r="EQ75" s="1220"/>
      <c r="ER75" s="1220"/>
      <c r="ES75" s="1220"/>
      <c r="ET75" s="1220"/>
      <c r="EU75" s="1220"/>
      <c r="EV75" s="1220"/>
      <c r="EW75" s="1220"/>
      <c r="EX75" s="1220"/>
      <c r="EY75" s="1220"/>
      <c r="EZ75" s="1220"/>
      <c r="FA75" s="1220"/>
      <c r="FB75" s="1220"/>
      <c r="FC75" s="1220"/>
      <c r="FD75" s="1220"/>
      <c r="FE75" s="1220"/>
      <c r="FF75" s="1220"/>
      <c r="FG75" s="1220"/>
      <c r="FH75" s="1220"/>
      <c r="FI75" s="1220"/>
      <c r="FJ75" s="1220"/>
      <c r="FK75" s="1220"/>
    </row>
    <row r="76" spans="1:167">
      <c r="A76" s="1220"/>
      <c r="B76" s="1228"/>
      <c r="C76" s="1220"/>
      <c r="D76" s="1220"/>
      <c r="E76" s="1220"/>
      <c r="F76" s="1220"/>
      <c r="G76" s="1220"/>
      <c r="H76" s="1220"/>
      <c r="I76" s="1220"/>
      <c r="J76" s="1220"/>
      <c r="K76" s="1220"/>
      <c r="L76" s="1220"/>
      <c r="M76" s="1220"/>
      <c r="N76" s="1220"/>
      <c r="O76" s="1220"/>
      <c r="P76" s="1220"/>
      <c r="Q76" s="1220"/>
      <c r="R76" s="1220"/>
      <c r="S76" s="1220"/>
      <c r="T76" s="1220"/>
      <c r="U76" s="1220"/>
      <c r="V76" s="1220"/>
      <c r="W76" s="1220"/>
      <c r="X76" s="1220"/>
      <c r="Y76" s="1220"/>
      <c r="Z76" s="1220"/>
      <c r="AA76" s="1220"/>
      <c r="AB76" s="1220"/>
      <c r="AC76" s="1220"/>
      <c r="AD76" s="1220"/>
      <c r="AE76" s="1220"/>
      <c r="AF76" s="1220"/>
      <c r="AG76" s="1220"/>
      <c r="AH76" s="1220"/>
      <c r="AI76" s="1220"/>
      <c r="AJ76" s="1220"/>
      <c r="AK76" s="1220"/>
      <c r="AL76" s="1220"/>
      <c r="AM76" s="1220"/>
      <c r="AN76" s="1220"/>
      <c r="AO76" s="1220"/>
      <c r="AP76" s="1220"/>
      <c r="AQ76" s="1220"/>
      <c r="AR76" s="1220"/>
      <c r="AS76" s="1220"/>
      <c r="AT76" s="1220"/>
      <c r="AU76" s="1220"/>
      <c r="AV76" s="1220"/>
      <c r="AW76" s="1220"/>
      <c r="AX76" s="1220"/>
      <c r="AY76" s="1220"/>
      <c r="AZ76" s="1220"/>
      <c r="BA76" s="1220"/>
      <c r="BB76" s="1220"/>
      <c r="BC76" s="1220"/>
      <c r="BD76" s="1220"/>
      <c r="BE76" s="1220"/>
      <c r="BF76" s="1220"/>
      <c r="BG76" s="1220"/>
      <c r="BH76" s="1220"/>
      <c r="BI76" s="1220"/>
      <c r="BJ76" s="1220"/>
      <c r="BK76" s="1220"/>
      <c r="BL76" s="1220"/>
      <c r="BM76" s="1220"/>
      <c r="BN76" s="1220"/>
      <c r="BO76" s="1220"/>
      <c r="BP76" s="1220"/>
      <c r="BQ76" s="1220"/>
      <c r="BR76" s="1220"/>
      <c r="BS76" s="1220"/>
      <c r="BT76" s="1220"/>
      <c r="BU76" s="1220"/>
      <c r="BV76" s="1220"/>
      <c r="BW76" s="1220"/>
      <c r="BX76" s="1220"/>
      <c r="BY76" s="1220"/>
      <c r="BZ76" s="1220"/>
      <c r="CA76" s="1220"/>
      <c r="CB76" s="1220"/>
      <c r="CC76" s="1228"/>
      <c r="CD76" s="1228"/>
      <c r="CE76" s="1228"/>
      <c r="CF76" s="1220"/>
      <c r="CG76" s="1220"/>
      <c r="CH76" s="1220"/>
      <c r="CI76" s="1220"/>
      <c r="CJ76" s="1220"/>
      <c r="CK76" s="1220"/>
      <c r="CL76" s="1220"/>
      <c r="CM76" s="1220"/>
      <c r="CN76" s="1220"/>
      <c r="CO76" s="1220"/>
      <c r="CP76" s="1220"/>
      <c r="CQ76" s="1220"/>
      <c r="CR76" s="1220"/>
      <c r="CS76" s="1220"/>
      <c r="CT76" s="1220"/>
      <c r="CU76" s="1220"/>
      <c r="CV76" s="1220"/>
      <c r="CW76" s="1220"/>
      <c r="CX76" s="1220"/>
      <c r="CY76" s="1220"/>
      <c r="CZ76" s="1220"/>
      <c r="DA76" s="1220"/>
      <c r="DB76" s="1220"/>
      <c r="DC76" s="1220"/>
      <c r="DD76" s="1220"/>
      <c r="DE76" s="1220"/>
      <c r="DF76" s="1220"/>
      <c r="DG76" s="1220"/>
      <c r="DH76" s="1220"/>
      <c r="DI76" s="1220"/>
      <c r="DJ76" s="1220"/>
      <c r="DK76" s="1220"/>
      <c r="DL76" s="1220"/>
      <c r="DM76" s="1220"/>
      <c r="DN76" s="1220"/>
      <c r="DO76" s="1220"/>
      <c r="DP76" s="1220"/>
      <c r="DQ76" s="1220"/>
      <c r="DR76" s="1220"/>
      <c r="DS76" s="1220"/>
      <c r="DT76" s="1220"/>
      <c r="DU76" s="1220"/>
      <c r="DV76" s="1220"/>
      <c r="DW76" s="1220"/>
      <c r="DX76" s="1220"/>
      <c r="DY76" s="1220"/>
      <c r="DZ76" s="1220"/>
      <c r="EA76" s="1220"/>
      <c r="EB76" s="1220"/>
      <c r="EC76" s="1220"/>
      <c r="ED76" s="1220"/>
      <c r="EE76" s="1220"/>
      <c r="EF76" s="1220"/>
      <c r="EG76" s="1220"/>
      <c r="EH76" s="1220"/>
      <c r="EI76" s="1220"/>
      <c r="EJ76" s="1220"/>
      <c r="EK76" s="1220"/>
      <c r="EL76" s="1220"/>
      <c r="EM76" s="1220"/>
      <c r="EN76" s="1220"/>
      <c r="EO76" s="1220"/>
      <c r="EP76" s="1220"/>
      <c r="EQ76" s="1220"/>
      <c r="ER76" s="1220"/>
      <c r="ES76" s="1220"/>
      <c r="ET76" s="1220"/>
      <c r="EU76" s="1220"/>
      <c r="EV76" s="1220"/>
      <c r="EW76" s="1220"/>
      <c r="EX76" s="1220"/>
      <c r="EY76" s="1220"/>
      <c r="EZ76" s="1220"/>
      <c r="FA76" s="1220"/>
      <c r="FB76" s="1220"/>
      <c r="FC76" s="1220"/>
      <c r="FD76" s="1220"/>
      <c r="FE76" s="1220"/>
      <c r="FF76" s="1220"/>
      <c r="FG76" s="1220"/>
      <c r="FH76" s="1220"/>
      <c r="FI76" s="1220"/>
      <c r="FJ76" s="1220"/>
      <c r="FK76" s="1220"/>
    </row>
    <row r="77" spans="1:167">
      <c r="A77" s="1220"/>
      <c r="B77" s="1228"/>
      <c r="C77" s="1220"/>
      <c r="D77" s="1220"/>
      <c r="E77" s="1220"/>
      <c r="F77" s="1220"/>
      <c r="G77" s="1220"/>
      <c r="H77" s="1220"/>
      <c r="I77" s="1220"/>
      <c r="J77" s="1220"/>
      <c r="K77" s="1220"/>
      <c r="L77" s="1220"/>
      <c r="M77" s="1220"/>
      <c r="N77" s="1220"/>
      <c r="O77" s="1220"/>
      <c r="P77" s="1220"/>
      <c r="Q77" s="1220"/>
      <c r="R77" s="1220"/>
      <c r="S77" s="1220"/>
      <c r="T77" s="1220"/>
      <c r="U77" s="1220"/>
      <c r="V77" s="1220"/>
      <c r="W77" s="1220"/>
      <c r="X77" s="1220"/>
      <c r="Y77" s="1220"/>
      <c r="Z77" s="1220"/>
      <c r="AA77" s="1220"/>
      <c r="AB77" s="1220"/>
      <c r="AC77" s="1220"/>
      <c r="AD77" s="1220"/>
      <c r="AE77" s="1220"/>
      <c r="AF77" s="1220"/>
      <c r="AG77" s="1220"/>
      <c r="AH77" s="1220"/>
      <c r="AI77" s="1220"/>
      <c r="AJ77" s="1220"/>
      <c r="AK77" s="1220"/>
      <c r="AL77" s="1220"/>
      <c r="AM77" s="1220"/>
      <c r="AN77" s="1220"/>
      <c r="AO77" s="1220"/>
      <c r="AP77" s="1220"/>
      <c r="AQ77" s="1220"/>
      <c r="AR77" s="1220"/>
      <c r="AS77" s="1220"/>
      <c r="AT77" s="1220"/>
      <c r="AU77" s="1220"/>
      <c r="AV77" s="1220"/>
      <c r="AW77" s="1220"/>
      <c r="AX77" s="1220"/>
      <c r="AY77" s="1220"/>
      <c r="AZ77" s="1220"/>
      <c r="BA77" s="1220"/>
      <c r="BB77" s="1220"/>
      <c r="BC77" s="1220"/>
      <c r="BD77" s="1220"/>
      <c r="BE77" s="1220"/>
      <c r="BF77" s="1220"/>
      <c r="BG77" s="1220"/>
      <c r="BH77" s="1220"/>
      <c r="BI77" s="1220"/>
      <c r="BJ77" s="1220"/>
      <c r="BK77" s="1220"/>
      <c r="BL77" s="1220"/>
      <c r="BM77" s="1220"/>
      <c r="BN77" s="1220"/>
      <c r="BO77" s="1220"/>
      <c r="BP77" s="1220"/>
      <c r="BQ77" s="1220"/>
      <c r="BR77" s="1220"/>
      <c r="BS77" s="1220"/>
      <c r="BT77" s="1220"/>
      <c r="BU77" s="1220"/>
      <c r="BV77" s="1220"/>
      <c r="BW77" s="1220"/>
      <c r="BX77" s="1220"/>
      <c r="BY77" s="1220"/>
      <c r="BZ77" s="1220"/>
      <c r="CA77" s="1220"/>
      <c r="CB77" s="1220"/>
      <c r="CC77" s="1228"/>
      <c r="CD77" s="1228"/>
      <c r="CE77" s="1228"/>
      <c r="CF77" s="1220"/>
      <c r="CG77" s="1220"/>
      <c r="CH77" s="1220"/>
      <c r="CI77" s="1220"/>
      <c r="CJ77" s="1220"/>
      <c r="CK77" s="1220"/>
      <c r="CL77" s="1220"/>
      <c r="CM77" s="1220"/>
      <c r="CN77" s="1220"/>
      <c r="CO77" s="1220"/>
      <c r="CP77" s="1220"/>
      <c r="CQ77" s="1220"/>
      <c r="CR77" s="1220"/>
      <c r="CS77" s="1220"/>
      <c r="CT77" s="1220"/>
      <c r="CU77" s="1220"/>
      <c r="CV77" s="1220"/>
      <c r="CW77" s="1220"/>
      <c r="CX77" s="1220"/>
      <c r="CY77" s="1220"/>
      <c r="CZ77" s="1220"/>
      <c r="DA77" s="1220"/>
      <c r="DB77" s="1220"/>
      <c r="DC77" s="1220"/>
      <c r="DD77" s="1220"/>
      <c r="DE77" s="1220"/>
      <c r="DF77" s="1220"/>
      <c r="DG77" s="1220"/>
      <c r="DH77" s="1220"/>
      <c r="DI77" s="1220"/>
      <c r="DJ77" s="1220"/>
      <c r="DK77" s="1220"/>
      <c r="DL77" s="1220"/>
      <c r="DM77" s="1220"/>
      <c r="DN77" s="1220"/>
      <c r="DO77" s="1220"/>
      <c r="DP77" s="1220"/>
      <c r="DQ77" s="1220"/>
      <c r="DR77" s="1220"/>
      <c r="DS77" s="1220"/>
      <c r="DT77" s="1220"/>
      <c r="DU77" s="1220"/>
      <c r="DV77" s="1220"/>
      <c r="DW77" s="1220"/>
      <c r="DX77" s="1220"/>
      <c r="DY77" s="1220"/>
      <c r="DZ77" s="1220"/>
      <c r="EA77" s="1220"/>
      <c r="EB77" s="1220"/>
      <c r="EC77" s="1220"/>
      <c r="ED77" s="1220"/>
      <c r="EE77" s="1220"/>
      <c r="EF77" s="1220"/>
      <c r="EG77" s="1220"/>
      <c r="EH77" s="1220"/>
      <c r="EI77" s="1220"/>
      <c r="EJ77" s="1220"/>
      <c r="EK77" s="1220"/>
      <c r="EL77" s="1220"/>
      <c r="EM77" s="1220"/>
      <c r="EN77" s="1220"/>
      <c r="EO77" s="1220"/>
      <c r="EP77" s="1220"/>
      <c r="EQ77" s="1220"/>
      <c r="ER77" s="1220"/>
      <c r="ES77" s="1220"/>
      <c r="ET77" s="1220"/>
      <c r="EU77" s="1220"/>
      <c r="EV77" s="1220"/>
      <c r="EW77" s="1220"/>
      <c r="EX77" s="1220"/>
      <c r="EY77" s="1220"/>
      <c r="EZ77" s="1220"/>
      <c r="FA77" s="1220"/>
      <c r="FB77" s="1220"/>
      <c r="FC77" s="1220"/>
      <c r="FD77" s="1220"/>
      <c r="FE77" s="1220"/>
      <c r="FF77" s="1220"/>
      <c r="FG77" s="1220"/>
      <c r="FH77" s="1220"/>
      <c r="FI77" s="1220"/>
      <c r="FJ77" s="1220"/>
      <c r="FK77" s="1220"/>
    </row>
    <row r="78" spans="1:167">
      <c r="A78" s="1220"/>
      <c r="B78" s="1228"/>
      <c r="C78" s="1220"/>
      <c r="D78" s="1220"/>
      <c r="E78" s="1220"/>
      <c r="F78" s="1220"/>
      <c r="G78" s="1220"/>
      <c r="H78" s="1220"/>
      <c r="I78" s="1220"/>
      <c r="J78" s="1220"/>
      <c r="K78" s="1220"/>
      <c r="L78" s="1220"/>
      <c r="M78" s="1220"/>
      <c r="N78" s="1220"/>
      <c r="O78" s="1220"/>
      <c r="P78" s="1220"/>
      <c r="Q78" s="1220"/>
      <c r="R78" s="1220"/>
      <c r="S78" s="1220"/>
      <c r="T78" s="1220"/>
      <c r="U78" s="1220"/>
      <c r="V78" s="1220"/>
      <c r="W78" s="1220"/>
      <c r="X78" s="1220"/>
      <c r="Y78" s="1220"/>
      <c r="Z78" s="1220"/>
      <c r="AA78" s="1220"/>
      <c r="AB78" s="1220"/>
      <c r="AC78" s="1220"/>
      <c r="AD78" s="1220"/>
      <c r="AE78" s="1220"/>
      <c r="AF78" s="1220"/>
      <c r="AG78" s="1220"/>
      <c r="AH78" s="1220"/>
      <c r="AI78" s="1220"/>
      <c r="AJ78" s="1220"/>
      <c r="AK78" s="1220"/>
      <c r="AL78" s="1220"/>
      <c r="AM78" s="1220"/>
      <c r="AN78" s="1220"/>
      <c r="AO78" s="1220"/>
      <c r="AP78" s="1220"/>
      <c r="AQ78" s="1220"/>
      <c r="AR78" s="1220"/>
      <c r="AS78" s="1220"/>
      <c r="AT78" s="1220"/>
      <c r="AU78" s="1220"/>
      <c r="AV78" s="1220"/>
      <c r="AW78" s="1220"/>
      <c r="AX78" s="1220"/>
      <c r="AY78" s="1220"/>
      <c r="AZ78" s="1220"/>
      <c r="BA78" s="1220"/>
      <c r="BB78" s="1220"/>
      <c r="BC78" s="1220"/>
      <c r="BD78" s="1220"/>
      <c r="BE78" s="1220"/>
      <c r="BF78" s="1220"/>
      <c r="BG78" s="1220"/>
      <c r="BH78" s="1220"/>
      <c r="BI78" s="1220"/>
      <c r="BJ78" s="1220"/>
      <c r="BK78" s="1220"/>
      <c r="BL78" s="1220"/>
      <c r="BM78" s="1220"/>
      <c r="BN78" s="1220"/>
      <c r="BO78" s="1220"/>
      <c r="BP78" s="1220"/>
      <c r="BQ78" s="1220"/>
      <c r="BR78" s="1220"/>
      <c r="BS78" s="1220"/>
      <c r="BT78" s="1220"/>
      <c r="BU78" s="1220"/>
      <c r="BV78" s="1220"/>
      <c r="BW78" s="1220"/>
      <c r="BX78" s="1220"/>
      <c r="BY78" s="1220"/>
      <c r="BZ78" s="1220"/>
      <c r="CA78" s="1220"/>
      <c r="CB78" s="1220"/>
      <c r="CC78" s="1228"/>
      <c r="CD78" s="1228"/>
      <c r="CE78" s="1228"/>
      <c r="CF78" s="1220"/>
      <c r="CG78" s="1220"/>
      <c r="CH78" s="1220"/>
      <c r="CI78" s="1220"/>
      <c r="CJ78" s="1220"/>
      <c r="CK78" s="1220"/>
      <c r="CL78" s="1220"/>
      <c r="CM78" s="1220"/>
      <c r="CN78" s="1220"/>
      <c r="CO78" s="1220"/>
      <c r="CP78" s="1220"/>
      <c r="CQ78" s="1220"/>
      <c r="CR78" s="1220"/>
      <c r="CS78" s="1220"/>
      <c r="CT78" s="1220"/>
      <c r="CU78" s="1220"/>
      <c r="CV78" s="1220"/>
      <c r="CW78" s="1220"/>
      <c r="CX78" s="1220"/>
      <c r="CY78" s="1220"/>
      <c r="CZ78" s="1220"/>
      <c r="DA78" s="1220"/>
      <c r="DB78" s="1220"/>
      <c r="DC78" s="1220"/>
      <c r="DD78" s="1220"/>
      <c r="DE78" s="1220"/>
      <c r="DF78" s="1220"/>
      <c r="DG78" s="1220"/>
      <c r="DH78" s="1220"/>
      <c r="DI78" s="1220"/>
      <c r="DJ78" s="1220"/>
      <c r="DK78" s="1220"/>
      <c r="DL78" s="1220"/>
      <c r="DM78" s="1220"/>
      <c r="DN78" s="1220"/>
      <c r="DO78" s="1220"/>
      <c r="DP78" s="1220"/>
      <c r="DQ78" s="1220"/>
      <c r="DR78" s="1220"/>
      <c r="DS78" s="1220"/>
      <c r="DT78" s="1220"/>
      <c r="DU78" s="1220"/>
      <c r="DV78" s="1220"/>
      <c r="DW78" s="1220"/>
      <c r="DX78" s="1220"/>
      <c r="DY78" s="1220"/>
      <c r="DZ78" s="1220"/>
      <c r="EA78" s="1220"/>
      <c r="EB78" s="1220"/>
      <c r="EC78" s="1220"/>
      <c r="ED78" s="1220"/>
      <c r="EE78" s="1220"/>
      <c r="EF78" s="1220"/>
      <c r="EG78" s="1220"/>
      <c r="EH78" s="1220"/>
      <c r="EI78" s="1220"/>
      <c r="EJ78" s="1220"/>
      <c r="EK78" s="1220"/>
      <c r="EL78" s="1220"/>
      <c r="EM78" s="1220"/>
      <c r="EN78" s="1220"/>
      <c r="EO78" s="1220"/>
      <c r="EP78" s="1220"/>
      <c r="EQ78" s="1220"/>
      <c r="ER78" s="1220"/>
      <c r="ES78" s="1220"/>
      <c r="ET78" s="1220"/>
      <c r="EU78" s="1220"/>
      <c r="EV78" s="1220"/>
      <c r="EW78" s="1220"/>
      <c r="EX78" s="1220"/>
      <c r="EY78" s="1220"/>
      <c r="EZ78" s="1220"/>
      <c r="FA78" s="1220"/>
      <c r="FB78" s="1220"/>
      <c r="FC78" s="1220"/>
      <c r="FD78" s="1220"/>
      <c r="FE78" s="1220"/>
      <c r="FF78" s="1220"/>
      <c r="FG78" s="1220"/>
      <c r="FH78" s="1220"/>
      <c r="FI78" s="1220"/>
      <c r="FJ78" s="1220"/>
      <c r="FK78" s="1220"/>
    </row>
    <row r="79" spans="1:167">
      <c r="A79" s="1220"/>
      <c r="B79" s="1228"/>
      <c r="C79" s="1220"/>
      <c r="D79" s="1220"/>
      <c r="E79" s="1220"/>
      <c r="F79" s="1220"/>
      <c r="G79" s="1220"/>
      <c r="H79" s="1220"/>
      <c r="I79" s="1220"/>
      <c r="J79" s="1220"/>
      <c r="K79" s="1220"/>
      <c r="L79" s="1220"/>
      <c r="M79" s="1220"/>
      <c r="N79" s="1220"/>
      <c r="O79" s="1220"/>
      <c r="P79" s="1220"/>
      <c r="Q79" s="1220"/>
      <c r="R79" s="1220"/>
      <c r="S79" s="1220"/>
      <c r="T79" s="1220"/>
      <c r="U79" s="1220"/>
      <c r="V79" s="1220"/>
      <c r="W79" s="1220"/>
      <c r="X79" s="1220"/>
      <c r="Y79" s="1220"/>
      <c r="Z79" s="1220"/>
      <c r="AA79" s="1220"/>
      <c r="AB79" s="1220"/>
      <c r="AC79" s="1220"/>
      <c r="AD79" s="1220"/>
      <c r="AE79" s="1220"/>
      <c r="AF79" s="1220"/>
      <c r="AG79" s="1220"/>
      <c r="AH79" s="1220"/>
      <c r="AI79" s="1220"/>
      <c r="AJ79" s="1220"/>
      <c r="AK79" s="1220"/>
      <c r="AL79" s="1220"/>
      <c r="AM79" s="1220"/>
      <c r="AN79" s="1220"/>
      <c r="AO79" s="1220"/>
      <c r="AP79" s="1220"/>
      <c r="AQ79" s="1220"/>
      <c r="AR79" s="1220"/>
      <c r="AS79" s="1220"/>
      <c r="AT79" s="1220"/>
      <c r="AU79" s="1220"/>
      <c r="AV79" s="1220"/>
      <c r="AW79" s="1220"/>
      <c r="AX79" s="1220"/>
      <c r="AY79" s="1220"/>
      <c r="AZ79" s="1220"/>
      <c r="BA79" s="1220"/>
      <c r="BB79" s="1220"/>
      <c r="BC79" s="1220"/>
      <c r="BD79" s="1220"/>
      <c r="BE79" s="1220"/>
      <c r="BF79" s="1220"/>
      <c r="BG79" s="1220"/>
      <c r="BH79" s="1220"/>
      <c r="BI79" s="1220"/>
      <c r="BJ79" s="1220"/>
      <c r="BK79" s="1220"/>
      <c r="BL79" s="1220"/>
      <c r="BM79" s="1220"/>
      <c r="BN79" s="1220"/>
      <c r="BO79" s="1220"/>
      <c r="BP79" s="1220"/>
      <c r="BQ79" s="1220"/>
      <c r="BR79" s="1220"/>
      <c r="BS79" s="1220"/>
      <c r="BT79" s="1220"/>
      <c r="BU79" s="1220"/>
      <c r="BV79" s="1220"/>
      <c r="BW79" s="1220"/>
      <c r="BX79" s="1220"/>
      <c r="BY79" s="1220"/>
      <c r="BZ79" s="1220"/>
      <c r="CA79" s="1220"/>
      <c r="CB79" s="1220"/>
      <c r="CC79" s="1228"/>
      <c r="CD79" s="1228"/>
      <c r="CE79" s="1228"/>
      <c r="CF79" s="1220"/>
      <c r="CG79" s="1220"/>
      <c r="CH79" s="1220"/>
      <c r="CI79" s="1220"/>
      <c r="CJ79" s="1220"/>
      <c r="CK79" s="1220"/>
      <c r="CL79" s="1220"/>
      <c r="CM79" s="1220"/>
      <c r="CN79" s="1220"/>
      <c r="CO79" s="1220"/>
      <c r="CP79" s="1220"/>
      <c r="CQ79" s="1220"/>
      <c r="CR79" s="1220"/>
      <c r="CS79" s="1220"/>
      <c r="CT79" s="1220"/>
      <c r="CU79" s="1220"/>
      <c r="CV79" s="1220"/>
      <c r="CW79" s="1220"/>
      <c r="CX79" s="1220"/>
      <c r="CY79" s="1220"/>
      <c r="CZ79" s="1220"/>
      <c r="DA79" s="1220"/>
      <c r="DB79" s="1220"/>
      <c r="DC79" s="1220"/>
      <c r="DD79" s="1220"/>
      <c r="DE79" s="1220"/>
      <c r="DF79" s="1220"/>
      <c r="DG79" s="1220"/>
      <c r="DH79" s="1220"/>
      <c r="DI79" s="1220"/>
      <c r="DJ79" s="1220"/>
      <c r="DK79" s="1220"/>
      <c r="DL79" s="1220"/>
      <c r="DM79" s="1220"/>
      <c r="DN79" s="1220"/>
      <c r="DO79" s="1220"/>
      <c r="DP79" s="1220"/>
      <c r="DQ79" s="1220"/>
      <c r="DR79" s="1220"/>
      <c r="DS79" s="1220"/>
      <c r="DT79" s="1220"/>
      <c r="DU79" s="1220"/>
      <c r="DV79" s="1220"/>
      <c r="DW79" s="1220"/>
      <c r="DX79" s="1220"/>
      <c r="DY79" s="1220"/>
      <c r="DZ79" s="1220"/>
      <c r="EA79" s="1220"/>
      <c r="EB79" s="1220"/>
      <c r="EC79" s="1220"/>
      <c r="ED79" s="1220"/>
      <c r="EE79" s="1220"/>
      <c r="EF79" s="1220"/>
      <c r="EG79" s="1220"/>
      <c r="EH79" s="1220"/>
      <c r="EI79" s="1220"/>
      <c r="EJ79" s="1220"/>
      <c r="EK79" s="1220"/>
      <c r="EL79" s="1220"/>
      <c r="EM79" s="1220"/>
      <c r="EN79" s="1220"/>
      <c r="EO79" s="1220"/>
      <c r="EP79" s="1220"/>
      <c r="EQ79" s="1220"/>
      <c r="ER79" s="1220"/>
      <c r="ES79" s="1220"/>
      <c r="ET79" s="1220"/>
      <c r="EU79" s="1220"/>
      <c r="EV79" s="1220"/>
      <c r="EW79" s="1220"/>
      <c r="EX79" s="1220"/>
      <c r="EY79" s="1220"/>
      <c r="EZ79" s="1220"/>
      <c r="FA79" s="1220"/>
      <c r="FB79" s="1220"/>
      <c r="FC79" s="1220"/>
      <c r="FD79" s="1220"/>
      <c r="FE79" s="1220"/>
      <c r="FF79" s="1220"/>
      <c r="FG79" s="1220"/>
      <c r="FH79" s="1220"/>
      <c r="FI79" s="1220"/>
      <c r="FJ79" s="1220"/>
      <c r="FK79" s="1220"/>
    </row>
    <row r="80" spans="1:167">
      <c r="A80" s="1220"/>
      <c r="B80" s="1228"/>
      <c r="C80" s="1220"/>
      <c r="D80" s="1220"/>
      <c r="E80" s="1220"/>
      <c r="F80" s="1220"/>
      <c r="G80" s="1220"/>
      <c r="H80" s="1220"/>
      <c r="I80" s="1220"/>
      <c r="J80" s="1220"/>
      <c r="K80" s="1220"/>
      <c r="L80" s="1220"/>
      <c r="M80" s="1220"/>
      <c r="N80" s="1220"/>
      <c r="O80" s="1220"/>
      <c r="P80" s="1220"/>
      <c r="Q80" s="1220"/>
      <c r="R80" s="1220"/>
      <c r="S80" s="1220"/>
      <c r="T80" s="1220"/>
      <c r="U80" s="1220"/>
      <c r="V80" s="1220"/>
      <c r="W80" s="1220"/>
      <c r="X80" s="1220"/>
      <c r="Y80" s="1220"/>
      <c r="Z80" s="1220"/>
      <c r="AA80" s="1220"/>
      <c r="AB80" s="1220"/>
      <c r="AC80" s="1220"/>
      <c r="AD80" s="1220"/>
      <c r="AE80" s="1220"/>
      <c r="AF80" s="1220"/>
      <c r="AG80" s="1220"/>
      <c r="AH80" s="1220"/>
      <c r="AI80" s="1220"/>
      <c r="AJ80" s="1220"/>
      <c r="AK80" s="1220"/>
      <c r="AL80" s="1220"/>
      <c r="AM80" s="1220"/>
      <c r="AN80" s="1220"/>
      <c r="AO80" s="1220"/>
      <c r="AP80" s="1220"/>
      <c r="AQ80" s="1220"/>
      <c r="AR80" s="1220"/>
      <c r="AS80" s="1220"/>
      <c r="AT80" s="1220"/>
      <c r="AU80" s="1220"/>
      <c r="AV80" s="1220"/>
      <c r="AW80" s="1220"/>
      <c r="AX80" s="1220"/>
      <c r="AY80" s="1220"/>
      <c r="AZ80" s="1220"/>
      <c r="BA80" s="1220"/>
      <c r="BB80" s="1220"/>
      <c r="BC80" s="1220"/>
      <c r="BD80" s="1220"/>
      <c r="BE80" s="1220"/>
      <c r="BF80" s="1220"/>
      <c r="BG80" s="1220"/>
      <c r="BH80" s="1220"/>
      <c r="BI80" s="1220"/>
      <c r="BJ80" s="1220"/>
      <c r="BK80" s="1220"/>
      <c r="BL80" s="1220"/>
      <c r="BM80" s="1220"/>
      <c r="BN80" s="1220"/>
      <c r="BO80" s="1220"/>
      <c r="BP80" s="1220"/>
      <c r="BQ80" s="1220"/>
      <c r="BR80" s="1220"/>
      <c r="BS80" s="1220"/>
      <c r="BT80" s="1220"/>
      <c r="BU80" s="1220"/>
      <c r="BV80" s="1220"/>
      <c r="BW80" s="1220"/>
      <c r="BX80" s="1220"/>
      <c r="BY80" s="1220"/>
      <c r="BZ80" s="1220"/>
      <c r="CA80" s="1220"/>
      <c r="CB80" s="1220"/>
      <c r="CC80" s="1228"/>
      <c r="CD80" s="1228"/>
      <c r="CE80" s="1228"/>
      <c r="CF80" s="1220"/>
      <c r="CG80" s="1220"/>
      <c r="CH80" s="1220"/>
      <c r="CI80" s="1220"/>
      <c r="CJ80" s="1220"/>
      <c r="CK80" s="1220"/>
      <c r="CL80" s="1220"/>
      <c r="CM80" s="1220"/>
      <c r="CN80" s="1220"/>
      <c r="CO80" s="1220"/>
      <c r="CP80" s="1220"/>
      <c r="CQ80" s="1220"/>
      <c r="CR80" s="1220"/>
      <c r="CS80" s="1220"/>
      <c r="CT80" s="1220"/>
      <c r="CU80" s="1220"/>
      <c r="CV80" s="1220"/>
      <c r="CW80" s="1220"/>
      <c r="CX80" s="1220"/>
      <c r="CY80" s="1220"/>
      <c r="CZ80" s="1220"/>
      <c r="DA80" s="1220"/>
      <c r="DB80" s="1220"/>
      <c r="DC80" s="1220"/>
      <c r="DD80" s="1220"/>
      <c r="DE80" s="1220"/>
      <c r="DF80" s="1220"/>
      <c r="DG80" s="1220"/>
      <c r="DH80" s="1220"/>
      <c r="DI80" s="1220"/>
      <c r="DJ80" s="1220"/>
      <c r="DK80" s="1220"/>
      <c r="DL80" s="1220"/>
      <c r="DM80" s="1220"/>
      <c r="DN80" s="1220"/>
      <c r="DO80" s="1220"/>
      <c r="DP80" s="1220"/>
      <c r="DQ80" s="1220"/>
      <c r="DR80" s="1220"/>
      <c r="DS80" s="1220"/>
      <c r="DT80" s="1220"/>
      <c r="DU80" s="1220"/>
      <c r="DV80" s="1220"/>
      <c r="DW80" s="1220"/>
      <c r="DX80" s="1220"/>
      <c r="DY80" s="1220"/>
      <c r="DZ80" s="1220"/>
      <c r="EA80" s="1220"/>
      <c r="EB80" s="1220"/>
      <c r="EC80" s="1220"/>
      <c r="ED80" s="1220"/>
      <c r="EE80" s="1220"/>
      <c r="EF80" s="1220"/>
      <c r="EG80" s="1220"/>
      <c r="EH80" s="1220"/>
      <c r="EI80" s="1220"/>
      <c r="EJ80" s="1220"/>
      <c r="EK80" s="1220"/>
      <c r="EL80" s="1220"/>
      <c r="EM80" s="1220"/>
      <c r="EN80" s="1220"/>
      <c r="EO80" s="1220"/>
      <c r="EP80" s="1220"/>
      <c r="EQ80" s="1220"/>
      <c r="ER80" s="1220"/>
      <c r="ES80" s="1220"/>
      <c r="ET80" s="1220"/>
      <c r="EU80" s="1220"/>
      <c r="EV80" s="1220"/>
      <c r="EW80" s="1220"/>
      <c r="EX80" s="1220"/>
      <c r="EY80" s="1220"/>
      <c r="EZ80" s="1220"/>
      <c r="FA80" s="1220"/>
      <c r="FB80" s="1220"/>
      <c r="FC80" s="1220"/>
      <c r="FD80" s="1220"/>
      <c r="FE80" s="1220"/>
      <c r="FF80" s="1220"/>
      <c r="FG80" s="1220"/>
      <c r="FH80" s="1220"/>
      <c r="FI80" s="1220"/>
      <c r="FJ80" s="1220"/>
      <c r="FK80" s="1220"/>
    </row>
    <row r="81" spans="1:167">
      <c r="A81" s="1220"/>
      <c r="B81" s="1228"/>
      <c r="C81" s="1220"/>
      <c r="D81" s="1220"/>
      <c r="E81" s="1220"/>
      <c r="F81" s="1220"/>
      <c r="G81" s="1220"/>
      <c r="H81" s="1220"/>
      <c r="I81" s="1220"/>
      <c r="J81" s="1220"/>
      <c r="K81" s="1220"/>
      <c r="L81" s="1220"/>
      <c r="M81" s="1220"/>
      <c r="N81" s="1220"/>
      <c r="O81" s="1220"/>
      <c r="P81" s="1220"/>
      <c r="Q81" s="1220"/>
      <c r="R81" s="1220"/>
      <c r="S81" s="1220"/>
      <c r="T81" s="1220"/>
      <c r="U81" s="1220"/>
      <c r="V81" s="1220"/>
      <c r="W81" s="1220"/>
      <c r="X81" s="1220"/>
      <c r="Y81" s="1220"/>
      <c r="Z81" s="1220"/>
      <c r="AA81" s="1220"/>
      <c r="AB81" s="1220"/>
      <c r="AC81" s="1220"/>
      <c r="AD81" s="1220"/>
      <c r="AE81" s="1220"/>
      <c r="AF81" s="1220"/>
      <c r="AG81" s="1220"/>
      <c r="AH81" s="1220"/>
      <c r="AI81" s="1220"/>
      <c r="AJ81" s="1220"/>
      <c r="AK81" s="1220"/>
      <c r="AL81" s="1220"/>
      <c r="AM81" s="1220"/>
      <c r="AN81" s="1220"/>
      <c r="AO81" s="1220"/>
      <c r="AP81" s="1220"/>
      <c r="AQ81" s="1220"/>
      <c r="AR81" s="1220"/>
      <c r="AS81" s="1220"/>
      <c r="AT81" s="1220"/>
      <c r="AU81" s="1220"/>
      <c r="AV81" s="1220"/>
      <c r="AW81" s="1220"/>
      <c r="AX81" s="1220"/>
      <c r="AY81" s="1220"/>
      <c r="AZ81" s="1220"/>
      <c r="BA81" s="1220"/>
      <c r="BB81" s="1220"/>
      <c r="BC81" s="1220"/>
      <c r="BD81" s="1220"/>
      <c r="BE81" s="1220"/>
      <c r="BF81" s="1220"/>
      <c r="BG81" s="1220"/>
      <c r="BH81" s="1220"/>
      <c r="BI81" s="1220"/>
      <c r="BJ81" s="1220"/>
      <c r="BK81" s="1220"/>
      <c r="BL81" s="1220"/>
      <c r="BM81" s="1220"/>
      <c r="BN81" s="1220"/>
      <c r="BO81" s="1220"/>
      <c r="BP81" s="1220"/>
      <c r="BQ81" s="1220"/>
      <c r="BR81" s="1220"/>
      <c r="BS81" s="1220"/>
      <c r="BT81" s="1220"/>
      <c r="BU81" s="1220"/>
      <c r="BV81" s="1220"/>
      <c r="BW81" s="1220"/>
      <c r="BX81" s="1220"/>
      <c r="BY81" s="1220"/>
      <c r="BZ81" s="1220"/>
      <c r="CA81" s="1220"/>
      <c r="CB81" s="1220"/>
      <c r="CC81" s="1228"/>
      <c r="CD81" s="1228"/>
      <c r="CE81" s="1228"/>
      <c r="CF81" s="1220"/>
      <c r="CG81" s="1220"/>
      <c r="CH81" s="1220"/>
      <c r="CI81" s="1220"/>
      <c r="CJ81" s="1220"/>
      <c r="CK81" s="1220"/>
      <c r="CL81" s="1220"/>
      <c r="CM81" s="1220"/>
      <c r="CN81" s="1220"/>
      <c r="CO81" s="1220"/>
      <c r="CP81" s="1220"/>
      <c r="CQ81" s="1220"/>
      <c r="CR81" s="1220"/>
      <c r="CS81" s="1220"/>
      <c r="CT81" s="1220"/>
      <c r="CU81" s="1220"/>
      <c r="CV81" s="1220"/>
      <c r="CW81" s="1220"/>
      <c r="CX81" s="1220"/>
      <c r="CY81" s="1220"/>
      <c r="CZ81" s="1220"/>
      <c r="DA81" s="1220"/>
      <c r="DB81" s="1220"/>
      <c r="DC81" s="1220"/>
      <c r="DD81" s="1220"/>
      <c r="DE81" s="1220"/>
      <c r="DF81" s="1220"/>
      <c r="DG81" s="1220"/>
      <c r="DH81" s="1220"/>
      <c r="DI81" s="1220"/>
      <c r="DJ81" s="1220"/>
      <c r="DK81" s="1220"/>
      <c r="DL81" s="1220"/>
      <c r="DM81" s="1220"/>
      <c r="DN81" s="1220"/>
      <c r="DO81" s="1220"/>
      <c r="DP81" s="1220"/>
      <c r="DQ81" s="1220"/>
      <c r="DR81" s="1220"/>
      <c r="DS81" s="1220"/>
      <c r="DT81" s="1220"/>
      <c r="DU81" s="1220"/>
      <c r="DV81" s="1220"/>
      <c r="DW81" s="1220"/>
      <c r="DX81" s="1220"/>
      <c r="DY81" s="1220"/>
      <c r="DZ81" s="1220"/>
      <c r="EA81" s="1220"/>
      <c r="EB81" s="1220"/>
      <c r="EC81" s="1220"/>
      <c r="ED81" s="1220"/>
      <c r="EE81" s="1220"/>
      <c r="EF81" s="1220"/>
      <c r="EG81" s="1220"/>
      <c r="EH81" s="1220"/>
      <c r="EI81" s="1220"/>
      <c r="EJ81" s="1220"/>
      <c r="EK81" s="1220"/>
      <c r="EL81" s="1220"/>
      <c r="EM81" s="1220"/>
      <c r="EN81" s="1220"/>
      <c r="EO81" s="1220"/>
      <c r="EP81" s="1220"/>
      <c r="EQ81" s="1220"/>
      <c r="ER81" s="1220"/>
      <c r="ES81" s="1220"/>
      <c r="ET81" s="1220"/>
      <c r="EU81" s="1220"/>
      <c r="EV81" s="1220"/>
      <c r="EW81" s="1220"/>
      <c r="EX81" s="1220"/>
      <c r="EY81" s="1220"/>
      <c r="EZ81" s="1220"/>
      <c r="FA81" s="1220"/>
      <c r="FB81" s="1220"/>
      <c r="FC81" s="1220"/>
      <c r="FD81" s="1220"/>
      <c r="FE81" s="1220"/>
      <c r="FF81" s="1220"/>
      <c r="FG81" s="1220"/>
      <c r="FH81" s="1220"/>
      <c r="FI81" s="1220"/>
      <c r="FJ81" s="1220"/>
      <c r="FK81" s="1220"/>
    </row>
    <row r="82" spans="1:167">
      <c r="A82" s="1220"/>
      <c r="B82" s="1228"/>
      <c r="C82" s="1220"/>
      <c r="D82" s="1220"/>
      <c r="E82" s="1220"/>
      <c r="F82" s="1220"/>
      <c r="G82" s="1220"/>
      <c r="H82" s="1220"/>
      <c r="I82" s="1220"/>
      <c r="J82" s="1220"/>
      <c r="K82" s="1220"/>
      <c r="L82" s="1220"/>
      <c r="M82" s="1220"/>
      <c r="N82" s="1220"/>
      <c r="O82" s="1220"/>
      <c r="P82" s="1220"/>
      <c r="Q82" s="1220"/>
      <c r="R82" s="1220"/>
      <c r="S82" s="1220"/>
      <c r="T82" s="1220"/>
      <c r="U82" s="1220"/>
      <c r="V82" s="1220"/>
      <c r="W82" s="1220"/>
      <c r="X82" s="1220"/>
      <c r="Y82" s="1220"/>
      <c r="Z82" s="1220"/>
      <c r="AA82" s="1220"/>
      <c r="AB82" s="1220"/>
      <c r="AC82" s="1220"/>
      <c r="AD82" s="1220"/>
      <c r="AE82" s="1220"/>
      <c r="AF82" s="1220"/>
      <c r="AG82" s="1220"/>
      <c r="AH82" s="1220"/>
      <c r="AI82" s="1220"/>
      <c r="AJ82" s="1220"/>
      <c r="AK82" s="1220"/>
      <c r="AL82" s="1220"/>
      <c r="AM82" s="1220"/>
      <c r="AN82" s="1220"/>
      <c r="AO82" s="1220"/>
      <c r="AP82" s="1220"/>
      <c r="AQ82" s="1220"/>
      <c r="AR82" s="1220"/>
      <c r="AS82" s="1220"/>
      <c r="AT82" s="1220"/>
      <c r="AU82" s="1220"/>
      <c r="AV82" s="1220"/>
      <c r="AW82" s="1220"/>
      <c r="AX82" s="1220"/>
      <c r="AY82" s="1220"/>
      <c r="AZ82" s="1220"/>
      <c r="BA82" s="1220"/>
      <c r="BB82" s="1220"/>
      <c r="BC82" s="1220"/>
      <c r="BD82" s="1220"/>
      <c r="BE82" s="1220"/>
      <c r="BF82" s="1220"/>
      <c r="BG82" s="1220"/>
      <c r="BH82" s="1220"/>
      <c r="BI82" s="1220"/>
      <c r="BJ82" s="1220"/>
      <c r="BK82" s="1220"/>
      <c r="BL82" s="1220"/>
      <c r="BM82" s="1220"/>
      <c r="BN82" s="1220"/>
      <c r="BO82" s="1220"/>
      <c r="BP82" s="1220"/>
      <c r="BQ82" s="1220"/>
      <c r="BR82" s="1220"/>
      <c r="BS82" s="1220"/>
      <c r="BT82" s="1220"/>
      <c r="BU82" s="1220"/>
      <c r="BV82" s="1220"/>
      <c r="BW82" s="1220"/>
      <c r="BX82" s="1220"/>
      <c r="BY82" s="1220"/>
      <c r="BZ82" s="1220"/>
      <c r="CA82" s="1220"/>
      <c r="CB82" s="1220"/>
      <c r="CC82" s="1228"/>
      <c r="CD82" s="1228"/>
      <c r="CE82" s="1228"/>
      <c r="CF82" s="1220"/>
      <c r="CG82" s="1220"/>
      <c r="CH82" s="1220"/>
      <c r="CI82" s="1220"/>
      <c r="CJ82" s="1220"/>
      <c r="CK82" s="1220"/>
      <c r="CL82" s="1220"/>
      <c r="CM82" s="1220"/>
      <c r="CN82" s="1220"/>
      <c r="CO82" s="1220"/>
      <c r="CP82" s="1220"/>
      <c r="CQ82" s="1220"/>
      <c r="CR82" s="1220"/>
      <c r="CS82" s="1220"/>
      <c r="CT82" s="1220"/>
      <c r="CU82" s="1220"/>
      <c r="CV82" s="1220"/>
      <c r="CW82" s="1220"/>
      <c r="CX82" s="1220"/>
      <c r="CY82" s="1220"/>
      <c r="CZ82" s="1220"/>
      <c r="DA82" s="1220"/>
      <c r="DB82" s="1220"/>
      <c r="DC82" s="1220"/>
      <c r="DD82" s="1220"/>
      <c r="DE82" s="1220"/>
      <c r="DF82" s="1220"/>
      <c r="DG82" s="1220"/>
      <c r="DH82" s="1220"/>
      <c r="DI82" s="1220"/>
      <c r="DJ82" s="1220"/>
      <c r="DK82" s="1220"/>
      <c r="DL82" s="1220"/>
      <c r="DM82" s="1220"/>
      <c r="DN82" s="1220"/>
      <c r="DO82" s="1220"/>
      <c r="DP82" s="1220"/>
      <c r="DQ82" s="1220"/>
      <c r="DR82" s="1220"/>
      <c r="DS82" s="1220"/>
      <c r="DT82" s="1220"/>
      <c r="DU82" s="1220"/>
      <c r="DV82" s="1220"/>
      <c r="DW82" s="1220"/>
      <c r="DX82" s="1220"/>
      <c r="DY82" s="1220"/>
      <c r="DZ82" s="1220"/>
      <c r="EA82" s="1220"/>
      <c r="EB82" s="1220"/>
      <c r="EC82" s="1220"/>
      <c r="ED82" s="1220"/>
      <c r="EE82" s="1220"/>
      <c r="EF82" s="1220"/>
      <c r="EG82" s="1220"/>
      <c r="EH82" s="1220"/>
      <c r="EI82" s="1220"/>
      <c r="EJ82" s="1220"/>
      <c r="EK82" s="1220"/>
      <c r="EL82" s="1220"/>
      <c r="EM82" s="1220"/>
      <c r="EN82" s="1220"/>
      <c r="EO82" s="1220"/>
      <c r="EP82" s="1220"/>
      <c r="EQ82" s="1220"/>
      <c r="ER82" s="1220"/>
      <c r="ES82" s="1220"/>
      <c r="ET82" s="1220"/>
      <c r="EU82" s="1220"/>
      <c r="EV82" s="1220"/>
      <c r="EW82" s="1220"/>
      <c r="EX82" s="1220"/>
      <c r="EY82" s="1220"/>
      <c r="EZ82" s="1220"/>
      <c r="FA82" s="1220"/>
      <c r="FB82" s="1220"/>
      <c r="FC82" s="1220"/>
      <c r="FD82" s="1220"/>
      <c r="FE82" s="1220"/>
      <c r="FF82" s="1220"/>
      <c r="FG82" s="1220"/>
      <c r="FH82" s="1220"/>
      <c r="FI82" s="1220"/>
      <c r="FJ82" s="1220"/>
      <c r="FK82" s="1220"/>
    </row>
    <row r="83" spans="1:167">
      <c r="A83" s="1220"/>
      <c r="B83" s="1228"/>
      <c r="C83" s="1220"/>
      <c r="D83" s="1220"/>
      <c r="E83" s="1220"/>
      <c r="F83" s="1220"/>
      <c r="G83" s="1220"/>
      <c r="H83" s="1220"/>
      <c r="I83" s="1220"/>
      <c r="J83" s="1220"/>
      <c r="K83" s="1220"/>
      <c r="L83" s="1220"/>
      <c r="M83" s="1220"/>
      <c r="N83" s="1220"/>
      <c r="O83" s="1220"/>
      <c r="P83" s="1220"/>
      <c r="Q83" s="1220"/>
      <c r="R83" s="1220"/>
      <c r="S83" s="1220"/>
      <c r="T83" s="1220"/>
      <c r="U83" s="1220"/>
      <c r="V83" s="1220"/>
      <c r="W83" s="1220"/>
      <c r="X83" s="1220"/>
      <c r="Y83" s="1220"/>
      <c r="Z83" s="1220"/>
      <c r="AA83" s="1220"/>
      <c r="AB83" s="1220"/>
      <c r="AC83" s="1220"/>
      <c r="AD83" s="1220"/>
      <c r="AE83" s="1220"/>
      <c r="AF83" s="1220"/>
      <c r="AG83" s="1220"/>
      <c r="AH83" s="1220"/>
      <c r="AI83" s="1220"/>
      <c r="AJ83" s="1220"/>
      <c r="AK83" s="1220"/>
      <c r="AL83" s="1220"/>
      <c r="AM83" s="1220"/>
      <c r="AN83" s="1220"/>
      <c r="AO83" s="1220"/>
      <c r="AP83" s="1220"/>
      <c r="AQ83" s="1220"/>
      <c r="AR83" s="1220"/>
      <c r="AS83" s="1220"/>
      <c r="AT83" s="1220"/>
      <c r="AU83" s="1220"/>
      <c r="AV83" s="1220"/>
      <c r="AW83" s="1220"/>
      <c r="AX83" s="1220"/>
      <c r="AY83" s="1220"/>
      <c r="AZ83" s="1220"/>
      <c r="BA83" s="1220"/>
      <c r="BB83" s="1220"/>
      <c r="BC83" s="1220"/>
      <c r="BD83" s="1220"/>
      <c r="BE83" s="1220"/>
      <c r="BF83" s="1220"/>
      <c r="BG83" s="1220"/>
      <c r="BH83" s="1220"/>
      <c r="BI83" s="1220"/>
      <c r="BJ83" s="1220"/>
      <c r="BK83" s="1220"/>
      <c r="BL83" s="1220"/>
      <c r="BM83" s="1220"/>
      <c r="BN83" s="1220"/>
      <c r="BO83" s="1220"/>
      <c r="BP83" s="1220"/>
      <c r="BQ83" s="1220"/>
      <c r="BR83" s="1220"/>
      <c r="BS83" s="1220"/>
      <c r="BT83" s="1220"/>
      <c r="BU83" s="1220"/>
      <c r="BV83" s="1220"/>
      <c r="BW83" s="1220"/>
      <c r="BX83" s="1220"/>
      <c r="BY83" s="1220"/>
      <c r="BZ83" s="1220"/>
      <c r="CA83" s="1220"/>
      <c r="CB83" s="1220"/>
      <c r="CC83" s="1228"/>
      <c r="CD83" s="1228"/>
      <c r="CE83" s="1228"/>
      <c r="CF83" s="1220"/>
      <c r="CG83" s="1220"/>
      <c r="CH83" s="1220"/>
      <c r="CI83" s="1220"/>
      <c r="CJ83" s="1220"/>
      <c r="CK83" s="1220"/>
      <c r="CL83" s="1220"/>
      <c r="CM83" s="1220"/>
      <c r="CN83" s="1220"/>
      <c r="CO83" s="1220"/>
      <c r="CP83" s="1220"/>
      <c r="CQ83" s="1220"/>
      <c r="CR83" s="1220"/>
      <c r="CS83" s="1220"/>
      <c r="CT83" s="1220"/>
      <c r="CU83" s="1220"/>
      <c r="CV83" s="1220"/>
      <c r="CW83" s="1220"/>
      <c r="CX83" s="1220"/>
      <c r="CY83" s="1220"/>
      <c r="CZ83" s="1220"/>
      <c r="DA83" s="1220"/>
      <c r="DB83" s="1220"/>
      <c r="DC83" s="1220"/>
      <c r="DD83" s="1220"/>
      <c r="DE83" s="1220"/>
      <c r="DF83" s="1220"/>
      <c r="DG83" s="1220"/>
      <c r="DH83" s="1220"/>
      <c r="DI83" s="1220"/>
      <c r="DJ83" s="1220"/>
      <c r="DK83" s="1220"/>
      <c r="DL83" s="1220"/>
      <c r="DM83" s="1220"/>
      <c r="DN83" s="1220"/>
      <c r="DO83" s="1220"/>
      <c r="DP83" s="1220"/>
      <c r="DQ83" s="1220"/>
      <c r="DR83" s="1220"/>
      <c r="DS83" s="1220"/>
      <c r="DT83" s="1220"/>
      <c r="DU83" s="1220"/>
      <c r="DV83" s="1220"/>
      <c r="DW83" s="1220"/>
      <c r="DX83" s="1220"/>
      <c r="DY83" s="1220"/>
      <c r="DZ83" s="1220"/>
      <c r="EA83" s="1220"/>
      <c r="EB83" s="1220"/>
      <c r="EC83" s="1220"/>
      <c r="ED83" s="1220"/>
      <c r="EE83" s="1220"/>
      <c r="EF83" s="1220"/>
      <c r="EG83" s="1220"/>
      <c r="EH83" s="1220"/>
      <c r="EI83" s="1220"/>
      <c r="EJ83" s="1220"/>
      <c r="EK83" s="1220"/>
      <c r="EL83" s="1220"/>
      <c r="EM83" s="1220"/>
      <c r="EN83" s="1220"/>
      <c r="EO83" s="1220"/>
      <c r="EP83" s="1220"/>
      <c r="EQ83" s="1220"/>
      <c r="ER83" s="1220"/>
      <c r="ES83" s="1220"/>
      <c r="ET83" s="1220"/>
      <c r="EU83" s="1220"/>
      <c r="EV83" s="1220"/>
      <c r="EW83" s="1220"/>
      <c r="EX83" s="1220"/>
      <c r="EY83" s="1220"/>
      <c r="EZ83" s="1220"/>
      <c r="FA83" s="1220"/>
      <c r="FB83" s="1220"/>
      <c r="FC83" s="1220"/>
      <c r="FD83" s="1220"/>
      <c r="FE83" s="1220"/>
      <c r="FF83" s="1220"/>
      <c r="FG83" s="1220"/>
      <c r="FH83" s="1220"/>
      <c r="FI83" s="1220"/>
      <c r="FJ83" s="1220"/>
      <c r="FK83" s="1220"/>
    </row>
    <row r="84" spans="1:167">
      <c r="A84" s="1220"/>
      <c r="B84" s="1228"/>
      <c r="C84" s="1220"/>
      <c r="D84" s="1220"/>
      <c r="E84" s="1220"/>
      <c r="F84" s="1220"/>
      <c r="G84" s="1220"/>
      <c r="H84" s="1220"/>
      <c r="I84" s="1220"/>
      <c r="J84" s="1220"/>
      <c r="K84" s="1220"/>
      <c r="L84" s="1220"/>
      <c r="M84" s="1220"/>
      <c r="N84" s="1220"/>
      <c r="O84" s="1220"/>
      <c r="P84" s="1220"/>
      <c r="Q84" s="1220"/>
      <c r="R84" s="1220"/>
      <c r="S84" s="1220"/>
      <c r="T84" s="1220"/>
      <c r="U84" s="1220"/>
      <c r="V84" s="1220"/>
      <c r="W84" s="1220"/>
      <c r="X84" s="1220"/>
      <c r="Y84" s="1220"/>
      <c r="Z84" s="1220"/>
      <c r="AA84" s="1220"/>
      <c r="AB84" s="1220"/>
      <c r="AC84" s="1220"/>
      <c r="AD84" s="1220"/>
      <c r="AE84" s="1220"/>
      <c r="AF84" s="1220"/>
      <c r="AG84" s="1220"/>
      <c r="AH84" s="1220"/>
      <c r="AI84" s="1220"/>
      <c r="AJ84" s="1220"/>
      <c r="AK84" s="1220"/>
      <c r="AL84" s="1220"/>
      <c r="AM84" s="1220"/>
      <c r="AN84" s="1220"/>
      <c r="AO84" s="1220"/>
      <c r="AP84" s="1220"/>
      <c r="AQ84" s="1220"/>
      <c r="AR84" s="1220"/>
      <c r="AS84" s="1220"/>
      <c r="AT84" s="1220"/>
      <c r="AU84" s="1220"/>
      <c r="AV84" s="1220"/>
      <c r="AW84" s="1220"/>
      <c r="AX84" s="1220"/>
      <c r="AY84" s="1220"/>
      <c r="AZ84" s="1220"/>
      <c r="BA84" s="1220"/>
      <c r="BB84" s="1220"/>
      <c r="BC84" s="1220"/>
      <c r="BD84" s="1220"/>
      <c r="BE84" s="1220"/>
      <c r="BF84" s="1220"/>
      <c r="BG84" s="1220"/>
      <c r="BH84" s="1220"/>
      <c r="BI84" s="1220"/>
      <c r="BJ84" s="1220"/>
      <c r="BK84" s="1220"/>
      <c r="BL84" s="1220"/>
      <c r="BM84" s="1220"/>
      <c r="BN84" s="1220"/>
      <c r="BO84" s="1220"/>
      <c r="BP84" s="1220"/>
      <c r="BQ84" s="1220"/>
      <c r="BR84" s="1220"/>
      <c r="BS84" s="1220"/>
      <c r="BT84" s="1220"/>
      <c r="BU84" s="1220"/>
      <c r="BV84" s="1220"/>
      <c r="BW84" s="1220"/>
      <c r="BX84" s="1220"/>
      <c r="BY84" s="1220"/>
      <c r="BZ84" s="1220"/>
      <c r="CA84" s="1220"/>
      <c r="CB84" s="1220"/>
      <c r="CC84" s="1228"/>
      <c r="CD84" s="1228"/>
      <c r="CE84" s="1228"/>
      <c r="CF84" s="1220"/>
      <c r="CG84" s="1220"/>
      <c r="CH84" s="1220"/>
      <c r="CI84" s="1220"/>
      <c r="CJ84" s="1220"/>
      <c r="CK84" s="1220"/>
      <c r="CL84" s="1220"/>
      <c r="CM84" s="1220"/>
      <c r="CN84" s="1220"/>
      <c r="CO84" s="1220"/>
      <c r="CP84" s="1220"/>
      <c r="CQ84" s="1220"/>
      <c r="CR84" s="1220"/>
      <c r="CS84" s="1220"/>
      <c r="CT84" s="1220"/>
      <c r="CU84" s="1220"/>
      <c r="CV84" s="1220"/>
      <c r="CW84" s="1220"/>
      <c r="CX84" s="1220"/>
      <c r="CY84" s="1220"/>
      <c r="CZ84" s="1220"/>
      <c r="DA84" s="1220"/>
      <c r="DB84" s="1220"/>
      <c r="DC84" s="1220"/>
      <c r="DD84" s="1220"/>
      <c r="DE84" s="1220"/>
      <c r="DF84" s="1220"/>
      <c r="DG84" s="1220"/>
      <c r="DH84" s="1220"/>
      <c r="DI84" s="1220"/>
      <c r="DJ84" s="1220"/>
      <c r="DK84" s="1220"/>
      <c r="DL84" s="1220"/>
      <c r="DM84" s="1220"/>
      <c r="DN84" s="1220"/>
      <c r="DO84" s="1220"/>
      <c r="DP84" s="1220"/>
      <c r="DQ84" s="1220"/>
      <c r="DR84" s="1220"/>
      <c r="DS84" s="1220"/>
      <c r="DT84" s="1220"/>
      <c r="DU84" s="1220"/>
      <c r="DV84" s="1220"/>
      <c r="DW84" s="1220"/>
      <c r="DX84" s="1220"/>
      <c r="DY84" s="1220"/>
      <c r="DZ84" s="1220"/>
      <c r="EA84" s="1220"/>
      <c r="EB84" s="1220"/>
      <c r="EC84" s="1220"/>
      <c r="ED84" s="1220"/>
      <c r="EE84" s="1220"/>
      <c r="EF84" s="1220"/>
      <c r="EG84" s="1220"/>
      <c r="EH84" s="1220"/>
      <c r="EI84" s="1220"/>
      <c r="EJ84" s="1220"/>
      <c r="EK84" s="1220"/>
      <c r="EL84" s="1220"/>
      <c r="EM84" s="1220"/>
      <c r="EN84" s="1220"/>
      <c r="EO84" s="1220"/>
      <c r="EP84" s="1220"/>
      <c r="EQ84" s="1220"/>
      <c r="ER84" s="1220"/>
      <c r="ES84" s="1220"/>
      <c r="ET84" s="1220"/>
      <c r="EU84" s="1220"/>
      <c r="EV84" s="1220"/>
      <c r="EW84" s="1220"/>
      <c r="EX84" s="1220"/>
      <c r="EY84" s="1220"/>
      <c r="EZ84" s="1220"/>
      <c r="FA84" s="1220"/>
      <c r="FB84" s="1220"/>
      <c r="FC84" s="1220"/>
      <c r="FD84" s="1220"/>
      <c r="FE84" s="1220"/>
      <c r="FF84" s="1220"/>
      <c r="FG84" s="1220"/>
      <c r="FH84" s="1220"/>
      <c r="FI84" s="1220"/>
      <c r="FJ84" s="1220"/>
      <c r="FK84" s="1220"/>
    </row>
    <row r="85" spans="1:167">
      <c r="A85" s="1220"/>
      <c r="B85" s="1228"/>
      <c r="C85" s="1220"/>
      <c r="D85" s="1220"/>
      <c r="E85" s="1220"/>
      <c r="F85" s="1220"/>
      <c r="G85" s="1220"/>
      <c r="H85" s="1220"/>
      <c r="I85" s="1220"/>
      <c r="J85" s="1220"/>
      <c r="K85" s="1220"/>
      <c r="L85" s="1220"/>
      <c r="M85" s="1220"/>
      <c r="N85" s="1220"/>
      <c r="O85" s="1220"/>
      <c r="P85" s="1220"/>
      <c r="Q85" s="1220"/>
      <c r="R85" s="1220"/>
      <c r="S85" s="1220"/>
      <c r="T85" s="1220"/>
      <c r="U85" s="1220"/>
      <c r="V85" s="1220"/>
      <c r="W85" s="1220"/>
      <c r="X85" s="1220"/>
      <c r="Y85" s="1220"/>
      <c r="Z85" s="1220"/>
      <c r="AA85" s="1220"/>
      <c r="AB85" s="1220"/>
      <c r="AC85" s="1220"/>
      <c r="AD85" s="1220"/>
      <c r="AE85" s="1220"/>
      <c r="AF85" s="1220"/>
      <c r="AG85" s="1220"/>
      <c r="AH85" s="1220"/>
      <c r="AI85" s="1220"/>
      <c r="AJ85" s="1220"/>
      <c r="AK85" s="1220"/>
      <c r="AL85" s="1220"/>
      <c r="AM85" s="1220"/>
      <c r="AN85" s="1220"/>
      <c r="AO85" s="1220"/>
      <c r="AP85" s="1220"/>
      <c r="AQ85" s="1220"/>
      <c r="AR85" s="1220"/>
      <c r="AS85" s="1220"/>
      <c r="AT85" s="1220"/>
      <c r="AU85" s="1220"/>
      <c r="AV85" s="1220"/>
      <c r="AW85" s="1220"/>
      <c r="AX85" s="1220"/>
      <c r="AY85" s="1220"/>
      <c r="AZ85" s="1220"/>
      <c r="BA85" s="1220"/>
      <c r="BB85" s="1220"/>
      <c r="BC85" s="1220"/>
      <c r="BD85" s="1220"/>
      <c r="BE85" s="1220"/>
      <c r="BF85" s="1220"/>
      <c r="BG85" s="1220"/>
      <c r="BH85" s="1220"/>
      <c r="BI85" s="1220"/>
      <c r="BJ85" s="1220"/>
      <c r="BK85" s="1220"/>
      <c r="BL85" s="1220"/>
      <c r="BM85" s="1220"/>
      <c r="BN85" s="1220"/>
      <c r="BO85" s="1220"/>
      <c r="BP85" s="1220"/>
      <c r="BQ85" s="1220"/>
      <c r="BR85" s="1220"/>
      <c r="BS85" s="1220"/>
      <c r="BT85" s="1220"/>
      <c r="BU85" s="1220"/>
      <c r="BV85" s="1220"/>
      <c r="BW85" s="1220"/>
      <c r="BX85" s="1220"/>
      <c r="BY85" s="1220"/>
      <c r="BZ85" s="1220"/>
      <c r="CA85" s="1220"/>
      <c r="CB85" s="1220"/>
      <c r="CC85" s="1228"/>
      <c r="CD85" s="1228"/>
      <c r="CE85" s="1228"/>
      <c r="CF85" s="1220"/>
      <c r="CG85" s="1220"/>
      <c r="CH85" s="1220"/>
      <c r="CI85" s="1220"/>
      <c r="CJ85" s="1220"/>
      <c r="CK85" s="1220"/>
      <c r="CL85" s="1220"/>
      <c r="CM85" s="1220"/>
      <c r="CN85" s="1220"/>
      <c r="CO85" s="1220"/>
      <c r="CP85" s="1220"/>
      <c r="CQ85" s="1220"/>
      <c r="CR85" s="1220"/>
      <c r="CS85" s="1220"/>
      <c r="CT85" s="1220"/>
      <c r="CU85" s="1220"/>
      <c r="CV85" s="1220"/>
      <c r="CW85" s="1220"/>
      <c r="CX85" s="1220"/>
      <c r="CY85" s="1220"/>
      <c r="CZ85" s="1220"/>
      <c r="DA85" s="1220"/>
      <c r="DB85" s="1220"/>
      <c r="DC85" s="1220"/>
      <c r="DD85" s="1220"/>
      <c r="DE85" s="1220"/>
      <c r="DF85" s="1220"/>
      <c r="DG85" s="1220"/>
      <c r="DH85" s="1220"/>
      <c r="DI85" s="1220"/>
      <c r="DJ85" s="1220"/>
      <c r="DK85" s="1220"/>
      <c r="DL85" s="1220"/>
      <c r="DM85" s="1220"/>
      <c r="DN85" s="1220"/>
      <c r="DO85" s="1220"/>
      <c r="DP85" s="1220"/>
      <c r="DQ85" s="1220"/>
      <c r="DR85" s="1220"/>
      <c r="DS85" s="1220"/>
      <c r="DT85" s="1220"/>
      <c r="DU85" s="1220"/>
      <c r="DV85" s="1220"/>
      <c r="DW85" s="1220"/>
      <c r="DX85" s="1220"/>
      <c r="DY85" s="1220"/>
      <c r="DZ85" s="1220"/>
      <c r="EA85" s="1220"/>
      <c r="EB85" s="1220"/>
      <c r="EC85" s="1220"/>
      <c r="ED85" s="1220"/>
      <c r="EE85" s="1220"/>
      <c r="EF85" s="1220"/>
      <c r="EG85" s="1220"/>
      <c r="EH85" s="1220"/>
      <c r="EI85" s="1220"/>
      <c r="EJ85" s="1220"/>
      <c r="EK85" s="1220"/>
      <c r="EL85" s="1220"/>
      <c r="EM85" s="1220"/>
      <c r="EN85" s="1220"/>
      <c r="EO85" s="1220"/>
      <c r="EP85" s="1220"/>
      <c r="EQ85" s="1220"/>
      <c r="ER85" s="1220"/>
      <c r="ES85" s="1220"/>
      <c r="ET85" s="1220"/>
      <c r="EU85" s="1220"/>
      <c r="EV85" s="1220"/>
      <c r="EW85" s="1220"/>
      <c r="EX85" s="1220"/>
      <c r="EY85" s="1220"/>
      <c r="EZ85" s="1220"/>
      <c r="FA85" s="1220"/>
      <c r="FB85" s="1220"/>
      <c r="FC85" s="1220"/>
      <c r="FD85" s="1220"/>
      <c r="FE85" s="1220"/>
      <c r="FF85" s="1220"/>
      <c r="FG85" s="1220"/>
      <c r="FH85" s="1220"/>
      <c r="FI85" s="1220"/>
      <c r="FJ85" s="1220"/>
      <c r="FK85" s="1220"/>
    </row>
    <row r="86" spans="1:167">
      <c r="A86" s="1220"/>
      <c r="B86" s="1228"/>
      <c r="C86" s="1220"/>
      <c r="D86" s="1220"/>
      <c r="E86" s="1220"/>
      <c r="F86" s="1220"/>
      <c r="G86" s="1220"/>
      <c r="H86" s="1220"/>
      <c r="I86" s="1220"/>
      <c r="J86" s="1220"/>
      <c r="K86" s="1220"/>
      <c r="L86" s="1220"/>
      <c r="M86" s="1220"/>
      <c r="N86" s="1220"/>
      <c r="O86" s="1220"/>
      <c r="P86" s="1220"/>
      <c r="Q86" s="1220"/>
      <c r="R86" s="1220"/>
      <c r="S86" s="1220"/>
      <c r="T86" s="1220"/>
      <c r="U86" s="1220"/>
      <c r="V86" s="1220"/>
      <c r="W86" s="1220"/>
      <c r="X86" s="1220"/>
      <c r="Y86" s="1220"/>
      <c r="Z86" s="1220"/>
      <c r="AA86" s="1220"/>
      <c r="AB86" s="1220"/>
      <c r="AC86" s="1220"/>
      <c r="AD86" s="1220"/>
      <c r="AE86" s="1220"/>
      <c r="AF86" s="1220"/>
      <c r="AG86" s="1220"/>
      <c r="AH86" s="1220"/>
      <c r="AI86" s="1220"/>
      <c r="AJ86" s="1220"/>
      <c r="AK86" s="1220"/>
      <c r="AL86" s="1220"/>
      <c r="AM86" s="1220"/>
      <c r="AN86" s="1220"/>
      <c r="AO86" s="1220"/>
      <c r="AP86" s="1220"/>
      <c r="AQ86" s="1220"/>
      <c r="AR86" s="1220"/>
      <c r="AS86" s="1220"/>
      <c r="AT86" s="1220"/>
      <c r="AU86" s="1220"/>
      <c r="AV86" s="1220"/>
      <c r="AW86" s="1220"/>
      <c r="AX86" s="1220"/>
      <c r="AY86" s="1220"/>
      <c r="AZ86" s="1220"/>
      <c r="BA86" s="1220"/>
      <c r="BB86" s="1220"/>
      <c r="BC86" s="1220"/>
      <c r="BD86" s="1220"/>
      <c r="BE86" s="1220"/>
      <c r="BF86" s="1220"/>
      <c r="BG86" s="1220"/>
      <c r="BH86" s="1220"/>
      <c r="BI86" s="1220"/>
      <c r="BJ86" s="1220"/>
      <c r="BK86" s="1220"/>
      <c r="BL86" s="1220"/>
      <c r="BM86" s="1220"/>
      <c r="BN86" s="1220"/>
      <c r="BO86" s="1220"/>
      <c r="BP86" s="1220"/>
      <c r="BQ86" s="1220"/>
      <c r="BR86" s="1220"/>
      <c r="BS86" s="1220"/>
      <c r="BT86" s="1220"/>
      <c r="BU86" s="1220"/>
      <c r="BV86" s="1220"/>
      <c r="BW86" s="1220"/>
      <c r="BX86" s="1220"/>
      <c r="BY86" s="1220"/>
      <c r="BZ86" s="1220"/>
      <c r="CA86" s="1220"/>
      <c r="CB86" s="1220"/>
      <c r="CC86" s="1228"/>
      <c r="CD86" s="1228"/>
      <c r="CE86" s="1228"/>
      <c r="CF86" s="1220"/>
      <c r="CG86" s="1220"/>
      <c r="CH86" s="1220"/>
      <c r="CI86" s="1220"/>
      <c r="CJ86" s="1220"/>
      <c r="CK86" s="1220"/>
      <c r="CL86" s="1220"/>
      <c r="CM86" s="1220"/>
      <c r="CN86" s="1220"/>
      <c r="CO86" s="1220"/>
      <c r="CP86" s="1220"/>
      <c r="CQ86" s="1220"/>
      <c r="CR86" s="1220"/>
      <c r="CS86" s="1220"/>
      <c r="CT86" s="1220"/>
      <c r="CU86" s="1220"/>
      <c r="CV86" s="1220"/>
      <c r="CW86" s="1220"/>
      <c r="CX86" s="1220"/>
      <c r="CY86" s="1220"/>
      <c r="CZ86" s="1220"/>
      <c r="DA86" s="1220"/>
      <c r="DB86" s="1220"/>
      <c r="DC86" s="1220"/>
      <c r="DD86" s="1220"/>
      <c r="DE86" s="1220"/>
      <c r="DF86" s="1220"/>
      <c r="DG86" s="1220"/>
      <c r="DH86" s="1220"/>
      <c r="DI86" s="1220"/>
      <c r="DJ86" s="1220"/>
      <c r="DK86" s="1220"/>
      <c r="DL86" s="1220"/>
      <c r="DM86" s="1220"/>
      <c r="DN86" s="1220"/>
      <c r="DO86" s="1220"/>
      <c r="DP86" s="1220"/>
      <c r="DQ86" s="1220"/>
      <c r="DR86" s="1220"/>
      <c r="DS86" s="1220"/>
      <c r="DT86" s="1220"/>
      <c r="DU86" s="1220"/>
      <c r="DV86" s="1220"/>
      <c r="DW86" s="1220"/>
      <c r="DX86" s="1220"/>
      <c r="DY86" s="1220"/>
      <c r="DZ86" s="1220"/>
      <c r="EA86" s="1220"/>
      <c r="EB86" s="1220"/>
      <c r="EC86" s="1220"/>
      <c r="ED86" s="1220"/>
      <c r="EE86" s="1220"/>
      <c r="EF86" s="1220"/>
      <c r="EG86" s="1220"/>
      <c r="EH86" s="1220"/>
      <c r="EI86" s="1220"/>
      <c r="EJ86" s="1220"/>
      <c r="EK86" s="1220"/>
      <c r="EL86" s="1220"/>
      <c r="EM86" s="1220"/>
      <c r="EN86" s="1220"/>
      <c r="EO86" s="1220"/>
      <c r="EP86" s="1220"/>
      <c r="EQ86" s="1220"/>
      <c r="ER86" s="1220"/>
      <c r="ES86" s="1220"/>
      <c r="ET86" s="1220"/>
      <c r="EU86" s="1220"/>
      <c r="EV86" s="1220"/>
      <c r="EW86" s="1220"/>
      <c r="EX86" s="1220"/>
      <c r="EY86" s="1220"/>
      <c r="EZ86" s="1220"/>
      <c r="FA86" s="1220"/>
      <c r="FB86" s="1220"/>
      <c r="FC86" s="1220"/>
      <c r="FD86" s="1220"/>
      <c r="FE86" s="1220"/>
      <c r="FF86" s="1220"/>
      <c r="FG86" s="1220"/>
      <c r="FH86" s="1220"/>
      <c r="FI86" s="1220"/>
      <c r="FJ86" s="1220"/>
      <c r="FK86" s="1220"/>
    </row>
    <row r="87" spans="1:167">
      <c r="A87" s="1220"/>
      <c r="B87" s="1228"/>
      <c r="C87" s="1220"/>
      <c r="D87" s="1220"/>
      <c r="E87" s="1220"/>
      <c r="F87" s="1220"/>
      <c r="G87" s="1220"/>
      <c r="H87" s="1220"/>
      <c r="I87" s="1220"/>
      <c r="J87" s="1220"/>
      <c r="K87" s="1220"/>
      <c r="L87" s="1220"/>
      <c r="M87" s="1220"/>
      <c r="N87" s="1220"/>
      <c r="O87" s="1220"/>
      <c r="P87" s="1220"/>
      <c r="Q87" s="1220"/>
      <c r="R87" s="1220"/>
      <c r="S87" s="1220"/>
      <c r="T87" s="1220"/>
      <c r="U87" s="1220"/>
      <c r="V87" s="1220"/>
      <c r="W87" s="1220"/>
      <c r="X87" s="1220"/>
      <c r="Y87" s="1220"/>
      <c r="Z87" s="1220"/>
      <c r="AA87" s="1220"/>
      <c r="AB87" s="1220"/>
      <c r="AC87" s="1220"/>
      <c r="AD87" s="1220"/>
      <c r="AE87" s="1220"/>
      <c r="AF87" s="1220"/>
      <c r="AG87" s="1220"/>
      <c r="AH87" s="1220"/>
      <c r="AI87" s="1220"/>
      <c r="AJ87" s="1220"/>
      <c r="AK87" s="1220"/>
      <c r="AL87" s="1220"/>
      <c r="AM87" s="1220"/>
      <c r="AN87" s="1220"/>
      <c r="AO87" s="1220"/>
      <c r="AP87" s="1220"/>
      <c r="AQ87" s="1220"/>
      <c r="AR87" s="1220"/>
      <c r="AS87" s="1220"/>
      <c r="AT87" s="1220"/>
      <c r="AU87" s="1220"/>
      <c r="AV87" s="1220"/>
      <c r="AW87" s="1220"/>
      <c r="AX87" s="1220"/>
      <c r="AY87" s="1220"/>
      <c r="AZ87" s="1220"/>
      <c r="BA87" s="1220"/>
      <c r="BB87" s="1220"/>
      <c r="BC87" s="1220"/>
      <c r="BD87" s="1220"/>
      <c r="BE87" s="1220"/>
      <c r="BF87" s="1220"/>
      <c r="BG87" s="1220"/>
      <c r="BH87" s="1220"/>
      <c r="BI87" s="1220"/>
      <c r="BJ87" s="1220"/>
      <c r="BK87" s="1220"/>
      <c r="BL87" s="1220"/>
      <c r="BM87" s="1220"/>
      <c r="BN87" s="1220"/>
      <c r="BO87" s="1220"/>
      <c r="BP87" s="1220"/>
      <c r="BQ87" s="1220"/>
      <c r="BR87" s="1220"/>
      <c r="BS87" s="1220"/>
      <c r="BT87" s="1220"/>
      <c r="BU87" s="1220"/>
      <c r="BV87" s="1220"/>
      <c r="BW87" s="1220"/>
      <c r="BX87" s="1220"/>
      <c r="BY87" s="1220"/>
      <c r="BZ87" s="1220"/>
      <c r="CA87" s="1220"/>
      <c r="CB87" s="1220"/>
      <c r="CC87" s="1228"/>
      <c r="CD87" s="1228"/>
      <c r="CE87" s="1228"/>
      <c r="CF87" s="1220"/>
      <c r="CG87" s="1220"/>
      <c r="CH87" s="1220"/>
      <c r="CI87" s="1220"/>
      <c r="CJ87" s="1220"/>
      <c r="CK87" s="1220"/>
      <c r="CL87" s="1220"/>
      <c r="CM87" s="1220"/>
      <c r="CN87" s="1220"/>
      <c r="CO87" s="1220"/>
      <c r="CP87" s="1220"/>
      <c r="CQ87" s="1220"/>
      <c r="CR87" s="1220"/>
      <c r="CS87" s="1220"/>
      <c r="CT87" s="1220"/>
      <c r="CU87" s="1220"/>
      <c r="CV87" s="1220"/>
      <c r="CW87" s="1220"/>
      <c r="CX87" s="1220"/>
      <c r="CY87" s="1220"/>
      <c r="CZ87" s="1220"/>
      <c r="DA87" s="1220"/>
      <c r="DB87" s="1220"/>
      <c r="DC87" s="1220"/>
      <c r="DD87" s="1220"/>
      <c r="DE87" s="1220"/>
      <c r="DF87" s="1220"/>
      <c r="DG87" s="1220"/>
      <c r="DH87" s="1220"/>
      <c r="DI87" s="1220"/>
      <c r="DJ87" s="1220"/>
      <c r="DK87" s="1220"/>
      <c r="DL87" s="1220"/>
      <c r="DM87" s="1220"/>
      <c r="DN87" s="1220"/>
      <c r="DO87" s="1220"/>
      <c r="DP87" s="1220"/>
      <c r="DQ87" s="1220"/>
      <c r="DR87" s="1220"/>
      <c r="DS87" s="1220"/>
      <c r="DT87" s="1220"/>
      <c r="DU87" s="1220"/>
      <c r="DV87" s="1220"/>
      <c r="DW87" s="1220"/>
      <c r="DX87" s="1220"/>
      <c r="DY87" s="1220"/>
      <c r="DZ87" s="1220"/>
      <c r="EA87" s="1220"/>
      <c r="EB87" s="1220"/>
      <c r="EC87" s="1220"/>
      <c r="ED87" s="1220"/>
      <c r="EE87" s="1220"/>
      <c r="EF87" s="1220"/>
      <c r="EG87" s="1220"/>
      <c r="EH87" s="1220"/>
      <c r="EI87" s="1220"/>
      <c r="EJ87" s="1220"/>
      <c r="EK87" s="1220"/>
      <c r="EL87" s="1220"/>
      <c r="EM87" s="1220"/>
      <c r="EN87" s="1220"/>
      <c r="EO87" s="1220"/>
      <c r="EP87" s="1220"/>
      <c r="EQ87" s="1220"/>
      <c r="ER87" s="1220"/>
      <c r="ES87" s="1220"/>
      <c r="ET87" s="1220"/>
      <c r="EU87" s="1220"/>
      <c r="EV87" s="1220"/>
      <c r="EW87" s="1220"/>
      <c r="EX87" s="1220"/>
      <c r="EY87" s="1220"/>
      <c r="EZ87" s="1220"/>
      <c r="FA87" s="1220"/>
      <c r="FB87" s="1220"/>
      <c r="FC87" s="1220"/>
      <c r="FD87" s="1220"/>
      <c r="FE87" s="1220"/>
      <c r="FF87" s="1220"/>
      <c r="FG87" s="1220"/>
      <c r="FH87" s="1220"/>
      <c r="FI87" s="1220"/>
      <c r="FJ87" s="1220"/>
      <c r="FK87" s="1220"/>
    </row>
    <row r="88" spans="1:167">
      <c r="A88" s="1220"/>
      <c r="B88" s="1228"/>
      <c r="C88" s="1220"/>
      <c r="D88" s="1220"/>
      <c r="E88" s="1220"/>
      <c r="F88" s="1220"/>
      <c r="G88" s="1220"/>
      <c r="H88" s="1220"/>
      <c r="I88" s="1220"/>
      <c r="J88" s="1220"/>
      <c r="K88" s="1220"/>
      <c r="L88" s="1220"/>
      <c r="M88" s="1220"/>
      <c r="N88" s="1220"/>
      <c r="O88" s="1220"/>
      <c r="P88" s="1220"/>
      <c r="Q88" s="1220"/>
      <c r="R88" s="1220"/>
      <c r="S88" s="1220"/>
      <c r="T88" s="1220"/>
      <c r="U88" s="1220"/>
      <c r="V88" s="1220"/>
      <c r="W88" s="1220"/>
      <c r="X88" s="1220"/>
      <c r="Y88" s="1220"/>
      <c r="Z88" s="1220"/>
      <c r="AA88" s="1220"/>
      <c r="AB88" s="1220"/>
      <c r="AC88" s="1220"/>
      <c r="AD88" s="1220"/>
      <c r="AE88" s="1220"/>
      <c r="AF88" s="1220"/>
      <c r="AG88" s="1220"/>
      <c r="AH88" s="1220"/>
      <c r="AI88" s="1220"/>
      <c r="AJ88" s="1220"/>
      <c r="AK88" s="1220"/>
      <c r="AL88" s="1220"/>
      <c r="AM88" s="1220"/>
      <c r="AN88" s="1220"/>
      <c r="AO88" s="1220"/>
      <c r="AP88" s="1220"/>
      <c r="AQ88" s="1220"/>
      <c r="AR88" s="1220"/>
      <c r="AS88" s="1220"/>
      <c r="AT88" s="1220"/>
      <c r="AU88" s="1220"/>
      <c r="AV88" s="1220"/>
      <c r="AW88" s="1220"/>
      <c r="AX88" s="1220"/>
      <c r="AY88" s="1220"/>
      <c r="AZ88" s="1220"/>
      <c r="BA88" s="1220"/>
      <c r="BB88" s="1220"/>
      <c r="BC88" s="1220"/>
      <c r="BD88" s="1220"/>
      <c r="BE88" s="1220"/>
      <c r="BF88" s="1220"/>
      <c r="BG88" s="1220"/>
      <c r="BH88" s="1220"/>
      <c r="BI88" s="1220"/>
      <c r="BJ88" s="1220"/>
      <c r="BK88" s="1220"/>
      <c r="BL88" s="1220"/>
      <c r="BM88" s="1220"/>
      <c r="BN88" s="1220"/>
      <c r="BO88" s="1220"/>
      <c r="BP88" s="1220"/>
      <c r="BQ88" s="1220"/>
      <c r="BR88" s="1220"/>
      <c r="BS88" s="1220"/>
      <c r="BT88" s="1220"/>
      <c r="BU88" s="1220"/>
      <c r="BV88" s="1220"/>
      <c r="BW88" s="1220"/>
      <c r="BX88" s="1220"/>
      <c r="BY88" s="1220"/>
      <c r="BZ88" s="1220"/>
      <c r="CA88" s="1220"/>
      <c r="CB88" s="1220"/>
      <c r="CC88" s="1228"/>
      <c r="CD88" s="1228"/>
      <c r="CE88" s="1228"/>
      <c r="CF88" s="1220"/>
      <c r="CG88" s="1220"/>
      <c r="CH88" s="1220"/>
      <c r="CI88" s="1220"/>
      <c r="CJ88" s="1220"/>
      <c r="CK88" s="1220"/>
      <c r="CL88" s="1220"/>
      <c r="CM88" s="1220"/>
      <c r="CN88" s="1220"/>
      <c r="CO88" s="1220"/>
      <c r="CP88" s="1220"/>
      <c r="CQ88" s="1220"/>
      <c r="CR88" s="1220"/>
      <c r="CS88" s="1220"/>
      <c r="CT88" s="1220"/>
      <c r="CU88" s="1220"/>
      <c r="CV88" s="1220"/>
      <c r="CW88" s="1220"/>
      <c r="CX88" s="1220"/>
      <c r="CY88" s="1220"/>
      <c r="CZ88" s="1220"/>
      <c r="DA88" s="1220"/>
      <c r="DB88" s="1220"/>
      <c r="DC88" s="1220"/>
      <c r="DD88" s="1220"/>
      <c r="DE88" s="1220"/>
      <c r="DF88" s="1220"/>
      <c r="DG88" s="1220"/>
      <c r="DH88" s="1220"/>
      <c r="DI88" s="1220"/>
      <c r="DJ88" s="1220"/>
      <c r="DK88" s="1220"/>
      <c r="DL88" s="1220"/>
      <c r="DM88" s="1220"/>
      <c r="DN88" s="1220"/>
      <c r="DO88" s="1220"/>
      <c r="DP88" s="1220"/>
      <c r="DQ88" s="1220"/>
      <c r="DR88" s="1220"/>
      <c r="DS88" s="1220"/>
      <c r="DT88" s="1220"/>
      <c r="DU88" s="1220"/>
      <c r="DV88" s="1220"/>
      <c r="DW88" s="1220"/>
      <c r="DX88" s="1220"/>
      <c r="DY88" s="1220"/>
      <c r="DZ88" s="1220"/>
      <c r="EA88" s="1220"/>
      <c r="EB88" s="1220"/>
      <c r="EC88" s="1220"/>
      <c r="ED88" s="1220"/>
      <c r="EE88" s="1220"/>
      <c r="EF88" s="1220"/>
      <c r="EG88" s="1220"/>
      <c r="EH88" s="1220"/>
      <c r="EI88" s="1220"/>
      <c r="EJ88" s="1220"/>
      <c r="EK88" s="1220"/>
      <c r="EL88" s="1220"/>
      <c r="EM88" s="1220"/>
      <c r="EN88" s="1220"/>
      <c r="EO88" s="1220"/>
      <c r="EP88" s="1220"/>
      <c r="EQ88" s="1220"/>
      <c r="ER88" s="1220"/>
      <c r="ES88" s="1220"/>
      <c r="ET88" s="1220"/>
      <c r="EU88" s="1220"/>
      <c r="EV88" s="1220"/>
      <c r="EW88" s="1220"/>
      <c r="EX88" s="1220"/>
      <c r="EY88" s="1220"/>
      <c r="EZ88" s="1220"/>
      <c r="FA88" s="1220"/>
      <c r="FB88" s="1220"/>
      <c r="FC88" s="1220"/>
      <c r="FD88" s="1220"/>
      <c r="FE88" s="1220"/>
      <c r="FF88" s="1220"/>
      <c r="FG88" s="1220"/>
      <c r="FH88" s="1220"/>
      <c r="FI88" s="1220"/>
      <c r="FJ88" s="1220"/>
      <c r="FK88" s="1220"/>
    </row>
    <row r="89" spans="1:167">
      <c r="DU89" s="26"/>
      <c r="DY89" s="26"/>
      <c r="ED89" s="26"/>
      <c r="EE89" s="26"/>
    </row>
    <row r="90" spans="1:167">
      <c r="DU90" s="26"/>
      <c r="DY90" s="26"/>
      <c r="ED90" s="26"/>
      <c r="EE90" s="26"/>
    </row>
    <row r="91" spans="1:167">
      <c r="DU91" s="26"/>
      <c r="DY91" s="26"/>
      <c r="ED91" s="26"/>
      <c r="EE91" s="26"/>
    </row>
    <row r="92" spans="1:167">
      <c r="DU92" s="26"/>
      <c r="DY92" s="26"/>
      <c r="ED92" s="26"/>
      <c r="EE92" s="26"/>
    </row>
    <row r="93" spans="1:167">
      <c r="DU93" s="26"/>
      <c r="DY93" s="26"/>
      <c r="ED93" s="26"/>
      <c r="EE93" s="26"/>
    </row>
    <row r="94" spans="1:167">
      <c r="DU94" s="26"/>
      <c r="DY94" s="26"/>
      <c r="ED94" s="26"/>
      <c r="EE94" s="26"/>
    </row>
    <row r="95" spans="1:167">
      <c r="DU95" s="26"/>
      <c r="DY95" s="26"/>
      <c r="ED95" s="26"/>
      <c r="EE95" s="26"/>
    </row>
    <row r="96" spans="1:167">
      <c r="DU96" s="26"/>
      <c r="DY96" s="26"/>
      <c r="ED96" s="26"/>
      <c r="EE96" s="26"/>
    </row>
    <row r="97" spans="125:135">
      <c r="DU97" s="26"/>
      <c r="DY97" s="26"/>
      <c r="ED97" s="26"/>
      <c r="EE97" s="26"/>
    </row>
    <row r="98" spans="125:135">
      <c r="DU98" s="26"/>
      <c r="DY98" s="26"/>
      <c r="ED98" s="26"/>
      <c r="EE98" s="26"/>
    </row>
    <row r="99" spans="125:135">
      <c r="DU99" s="26"/>
      <c r="DY99" s="26"/>
      <c r="ED99" s="26"/>
      <c r="EE99" s="26"/>
    </row>
    <row r="100" spans="125:135">
      <c r="DU100" s="26"/>
      <c r="DY100" s="26"/>
      <c r="ED100" s="26"/>
      <c r="EE100" s="26"/>
    </row>
    <row r="101" spans="125:135">
      <c r="DU101" s="26"/>
      <c r="DY101" s="26"/>
      <c r="ED101" s="26"/>
      <c r="EE101" s="26"/>
    </row>
    <row r="102" spans="125:135">
      <c r="DU102" s="26"/>
      <c r="DY102" s="26"/>
      <c r="ED102" s="26"/>
      <c r="EE102" s="26"/>
    </row>
    <row r="103" spans="125:135">
      <c r="DU103" s="26"/>
      <c r="DY103" s="26"/>
      <c r="ED103" s="26"/>
      <c r="EE103" s="26"/>
    </row>
    <row r="104" spans="125:135">
      <c r="DU104" s="26"/>
      <c r="DY104" s="26"/>
      <c r="ED104" s="26"/>
      <c r="EE104" s="26"/>
    </row>
    <row r="105" spans="125:135">
      <c r="DU105" s="26"/>
      <c r="DY105" s="26"/>
      <c r="ED105" s="26"/>
      <c r="EE105" s="26"/>
    </row>
    <row r="106" spans="125:135">
      <c r="DU106" s="26"/>
      <c r="DY106" s="26"/>
      <c r="ED106" s="26"/>
      <c r="EE106" s="26"/>
    </row>
    <row r="107" spans="125:135">
      <c r="DU107" s="26"/>
      <c r="DY107" s="26"/>
      <c r="ED107" s="26"/>
      <c r="EE107" s="26"/>
    </row>
    <row r="108" spans="125:135">
      <c r="DU108" s="26"/>
      <c r="DY108" s="26"/>
      <c r="ED108" s="26"/>
      <c r="EE108" s="26"/>
    </row>
    <row r="109" spans="125:135">
      <c r="DU109" s="26"/>
      <c r="DY109" s="26"/>
      <c r="ED109" s="26"/>
      <c r="EE109" s="26"/>
    </row>
    <row r="110" spans="125:135">
      <c r="DU110" s="26"/>
      <c r="DY110" s="26"/>
      <c r="ED110" s="26"/>
      <c r="EE110" s="26"/>
    </row>
    <row r="111" spans="125:135">
      <c r="DU111" s="26"/>
      <c r="DY111" s="26"/>
      <c r="ED111" s="26"/>
      <c r="EE111" s="26"/>
    </row>
    <row r="112" spans="125:135">
      <c r="DU112" s="26"/>
      <c r="DY112" s="26"/>
      <c r="ED112" s="26"/>
      <c r="EE112" s="26"/>
    </row>
    <row r="113" spans="125:135">
      <c r="DU113" s="26"/>
      <c r="DY113" s="26"/>
      <c r="ED113" s="26"/>
      <c r="EE113" s="26"/>
    </row>
    <row r="114" spans="125:135">
      <c r="DU114" s="26"/>
      <c r="DY114" s="26"/>
      <c r="ED114" s="26"/>
      <c r="EE114" s="26"/>
    </row>
    <row r="115" spans="125:135">
      <c r="DU115" s="26"/>
      <c r="DY115" s="26"/>
      <c r="ED115" s="26"/>
      <c r="EE115" s="26"/>
    </row>
    <row r="116" spans="125:135">
      <c r="DU116" s="26"/>
      <c r="DY116" s="26"/>
      <c r="ED116" s="26"/>
      <c r="EE116" s="26"/>
    </row>
    <row r="117" spans="125:135">
      <c r="DU117" s="26"/>
      <c r="DY117" s="26"/>
      <c r="ED117" s="26"/>
      <c r="EE117" s="26"/>
    </row>
    <row r="118" spans="125:135">
      <c r="DU118" s="26"/>
      <c r="DY118" s="26"/>
      <c r="ED118" s="26"/>
      <c r="EE118" s="26"/>
    </row>
    <row r="119" spans="125:135">
      <c r="DU119" s="26"/>
      <c r="DY119" s="26"/>
      <c r="ED119" s="26"/>
      <c r="EE119" s="26"/>
    </row>
    <row r="120" spans="125:135">
      <c r="DU120" s="26"/>
      <c r="DY120" s="26"/>
      <c r="ED120" s="26"/>
      <c r="EE120" s="26"/>
    </row>
    <row r="121" spans="125:135">
      <c r="DU121" s="26"/>
      <c r="DY121" s="26"/>
      <c r="ED121" s="26"/>
      <c r="EE121" s="26"/>
    </row>
    <row r="122" spans="125:135">
      <c r="DU122" s="26"/>
      <c r="DY122" s="26"/>
      <c r="ED122" s="26"/>
      <c r="EE122" s="26"/>
    </row>
    <row r="123" spans="125:135">
      <c r="DU123" s="26"/>
      <c r="DY123" s="26"/>
      <c r="ED123" s="26"/>
      <c r="EE123" s="26"/>
    </row>
    <row r="124" spans="125:135">
      <c r="DU124" s="26"/>
      <c r="DY124" s="26"/>
      <c r="ED124" s="26"/>
      <c r="EE124" s="26"/>
    </row>
    <row r="125" spans="125:135">
      <c r="DU125" s="26"/>
      <c r="DY125" s="26"/>
      <c r="ED125" s="26"/>
      <c r="EE125" s="26"/>
    </row>
    <row r="126" spans="125:135">
      <c r="DU126" s="26"/>
      <c r="DY126" s="26"/>
      <c r="ED126" s="26"/>
      <c r="EE126" s="26"/>
    </row>
    <row r="127" spans="125:135">
      <c r="DU127" s="26"/>
      <c r="DY127" s="26"/>
      <c r="ED127" s="26"/>
      <c r="EE127" s="26"/>
    </row>
    <row r="128" spans="125:135">
      <c r="DU128" s="26"/>
      <c r="DY128" s="26"/>
      <c r="ED128" s="26"/>
      <c r="EE128" s="26"/>
    </row>
    <row r="129" spans="125:135">
      <c r="DU129" s="26"/>
      <c r="DY129" s="26"/>
      <c r="ED129" s="26"/>
      <c r="EE129" s="26"/>
    </row>
    <row r="130" spans="125:135">
      <c r="DU130" s="26"/>
      <c r="DY130" s="26"/>
      <c r="ED130" s="26"/>
      <c r="EE130" s="26"/>
    </row>
    <row r="131" spans="125:135">
      <c r="DU131" s="26"/>
      <c r="DY131" s="26"/>
      <c r="ED131" s="26"/>
      <c r="EE131" s="26"/>
    </row>
    <row r="132" spans="125:135">
      <c r="DU132" s="26"/>
      <c r="DY132" s="26"/>
      <c r="ED132" s="26"/>
      <c r="EE132" s="26"/>
    </row>
    <row r="133" spans="125:135">
      <c r="DU133" s="26"/>
      <c r="DY133" s="26"/>
      <c r="ED133" s="26"/>
      <c r="EE133" s="26"/>
    </row>
    <row r="134" spans="125:135">
      <c r="DU134" s="26"/>
      <c r="DY134" s="26"/>
      <c r="ED134" s="26"/>
      <c r="EE134" s="26"/>
    </row>
    <row r="135" spans="125:135">
      <c r="DU135" s="26"/>
      <c r="DY135" s="26"/>
      <c r="ED135" s="26"/>
      <c r="EE135" s="26"/>
    </row>
    <row r="136" spans="125:135">
      <c r="DU136" s="26"/>
      <c r="DY136" s="26"/>
      <c r="ED136" s="26"/>
      <c r="EE136" s="26"/>
    </row>
    <row r="137" spans="125:135">
      <c r="DU137" s="26"/>
      <c r="DY137" s="26"/>
      <c r="ED137" s="26"/>
      <c r="EE137" s="26"/>
    </row>
    <row r="138" spans="125:135">
      <c r="DU138" s="26"/>
      <c r="DY138" s="26"/>
      <c r="ED138" s="26"/>
      <c r="EE138" s="26"/>
    </row>
    <row r="139" spans="125:135">
      <c r="DU139" s="26"/>
      <c r="DY139" s="26"/>
      <c r="ED139" s="26"/>
      <c r="EE139" s="26"/>
    </row>
    <row r="140" spans="125:135">
      <c r="DU140" s="26"/>
      <c r="DY140" s="26"/>
      <c r="ED140" s="26"/>
      <c r="EE140" s="26"/>
    </row>
    <row r="141" spans="125:135">
      <c r="DU141" s="26"/>
      <c r="DY141" s="26"/>
      <c r="ED141" s="26"/>
      <c r="EE141" s="26"/>
    </row>
    <row r="142" spans="125:135">
      <c r="DU142" s="26"/>
      <c r="DY142" s="26"/>
      <c r="ED142" s="26"/>
      <c r="EE142" s="26"/>
    </row>
    <row r="143" spans="125:135">
      <c r="DU143" s="26"/>
      <c r="DY143" s="26"/>
      <c r="ED143" s="26"/>
      <c r="EE143" s="26"/>
    </row>
    <row r="144" spans="125:135">
      <c r="DU144" s="26"/>
      <c r="DY144" s="26"/>
      <c r="ED144" s="26"/>
      <c r="EE144" s="26"/>
    </row>
    <row r="145" spans="125:135">
      <c r="DU145" s="26"/>
      <c r="DY145" s="26"/>
      <c r="ED145" s="26"/>
      <c r="EE145" s="26"/>
    </row>
    <row r="146" spans="125:135">
      <c r="DU146" s="26"/>
      <c r="DY146" s="26"/>
      <c r="ED146" s="26"/>
      <c r="EE146" s="26"/>
    </row>
    <row r="147" spans="125:135">
      <c r="DU147" s="26"/>
      <c r="DY147" s="26"/>
      <c r="ED147" s="26"/>
      <c r="EE147" s="26"/>
    </row>
    <row r="148" spans="125:135">
      <c r="DU148" s="26"/>
      <c r="DY148" s="26"/>
      <c r="ED148" s="26"/>
      <c r="EE148" s="26"/>
    </row>
    <row r="149" spans="125:135">
      <c r="DU149" s="26"/>
      <c r="DY149" s="26"/>
      <c r="ED149" s="26"/>
      <c r="EE149" s="26"/>
    </row>
    <row r="150" spans="125:135">
      <c r="DU150" s="26"/>
      <c r="DY150" s="26"/>
      <c r="ED150" s="26"/>
      <c r="EE150" s="26"/>
    </row>
    <row r="151" spans="125:135">
      <c r="DU151" s="26"/>
      <c r="DY151" s="26"/>
      <c r="ED151" s="26"/>
      <c r="EE151" s="26"/>
    </row>
    <row r="152" spans="125:135">
      <c r="DU152" s="26"/>
      <c r="DY152" s="26"/>
      <c r="ED152" s="26"/>
      <c r="EE152" s="26"/>
    </row>
    <row r="153" spans="125:135">
      <c r="DU153" s="26"/>
      <c r="DY153" s="26"/>
      <c r="ED153" s="26"/>
      <c r="EE153" s="26"/>
    </row>
    <row r="154" spans="125:135">
      <c r="DU154" s="26"/>
      <c r="DY154" s="26"/>
      <c r="ED154" s="26"/>
      <c r="EE154" s="26"/>
    </row>
    <row r="155" spans="125:135">
      <c r="DU155" s="26"/>
      <c r="DY155" s="26"/>
      <c r="ED155" s="26"/>
      <c r="EE155" s="26"/>
    </row>
    <row r="156" spans="125:135">
      <c r="DU156" s="26"/>
      <c r="DY156" s="26"/>
      <c r="ED156" s="26"/>
      <c r="EE156" s="26"/>
    </row>
    <row r="157" spans="125:135">
      <c r="DU157" s="26"/>
      <c r="DY157" s="26"/>
      <c r="ED157" s="26"/>
      <c r="EE157" s="26"/>
    </row>
    <row r="158" spans="125:135">
      <c r="DU158" s="26"/>
      <c r="DY158" s="26"/>
      <c r="ED158" s="26"/>
      <c r="EE158" s="26"/>
    </row>
    <row r="159" spans="125:135">
      <c r="DU159" s="26"/>
      <c r="DY159" s="26"/>
      <c r="ED159" s="26"/>
      <c r="EE159" s="26"/>
    </row>
    <row r="160" spans="125:135">
      <c r="DU160" s="26"/>
      <c r="DY160" s="26"/>
      <c r="ED160" s="26"/>
      <c r="EE160" s="26"/>
    </row>
    <row r="161" spans="125:135">
      <c r="DU161" s="26"/>
      <c r="DY161" s="26"/>
      <c r="ED161" s="26"/>
      <c r="EE161" s="26"/>
    </row>
    <row r="162" spans="125:135">
      <c r="DU162" s="26"/>
      <c r="DY162" s="26"/>
      <c r="ED162" s="26"/>
      <c r="EE162" s="26"/>
    </row>
    <row r="163" spans="125:135">
      <c r="DU163" s="26"/>
      <c r="DY163" s="26"/>
      <c r="ED163" s="26"/>
      <c r="EE163" s="26"/>
    </row>
    <row r="164" spans="125:135">
      <c r="DU164" s="26"/>
      <c r="DY164" s="26"/>
      <c r="ED164" s="26"/>
      <c r="EE164" s="26"/>
    </row>
    <row r="165" spans="125:135">
      <c r="DU165" s="26"/>
      <c r="DY165" s="26"/>
      <c r="ED165" s="26"/>
      <c r="EE165" s="26"/>
    </row>
    <row r="166" spans="125:135">
      <c r="DU166" s="26"/>
      <c r="DY166" s="26"/>
      <c r="ED166" s="26"/>
      <c r="EE166" s="26"/>
    </row>
    <row r="167" spans="125:135">
      <c r="DU167" s="26"/>
      <c r="DY167" s="26"/>
      <c r="ED167" s="26"/>
      <c r="EE167" s="26"/>
    </row>
    <row r="168" spans="125:135">
      <c r="DU168" s="26"/>
      <c r="DY168" s="26"/>
      <c r="ED168" s="26"/>
      <c r="EE168" s="26"/>
    </row>
    <row r="169" spans="125:135">
      <c r="DU169" s="26"/>
      <c r="DY169" s="26"/>
      <c r="ED169" s="26"/>
      <c r="EE169" s="26"/>
    </row>
    <row r="170" spans="125:135">
      <c r="DU170" s="26"/>
      <c r="DY170" s="26"/>
      <c r="ED170" s="26"/>
      <c r="EE170" s="26"/>
    </row>
    <row r="171" spans="125:135">
      <c r="DU171" s="26"/>
      <c r="DY171" s="26"/>
      <c r="ED171" s="26"/>
      <c r="EE171" s="26"/>
    </row>
    <row r="172" spans="125:135">
      <c r="DU172" s="26"/>
      <c r="DY172" s="26"/>
      <c r="ED172" s="26"/>
      <c r="EE172" s="26"/>
    </row>
    <row r="173" spans="125:135">
      <c r="DU173" s="26"/>
      <c r="DY173" s="26"/>
      <c r="ED173" s="26"/>
      <c r="EE173" s="26"/>
    </row>
    <row r="174" spans="125:135">
      <c r="DU174" s="26"/>
      <c r="DY174" s="26"/>
      <c r="ED174" s="26"/>
      <c r="EE174" s="26"/>
    </row>
    <row r="175" spans="125:135">
      <c r="DU175" s="26"/>
      <c r="DY175" s="26"/>
      <c r="ED175" s="26"/>
      <c r="EE175" s="26"/>
    </row>
    <row r="176" spans="125:135">
      <c r="DU176" s="26"/>
      <c r="DY176" s="26"/>
      <c r="ED176" s="26"/>
      <c r="EE176" s="26"/>
    </row>
    <row r="177" spans="125:135">
      <c r="DU177" s="26"/>
      <c r="DY177" s="26"/>
      <c r="ED177" s="26"/>
      <c r="EE177" s="26"/>
    </row>
    <row r="178" spans="125:135">
      <c r="DU178" s="26"/>
      <c r="DY178" s="26"/>
      <c r="ED178" s="26"/>
      <c r="EE178" s="26"/>
    </row>
    <row r="179" spans="125:135">
      <c r="DU179" s="26"/>
      <c r="DY179" s="26"/>
      <c r="ED179" s="26"/>
      <c r="EE179" s="26"/>
    </row>
    <row r="180" spans="125:135">
      <c r="DU180" s="26"/>
      <c r="DY180" s="26"/>
      <c r="ED180" s="26"/>
      <c r="EE180" s="26"/>
    </row>
    <row r="181" spans="125:135">
      <c r="DU181" s="26"/>
      <c r="DY181" s="26"/>
      <c r="ED181" s="26"/>
      <c r="EE181" s="26"/>
    </row>
    <row r="182" spans="125:135">
      <c r="DU182" s="26"/>
      <c r="DY182" s="26"/>
      <c r="ED182" s="26"/>
      <c r="EE182" s="26"/>
    </row>
    <row r="183" spans="125:135">
      <c r="DU183" s="26"/>
      <c r="DY183" s="26"/>
      <c r="ED183" s="26"/>
      <c r="EE183" s="26"/>
    </row>
    <row r="184" spans="125:135">
      <c r="DU184" s="26"/>
      <c r="DY184" s="26"/>
      <c r="ED184" s="26"/>
      <c r="EE184" s="26"/>
    </row>
    <row r="185" spans="125:135">
      <c r="DU185" s="26"/>
      <c r="DY185" s="26"/>
      <c r="ED185" s="26"/>
      <c r="EE185" s="26"/>
    </row>
    <row r="186" spans="125:135">
      <c r="DU186" s="26"/>
      <c r="DY186" s="26"/>
      <c r="ED186" s="26"/>
      <c r="EE186" s="26"/>
    </row>
    <row r="187" spans="125:135">
      <c r="DU187" s="26"/>
      <c r="DY187" s="26"/>
      <c r="ED187" s="26"/>
      <c r="EE187" s="26"/>
    </row>
    <row r="188" spans="125:135">
      <c r="DU188" s="26"/>
      <c r="DY188" s="26"/>
      <c r="ED188" s="26"/>
      <c r="EE188" s="26"/>
    </row>
    <row r="189" spans="125:135">
      <c r="DU189" s="26"/>
      <c r="DY189" s="26"/>
      <c r="ED189" s="26"/>
      <c r="EE189" s="26"/>
    </row>
    <row r="190" spans="125:135">
      <c r="DU190" s="26"/>
      <c r="DY190" s="26"/>
      <c r="ED190" s="26"/>
      <c r="EE190" s="26"/>
    </row>
    <row r="191" spans="125:135">
      <c r="DU191" s="26"/>
      <c r="DY191" s="26"/>
      <c r="ED191" s="26"/>
      <c r="EE191" s="26"/>
    </row>
    <row r="192" spans="125:135">
      <c r="DU192" s="26"/>
      <c r="DY192" s="26"/>
      <c r="ED192" s="26"/>
      <c r="EE192" s="26"/>
    </row>
    <row r="193" spans="125:135">
      <c r="DU193" s="26"/>
      <c r="DY193" s="26"/>
      <c r="ED193" s="26"/>
      <c r="EE193" s="26"/>
    </row>
    <row r="194" spans="125:135">
      <c r="DU194" s="26"/>
      <c r="DY194" s="26"/>
      <c r="ED194" s="26"/>
      <c r="EE194" s="26"/>
    </row>
    <row r="195" spans="125:135">
      <c r="DU195" s="26"/>
      <c r="DY195" s="26"/>
      <c r="ED195" s="26"/>
      <c r="EE195" s="26"/>
    </row>
    <row r="196" spans="125:135">
      <c r="DU196" s="26"/>
      <c r="DY196" s="26"/>
      <c r="ED196" s="26"/>
      <c r="EE196" s="26"/>
    </row>
    <row r="197" spans="125:135">
      <c r="DU197" s="26"/>
      <c r="DY197" s="26"/>
      <c r="ED197" s="26"/>
      <c r="EE197" s="26"/>
    </row>
    <row r="198" spans="125:135">
      <c r="DU198" s="26"/>
      <c r="DY198" s="26"/>
      <c r="ED198" s="26"/>
      <c r="EE198" s="26"/>
    </row>
    <row r="199" spans="125:135">
      <c r="DU199" s="26"/>
      <c r="DY199" s="26"/>
      <c r="ED199" s="26"/>
      <c r="EE199" s="26"/>
    </row>
    <row r="200" spans="125:135">
      <c r="DU200" s="26"/>
      <c r="DY200" s="26"/>
      <c r="ED200" s="26"/>
      <c r="EE200" s="26"/>
    </row>
    <row r="201" spans="125:135">
      <c r="DU201" s="26"/>
      <c r="DY201" s="26"/>
      <c r="ED201" s="26"/>
      <c r="EE201" s="26"/>
    </row>
    <row r="202" spans="125:135">
      <c r="DU202" s="26"/>
      <c r="DY202" s="26"/>
      <c r="ED202" s="26"/>
      <c r="EE202" s="26"/>
    </row>
    <row r="203" spans="125:135">
      <c r="DU203" s="26"/>
      <c r="DY203" s="26"/>
      <c r="ED203" s="26"/>
      <c r="EE203" s="26"/>
    </row>
    <row r="204" spans="125:135">
      <c r="DU204" s="26"/>
      <c r="DY204" s="26"/>
      <c r="ED204" s="26"/>
      <c r="EE204" s="26"/>
    </row>
    <row r="205" spans="125:135">
      <c r="DU205" s="26"/>
      <c r="DY205" s="26"/>
      <c r="ED205" s="26"/>
      <c r="EE205" s="26"/>
    </row>
    <row r="206" spans="125:135">
      <c r="DU206" s="26"/>
      <c r="DY206" s="26"/>
      <c r="ED206" s="26"/>
      <c r="EE206" s="26"/>
    </row>
    <row r="207" spans="125:135">
      <c r="DU207" s="26"/>
      <c r="DY207" s="26"/>
      <c r="ED207" s="26"/>
      <c r="EE207" s="26"/>
    </row>
    <row r="208" spans="125:135">
      <c r="DU208" s="26"/>
      <c r="DY208" s="26"/>
      <c r="ED208" s="26"/>
      <c r="EE208" s="26"/>
    </row>
    <row r="209" spans="125:135">
      <c r="DU209" s="26"/>
      <c r="DY209" s="26"/>
      <c r="ED209" s="26"/>
      <c r="EE209" s="26"/>
    </row>
    <row r="210" spans="125:135">
      <c r="DU210" s="26"/>
      <c r="DY210" s="26"/>
      <c r="ED210" s="26"/>
      <c r="EE210" s="26"/>
    </row>
    <row r="211" spans="125:135">
      <c r="DU211" s="26"/>
      <c r="DY211" s="26"/>
      <c r="ED211" s="26"/>
      <c r="EE211" s="26"/>
    </row>
    <row r="212" spans="125:135">
      <c r="DU212" s="26"/>
      <c r="DY212" s="26"/>
      <c r="ED212" s="26"/>
      <c r="EE212" s="26"/>
    </row>
    <row r="213" spans="125:135">
      <c r="DU213" s="26"/>
      <c r="DY213" s="26"/>
      <c r="ED213" s="26"/>
      <c r="EE213" s="26"/>
    </row>
    <row r="214" spans="125:135">
      <c r="DU214" s="26"/>
      <c r="DY214" s="26"/>
      <c r="ED214" s="26"/>
      <c r="EE214" s="26"/>
    </row>
    <row r="215" spans="125:135">
      <c r="DU215" s="26"/>
      <c r="DY215" s="26"/>
      <c r="ED215" s="26"/>
      <c r="EE215" s="26"/>
    </row>
    <row r="216" spans="125:135">
      <c r="DU216" s="26"/>
      <c r="DY216" s="26"/>
      <c r="ED216" s="26"/>
      <c r="EE216" s="26"/>
    </row>
    <row r="217" spans="125:135">
      <c r="DU217" s="26"/>
      <c r="DY217" s="26"/>
      <c r="ED217" s="26"/>
      <c r="EE217" s="26"/>
    </row>
    <row r="218" spans="125:135">
      <c r="DU218" s="26"/>
      <c r="DY218" s="26"/>
      <c r="ED218" s="26"/>
      <c r="EE218" s="26"/>
    </row>
    <row r="219" spans="125:135">
      <c r="DU219" s="26"/>
      <c r="DY219" s="26"/>
      <c r="ED219" s="26"/>
      <c r="EE219" s="26"/>
    </row>
    <row r="220" spans="125:135">
      <c r="DU220" s="26"/>
      <c r="DY220" s="26"/>
      <c r="ED220" s="26"/>
      <c r="EE220" s="26"/>
    </row>
    <row r="221" spans="125:135">
      <c r="DU221" s="26"/>
      <c r="DY221" s="26"/>
      <c r="ED221" s="26"/>
      <c r="EE221" s="26"/>
    </row>
    <row r="222" spans="125:135">
      <c r="DU222" s="26"/>
      <c r="DY222" s="26"/>
      <c r="ED222" s="26"/>
      <c r="EE222" s="26"/>
    </row>
    <row r="223" spans="125:135">
      <c r="DU223" s="26"/>
      <c r="DY223" s="26"/>
      <c r="ED223" s="26"/>
      <c r="EE223" s="26"/>
    </row>
    <row r="224" spans="125:135">
      <c r="DU224" s="26"/>
      <c r="DY224" s="26"/>
      <c r="ED224" s="26"/>
      <c r="EE224" s="26"/>
    </row>
    <row r="225" spans="125:135">
      <c r="DU225" s="26"/>
      <c r="DY225" s="26"/>
      <c r="ED225" s="26"/>
      <c r="EE225" s="26"/>
    </row>
    <row r="226" spans="125:135">
      <c r="DU226" s="26"/>
      <c r="DY226" s="26"/>
      <c r="ED226" s="26"/>
      <c r="EE226" s="26"/>
    </row>
    <row r="227" spans="125:135">
      <c r="DU227" s="26"/>
      <c r="DY227" s="26"/>
      <c r="ED227" s="26"/>
      <c r="EE227" s="26"/>
    </row>
    <row r="228" spans="125:135">
      <c r="DU228" s="26"/>
      <c r="DY228" s="26"/>
      <c r="ED228" s="26"/>
      <c r="EE228" s="26"/>
    </row>
    <row r="229" spans="125:135">
      <c r="DU229" s="26"/>
      <c r="DY229" s="26"/>
      <c r="ED229" s="26"/>
      <c r="EE229" s="26"/>
    </row>
    <row r="230" spans="125:135">
      <c r="DU230" s="26"/>
      <c r="DY230" s="26"/>
      <c r="ED230" s="26"/>
      <c r="EE230" s="26"/>
    </row>
    <row r="231" spans="125:135">
      <c r="DU231" s="26"/>
      <c r="DY231" s="26"/>
      <c r="ED231" s="26"/>
      <c r="EE231" s="26"/>
    </row>
    <row r="232" spans="125:135">
      <c r="DU232" s="26"/>
      <c r="DY232" s="26"/>
      <c r="ED232" s="26"/>
      <c r="EE232" s="26"/>
    </row>
    <row r="233" spans="125:135">
      <c r="DU233" s="26"/>
      <c r="DY233" s="26"/>
      <c r="ED233" s="26"/>
      <c r="EE233" s="26"/>
    </row>
    <row r="234" spans="125:135">
      <c r="DU234" s="26"/>
      <c r="DY234" s="26"/>
      <c r="ED234" s="26"/>
      <c r="EE234" s="26"/>
    </row>
    <row r="235" spans="125:135">
      <c r="DU235" s="26"/>
      <c r="DY235" s="26"/>
      <c r="ED235" s="26"/>
      <c r="EE235" s="26"/>
    </row>
    <row r="236" spans="125:135">
      <c r="DU236" s="26"/>
      <c r="DY236" s="26"/>
      <c r="ED236" s="26"/>
      <c r="EE236" s="26"/>
    </row>
    <row r="237" spans="125:135">
      <c r="DU237" s="26"/>
      <c r="DY237" s="26"/>
      <c r="ED237" s="26"/>
      <c r="EE237" s="26"/>
    </row>
    <row r="238" spans="125:135">
      <c r="DU238" s="26"/>
      <c r="DY238" s="26"/>
      <c r="ED238" s="26"/>
      <c r="EE238" s="26"/>
    </row>
    <row r="239" spans="125:135">
      <c r="DU239" s="26"/>
      <c r="DY239" s="26"/>
      <c r="ED239" s="26"/>
      <c r="EE239" s="26"/>
    </row>
    <row r="240" spans="125:135">
      <c r="DU240" s="26"/>
      <c r="DY240" s="26"/>
      <c r="ED240" s="26"/>
      <c r="EE240" s="26"/>
    </row>
    <row r="241" spans="125:135">
      <c r="DU241" s="26"/>
      <c r="DY241" s="26"/>
      <c r="ED241" s="26"/>
      <c r="EE241" s="26"/>
    </row>
    <row r="242" spans="125:135">
      <c r="DU242" s="26"/>
      <c r="DY242" s="26"/>
      <c r="ED242" s="26"/>
      <c r="EE242" s="26"/>
    </row>
    <row r="243" spans="125:135">
      <c r="DU243" s="26"/>
      <c r="DY243" s="26"/>
      <c r="ED243" s="26"/>
      <c r="EE243" s="26"/>
    </row>
    <row r="244" spans="125:135">
      <c r="DU244" s="26"/>
      <c r="DY244" s="26"/>
      <c r="ED244" s="26"/>
      <c r="EE244" s="26"/>
    </row>
    <row r="245" spans="125:135">
      <c r="DU245" s="26"/>
      <c r="DY245" s="26"/>
      <c r="ED245" s="26"/>
      <c r="EE245" s="26"/>
    </row>
    <row r="246" spans="125:135">
      <c r="DU246" s="26"/>
      <c r="DY246" s="26"/>
      <c r="ED246" s="26"/>
      <c r="EE246" s="26"/>
    </row>
    <row r="247" spans="125:135">
      <c r="DU247" s="26"/>
      <c r="DY247" s="26"/>
      <c r="ED247" s="26"/>
      <c r="EE247" s="26"/>
    </row>
    <row r="248" spans="125:135">
      <c r="DU248" s="26"/>
      <c r="DY248" s="26"/>
      <c r="ED248" s="26"/>
      <c r="EE248" s="26"/>
    </row>
    <row r="249" spans="125:135">
      <c r="DU249" s="26"/>
      <c r="DY249" s="26"/>
      <c r="ED249" s="26"/>
      <c r="EE249" s="26"/>
    </row>
    <row r="250" spans="125:135">
      <c r="DU250" s="26"/>
      <c r="DY250" s="26"/>
      <c r="ED250" s="26"/>
      <c r="EE250" s="26"/>
    </row>
    <row r="251" spans="125:135">
      <c r="DU251" s="26"/>
      <c r="DY251" s="26"/>
      <c r="ED251" s="26"/>
      <c r="EE251" s="26"/>
    </row>
    <row r="252" spans="125:135">
      <c r="DU252" s="26"/>
      <c r="DY252" s="26"/>
      <c r="ED252" s="26"/>
      <c r="EE252" s="26"/>
    </row>
    <row r="253" spans="125:135">
      <c r="DU253" s="26"/>
      <c r="DY253" s="26"/>
      <c r="ED253" s="26"/>
      <c r="EE253" s="26"/>
    </row>
    <row r="254" spans="125:135">
      <c r="DU254" s="26"/>
      <c r="DY254" s="26"/>
      <c r="ED254" s="26"/>
      <c r="EE254" s="26"/>
    </row>
    <row r="255" spans="125:135">
      <c r="DU255" s="26"/>
      <c r="DY255" s="26"/>
      <c r="ED255" s="26"/>
      <c r="EE255" s="26"/>
    </row>
    <row r="256" spans="125:135">
      <c r="DU256" s="26"/>
      <c r="DY256" s="26"/>
      <c r="ED256" s="26"/>
      <c r="EE256" s="26"/>
    </row>
    <row r="257" spans="125:135">
      <c r="DU257" s="26"/>
      <c r="DY257" s="26"/>
      <c r="ED257" s="26"/>
      <c r="EE257" s="26"/>
    </row>
    <row r="258" spans="125:135">
      <c r="DU258" s="26"/>
      <c r="DY258" s="26"/>
      <c r="ED258" s="26"/>
      <c r="EE258" s="26"/>
    </row>
    <row r="259" spans="125:135">
      <c r="DU259" s="26"/>
      <c r="DY259" s="26"/>
      <c r="ED259" s="26"/>
      <c r="EE259" s="26"/>
    </row>
    <row r="260" spans="125:135">
      <c r="DU260" s="26"/>
      <c r="DY260" s="26"/>
      <c r="ED260" s="26"/>
      <c r="EE260" s="26"/>
    </row>
    <row r="261" spans="125:135">
      <c r="DU261" s="26"/>
      <c r="DY261" s="26"/>
      <c r="ED261" s="26"/>
      <c r="EE261" s="26"/>
    </row>
    <row r="262" spans="125:135">
      <c r="DU262" s="26"/>
      <c r="DY262" s="26"/>
      <c r="ED262" s="26"/>
      <c r="EE262" s="26"/>
    </row>
    <row r="263" spans="125:135">
      <c r="DU263" s="26"/>
      <c r="DY263" s="26"/>
      <c r="ED263" s="26"/>
      <c r="EE263" s="26"/>
    </row>
    <row r="264" spans="125:135">
      <c r="DU264" s="26"/>
      <c r="DY264" s="26"/>
      <c r="ED264" s="26"/>
      <c r="EE264" s="26"/>
    </row>
    <row r="265" spans="125:135">
      <c r="DU265" s="26"/>
      <c r="DY265" s="26"/>
      <c r="ED265" s="26"/>
      <c r="EE265" s="26"/>
    </row>
    <row r="266" spans="125:135">
      <c r="DU266" s="26"/>
      <c r="DY266" s="26"/>
      <c r="ED266" s="26"/>
      <c r="EE266" s="26"/>
    </row>
    <row r="267" spans="125:135">
      <c r="DU267" s="26"/>
      <c r="DY267" s="26"/>
      <c r="ED267" s="26"/>
      <c r="EE267" s="26"/>
    </row>
    <row r="268" spans="125:135">
      <c r="DU268" s="26"/>
      <c r="DY268" s="26"/>
      <c r="ED268" s="26"/>
      <c r="EE268" s="26"/>
    </row>
    <row r="269" spans="125:135">
      <c r="DU269" s="26"/>
      <c r="DY269" s="26"/>
      <c r="ED269" s="26"/>
      <c r="EE269" s="26"/>
    </row>
    <row r="270" spans="125:135">
      <c r="DU270" s="26"/>
      <c r="DY270" s="26"/>
      <c r="ED270" s="26"/>
      <c r="EE270" s="26"/>
    </row>
    <row r="271" spans="125:135">
      <c r="DU271" s="26"/>
      <c r="DY271" s="26"/>
      <c r="ED271" s="26"/>
      <c r="EE271" s="26"/>
    </row>
    <row r="272" spans="125:135">
      <c r="DU272" s="26"/>
      <c r="DY272" s="26"/>
      <c r="ED272" s="26"/>
      <c r="EE272" s="26"/>
    </row>
    <row r="273" spans="125:135">
      <c r="DU273" s="26"/>
      <c r="DY273" s="26"/>
      <c r="ED273" s="26"/>
      <c r="EE273" s="26"/>
    </row>
    <row r="274" spans="125:135">
      <c r="DU274" s="26"/>
      <c r="DY274" s="26"/>
      <c r="ED274" s="26"/>
      <c r="EE274" s="26"/>
    </row>
    <row r="275" spans="125:135">
      <c r="DU275" s="26"/>
      <c r="DY275" s="26"/>
      <c r="ED275" s="26"/>
      <c r="EE275" s="26"/>
    </row>
    <row r="276" spans="125:135">
      <c r="DU276" s="26"/>
      <c r="DY276" s="26"/>
      <c r="ED276" s="26"/>
      <c r="EE276" s="26"/>
    </row>
    <row r="277" spans="125:135">
      <c r="DU277" s="26"/>
      <c r="DY277" s="26"/>
      <c r="ED277" s="26"/>
      <c r="EE277" s="26"/>
    </row>
    <row r="278" spans="125:135">
      <c r="DU278" s="26"/>
      <c r="DY278" s="26"/>
      <c r="ED278" s="26"/>
      <c r="EE278" s="26"/>
    </row>
    <row r="279" spans="125:135">
      <c r="DU279" s="26"/>
      <c r="DY279" s="26"/>
      <c r="ED279" s="26"/>
      <c r="EE279" s="26"/>
    </row>
    <row r="280" spans="125:135">
      <c r="DU280" s="26"/>
      <c r="DY280" s="26"/>
      <c r="ED280" s="26"/>
      <c r="EE280" s="26"/>
    </row>
    <row r="281" spans="125:135">
      <c r="DU281" s="26"/>
      <c r="DY281" s="26"/>
      <c r="ED281" s="26"/>
      <c r="EE281" s="26"/>
    </row>
    <row r="282" spans="125:135">
      <c r="DU282" s="26"/>
      <c r="DY282" s="26"/>
      <c r="ED282" s="26"/>
      <c r="EE282" s="26"/>
    </row>
    <row r="283" spans="125:135">
      <c r="DU283" s="26"/>
      <c r="DY283" s="26"/>
      <c r="ED283" s="26"/>
      <c r="EE283" s="26"/>
    </row>
    <row r="284" spans="125:135">
      <c r="DU284" s="26"/>
      <c r="DY284" s="26"/>
      <c r="ED284" s="26"/>
      <c r="EE284" s="26"/>
    </row>
    <row r="285" spans="125:135">
      <c r="DU285" s="26"/>
      <c r="DY285" s="26"/>
      <c r="ED285" s="26"/>
      <c r="EE285" s="26"/>
    </row>
    <row r="286" spans="125:135">
      <c r="DU286" s="26"/>
      <c r="DY286" s="26"/>
      <c r="ED286" s="26"/>
      <c r="EE286" s="26"/>
    </row>
    <row r="287" spans="125:135">
      <c r="DU287" s="26"/>
      <c r="DY287" s="26"/>
      <c r="ED287" s="26"/>
      <c r="EE287" s="26"/>
    </row>
    <row r="288" spans="125:135">
      <c r="DU288" s="26"/>
      <c r="DY288" s="26"/>
      <c r="ED288" s="26"/>
      <c r="EE288" s="26"/>
    </row>
    <row r="289" spans="125:135">
      <c r="DU289" s="26"/>
      <c r="DY289" s="26"/>
      <c r="ED289" s="26"/>
      <c r="EE289" s="26"/>
    </row>
    <row r="290" spans="125:135">
      <c r="DU290" s="26"/>
      <c r="DY290" s="26"/>
      <c r="ED290" s="26"/>
      <c r="EE290" s="26"/>
    </row>
    <row r="291" spans="125:135">
      <c r="DU291" s="26"/>
      <c r="DY291" s="26"/>
      <c r="ED291" s="26"/>
      <c r="EE291" s="26"/>
    </row>
    <row r="292" spans="125:135">
      <c r="DU292" s="26"/>
      <c r="DY292" s="26"/>
      <c r="ED292" s="26"/>
      <c r="EE292" s="26"/>
    </row>
    <row r="293" spans="125:135">
      <c r="DU293" s="26"/>
      <c r="DY293" s="26"/>
      <c r="ED293" s="26"/>
      <c r="EE293" s="26"/>
    </row>
    <row r="294" spans="125:135">
      <c r="DU294" s="26"/>
      <c r="DY294" s="26"/>
      <c r="ED294" s="26"/>
      <c r="EE294" s="26"/>
    </row>
    <row r="295" spans="125:135">
      <c r="DU295" s="26"/>
      <c r="DY295" s="26"/>
      <c r="ED295" s="26"/>
      <c r="EE295" s="26"/>
    </row>
    <row r="296" spans="125:135">
      <c r="DU296" s="26"/>
      <c r="DY296" s="26"/>
      <c r="ED296" s="26"/>
      <c r="EE296" s="26"/>
    </row>
    <row r="297" spans="125:135">
      <c r="DU297" s="26"/>
      <c r="DY297" s="26"/>
      <c r="ED297" s="26"/>
      <c r="EE297" s="26"/>
    </row>
    <row r="298" spans="125:135">
      <c r="DU298" s="26"/>
      <c r="DY298" s="26"/>
      <c r="ED298" s="26"/>
      <c r="EE298" s="26"/>
    </row>
    <row r="299" spans="125:135">
      <c r="DU299" s="26"/>
      <c r="DY299" s="26"/>
      <c r="ED299" s="26"/>
      <c r="EE299" s="26"/>
    </row>
    <row r="300" spans="125:135">
      <c r="DU300" s="26"/>
      <c r="DY300" s="26"/>
      <c r="ED300" s="26"/>
      <c r="EE300" s="26"/>
    </row>
    <row r="301" spans="125:135">
      <c r="DU301" s="26"/>
      <c r="DY301" s="26"/>
      <c r="ED301" s="26"/>
      <c r="EE301" s="26"/>
    </row>
    <row r="302" spans="125:135">
      <c r="DU302" s="26"/>
      <c r="DY302" s="26"/>
      <c r="ED302" s="26"/>
      <c r="EE302" s="26"/>
    </row>
    <row r="303" spans="125:135">
      <c r="DU303" s="26"/>
      <c r="DY303" s="26"/>
      <c r="ED303" s="26"/>
      <c r="EE303" s="26"/>
    </row>
    <row r="304" spans="125:135">
      <c r="DU304" s="26"/>
      <c r="DY304" s="26"/>
      <c r="ED304" s="26"/>
      <c r="EE304" s="26"/>
    </row>
    <row r="305" spans="125:135">
      <c r="DU305" s="26"/>
      <c r="DY305" s="26"/>
      <c r="ED305" s="26"/>
      <c r="EE305" s="26"/>
    </row>
    <row r="306" spans="125:135">
      <c r="DU306" s="26"/>
      <c r="DY306" s="26"/>
      <c r="ED306" s="26"/>
      <c r="EE306" s="26"/>
    </row>
    <row r="307" spans="125:135">
      <c r="DU307" s="26"/>
      <c r="DY307" s="26"/>
      <c r="ED307" s="26"/>
      <c r="EE307" s="26"/>
    </row>
    <row r="308" spans="125:135">
      <c r="DU308" s="26"/>
      <c r="DY308" s="26"/>
      <c r="ED308" s="26"/>
      <c r="EE308" s="26"/>
    </row>
    <row r="309" spans="125:135">
      <c r="DU309" s="26"/>
      <c r="DY309" s="26"/>
      <c r="ED309" s="26"/>
      <c r="EE309" s="26"/>
    </row>
    <row r="310" spans="125:135">
      <c r="DU310" s="26"/>
      <c r="DY310" s="26"/>
      <c r="ED310" s="26"/>
      <c r="EE310" s="26"/>
    </row>
    <row r="311" spans="125:135">
      <c r="DU311" s="26"/>
      <c r="DY311" s="26"/>
      <c r="ED311" s="26"/>
      <c r="EE311" s="26"/>
    </row>
    <row r="312" spans="125:135">
      <c r="DU312" s="26"/>
      <c r="DY312" s="26"/>
      <c r="ED312" s="26"/>
      <c r="EE312" s="26"/>
    </row>
    <row r="313" spans="125:135">
      <c r="DU313" s="26"/>
      <c r="DY313" s="26"/>
      <c r="ED313" s="26"/>
      <c r="EE313" s="26"/>
    </row>
    <row r="314" spans="125:135">
      <c r="DU314" s="26"/>
      <c r="DY314" s="26"/>
      <c r="ED314" s="26"/>
      <c r="EE314" s="26"/>
    </row>
    <row r="315" spans="125:135">
      <c r="DU315" s="26"/>
      <c r="DY315" s="26"/>
      <c r="ED315" s="26"/>
      <c r="EE315" s="26"/>
    </row>
    <row r="316" spans="125:135">
      <c r="DU316" s="26"/>
      <c r="DY316" s="26"/>
      <c r="ED316" s="26"/>
      <c r="EE316" s="26"/>
    </row>
    <row r="317" spans="125:135">
      <c r="DU317" s="26"/>
      <c r="DY317" s="26"/>
      <c r="ED317" s="26"/>
      <c r="EE317" s="26"/>
    </row>
    <row r="318" spans="125:135">
      <c r="DU318" s="26"/>
      <c r="DY318" s="26"/>
      <c r="ED318" s="26"/>
      <c r="EE318" s="26"/>
    </row>
    <row r="319" spans="125:135">
      <c r="DU319" s="26"/>
      <c r="DY319" s="26"/>
      <c r="ED319" s="26"/>
      <c r="EE319" s="26"/>
    </row>
    <row r="320" spans="125:135">
      <c r="DU320" s="26"/>
      <c r="DY320" s="26"/>
      <c r="ED320" s="26"/>
      <c r="EE320" s="26"/>
    </row>
    <row r="321" spans="125:135">
      <c r="DU321" s="26"/>
      <c r="DY321" s="26"/>
      <c r="ED321" s="26"/>
      <c r="EE321" s="26"/>
    </row>
  </sheetData>
  <autoFilter ref="C5:C54" xr:uid="{2C4701EC-5CF8-48E2-AE12-A2A6E2793001}"/>
  <mergeCells count="16">
    <mergeCell ref="B2:C2"/>
    <mergeCell ref="D2:M2"/>
    <mergeCell ref="V2:X2"/>
    <mergeCell ref="Z2:AB2"/>
    <mergeCell ref="AP56:BQ57"/>
    <mergeCell ref="D56:X57"/>
    <mergeCell ref="W62:AT64"/>
    <mergeCell ref="D4:CB4"/>
    <mergeCell ref="D58:X59"/>
    <mergeCell ref="D60:X61"/>
    <mergeCell ref="CG4:FK4"/>
    <mergeCell ref="BR56:CB57"/>
    <mergeCell ref="BR58:CB59"/>
    <mergeCell ref="AP58:BQ59"/>
    <mergeCell ref="BR60:CB64"/>
    <mergeCell ref="AP60:BP61"/>
  </mergeCells>
  <phoneticPr fontId="8" type="noConversion"/>
  <printOptions horizontalCentered="1"/>
  <pageMargins left="0.7" right="0.7" top="0.75" bottom="0.75" header="0.3" footer="0.3"/>
  <pageSetup paperSize="9" scale="43" orientation="landscape" r:id="rId1"/>
  <colBreaks count="1" manualBreakCount="1">
    <brk id="99" max="1048575" man="1"/>
  </colBreaks>
  <ignoredErrors>
    <ignoredError sqref="DL26 DL29 DR26 DS25 DR29 DS28 EG27 EG30" formula="1"/>
  </ignoredErrors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F8B00-91D8-4CD0-8813-35AFB7CFB05E}">
  <sheetPr codeName="Hoja21">
    <pageSetUpPr fitToPage="1"/>
  </sheetPr>
  <dimension ref="B1:U84"/>
  <sheetViews>
    <sheetView zoomScale="85" zoomScaleNormal="85" workbookViewId="0">
      <selection activeCell="F17" sqref="F17"/>
    </sheetView>
  </sheetViews>
  <sheetFormatPr baseColWidth="10" defaultRowHeight="15"/>
  <cols>
    <col min="3" max="3" width="64.28515625" customWidth="1"/>
    <col min="4" max="4" width="26.85546875" customWidth="1"/>
    <col min="5" max="5" width="17.42578125" customWidth="1"/>
    <col min="6" max="6" width="27.5703125" customWidth="1"/>
    <col min="7" max="7" width="14.28515625" customWidth="1"/>
    <col min="8" max="8" width="32.85546875" bestFit="1" customWidth="1"/>
    <col min="9" max="9" width="9.140625" customWidth="1"/>
    <col min="10" max="10" width="6.42578125" customWidth="1"/>
    <col min="11" max="11" width="16.5703125" customWidth="1"/>
    <col min="12" max="12" width="24.7109375" customWidth="1"/>
    <col min="13" max="13" width="31.5703125" customWidth="1"/>
    <col min="15" max="15" width="16.140625" bestFit="1" customWidth="1"/>
    <col min="16" max="16" width="11.28515625" bestFit="1" customWidth="1"/>
    <col min="17" max="17" width="15.7109375" bestFit="1" customWidth="1"/>
    <col min="18" max="18" width="9.7109375" bestFit="1" customWidth="1"/>
    <col min="19" max="19" width="10.5703125" bestFit="1" customWidth="1"/>
    <col min="20" max="20" width="12.85546875" customWidth="1"/>
    <col min="21" max="21" width="19.140625" customWidth="1"/>
  </cols>
  <sheetData>
    <row r="1" spans="2:21" ht="16.5" customHeight="1"/>
    <row r="2" spans="2:21" ht="16.5" customHeight="1" thickBot="1"/>
    <row r="3" spans="2:21" ht="24" thickBot="1">
      <c r="B3" s="439" t="s">
        <v>15</v>
      </c>
      <c r="C3" s="440" t="s">
        <v>6</v>
      </c>
      <c r="D3" s="2140" t="s">
        <v>14</v>
      </c>
      <c r="H3" s="401" t="s">
        <v>450</v>
      </c>
      <c r="I3" s="2744" t="s">
        <v>451</v>
      </c>
      <c r="J3" s="2744"/>
      <c r="K3" s="2744"/>
      <c r="L3" s="2744"/>
      <c r="M3" s="2745"/>
      <c r="O3" s="1878"/>
      <c r="P3" s="1878"/>
      <c r="Q3" s="1878"/>
      <c r="R3" s="1878"/>
      <c r="S3" s="1878"/>
      <c r="T3" s="1878"/>
      <c r="U3" s="1878"/>
    </row>
    <row r="4" spans="2:21" ht="24" thickBot="1">
      <c r="B4" s="201">
        <f>+PP!B24</f>
        <v>1</v>
      </c>
      <c r="C4" s="202" t="str">
        <f>+PP!C24</f>
        <v>ANILLAS BLANCAS SM ST</v>
      </c>
      <c r="D4" s="2141" t="s">
        <v>18</v>
      </c>
      <c r="H4" s="402" t="s">
        <v>452</v>
      </c>
      <c r="I4" s="2746"/>
      <c r="J4" s="2746"/>
      <c r="K4" s="2746"/>
      <c r="L4" s="2746"/>
      <c r="M4" s="2747"/>
      <c r="O4" s="1878"/>
      <c r="P4" s="1878"/>
      <c r="Q4" s="1878"/>
      <c r="R4" s="1878"/>
      <c r="S4" s="1878"/>
      <c r="T4" s="1878"/>
      <c r="U4" s="1878"/>
    </row>
    <row r="5" spans="2:21" ht="24" customHeight="1" thickBot="1">
      <c r="B5" s="201">
        <f>+PP!B25</f>
        <v>2</v>
      </c>
      <c r="C5" s="202" t="str">
        <f>+PP!C25</f>
        <v>ANILLAS AMARILLAS SM ST</v>
      </c>
      <c r="D5" s="2142" t="s">
        <v>19</v>
      </c>
      <c r="H5" s="403" t="s">
        <v>453</v>
      </c>
      <c r="I5" s="398" t="s">
        <v>454</v>
      </c>
      <c r="J5" s="398" t="s">
        <v>455</v>
      </c>
      <c r="K5" s="398" t="s">
        <v>456</v>
      </c>
      <c r="L5" s="398" t="s">
        <v>457</v>
      </c>
      <c r="M5" s="404" t="s">
        <v>458</v>
      </c>
      <c r="O5" s="1878"/>
      <c r="P5" s="1878"/>
      <c r="Q5" s="1878"/>
      <c r="R5" s="1878"/>
      <c r="S5" s="1878"/>
      <c r="T5" s="1878"/>
      <c r="U5" s="1878"/>
    </row>
    <row r="6" spans="2:21" ht="24" thickBot="1">
      <c r="B6" s="201">
        <f>+PP!B26</f>
        <v>3</v>
      </c>
      <c r="C6" s="202" t="str">
        <f>+PP!C26</f>
        <v>ANILLAS BLANCAS SM ST MEDIANA</v>
      </c>
      <c r="D6" s="2143" t="s">
        <v>17</v>
      </c>
      <c r="H6" s="403"/>
      <c r="I6" s="398"/>
      <c r="J6" s="398"/>
      <c r="K6" s="398"/>
      <c r="L6" s="398"/>
      <c r="M6" s="404"/>
      <c r="O6" s="1878"/>
      <c r="P6" s="1878"/>
      <c r="Q6" s="1878"/>
      <c r="R6" s="1878"/>
      <c r="S6" s="1878"/>
      <c r="T6" s="1878"/>
      <c r="U6" s="1878"/>
    </row>
    <row r="7" spans="2:21" ht="24" thickBot="1">
      <c r="B7" s="201">
        <f>+PP!B27</f>
        <v>4</v>
      </c>
      <c r="C7" s="202" t="str">
        <f>+PP!C27</f>
        <v>ALETA FRESCA CORTE CRUZ</v>
      </c>
      <c r="D7" s="2144" t="s">
        <v>375</v>
      </c>
      <c r="H7" s="405" t="s">
        <v>249</v>
      </c>
      <c r="I7" s="399">
        <v>10</v>
      </c>
      <c r="J7" s="400">
        <v>0.17</v>
      </c>
      <c r="K7" s="399">
        <v>11.7</v>
      </c>
      <c r="L7" s="399" t="s">
        <v>459</v>
      </c>
      <c r="M7" s="1130" t="s">
        <v>18</v>
      </c>
      <c r="O7" s="1878"/>
      <c r="P7" s="1878"/>
      <c r="Q7" s="1878"/>
      <c r="R7" s="1878"/>
      <c r="S7" s="1878"/>
      <c r="T7" s="1878"/>
      <c r="U7" s="1878"/>
    </row>
    <row r="8" spans="2:21" ht="24" thickBot="1">
      <c r="B8" s="201">
        <f>+PP!B28</f>
        <v>5</v>
      </c>
      <c r="C8" s="202" t="str">
        <f>+PP!C28</f>
        <v>ALETA ENTERA 100-500 g/pza</v>
      </c>
      <c r="D8" s="2145" t="s">
        <v>16</v>
      </c>
      <c r="H8" s="405" t="s">
        <v>460</v>
      </c>
      <c r="I8" s="399">
        <v>10</v>
      </c>
      <c r="J8" s="400">
        <v>0.15</v>
      </c>
      <c r="K8" s="399">
        <v>11.5</v>
      </c>
      <c r="L8" s="399" t="s">
        <v>459</v>
      </c>
      <c r="M8" s="1131" t="s">
        <v>17</v>
      </c>
      <c r="O8" s="1878"/>
      <c r="P8" s="1878"/>
      <c r="Q8" s="1878"/>
      <c r="R8" s="1878"/>
      <c r="S8" s="1878"/>
      <c r="T8" s="1878"/>
      <c r="U8" s="1878"/>
    </row>
    <row r="9" spans="2:21" ht="24" thickBot="1">
      <c r="B9" s="201">
        <f>+PP!B29</f>
        <v>6</v>
      </c>
      <c r="C9" s="202" t="str">
        <f>+PP!C29</f>
        <v>ALETA ENTERA 500-1000 g/pza</v>
      </c>
      <c r="D9" s="2143" t="s">
        <v>17</v>
      </c>
      <c r="H9" s="405" t="s">
        <v>251</v>
      </c>
      <c r="I9" s="399">
        <v>10</v>
      </c>
      <c r="J9" s="400">
        <v>0.1</v>
      </c>
      <c r="K9" s="399">
        <v>11</v>
      </c>
      <c r="L9" s="399" t="s">
        <v>459</v>
      </c>
      <c r="M9" s="406" t="s">
        <v>19</v>
      </c>
      <c r="O9" s="1878"/>
      <c r="P9" s="1878"/>
      <c r="Q9" s="1878"/>
      <c r="R9" s="1878"/>
      <c r="S9" s="1878"/>
      <c r="T9" s="1878"/>
      <c r="U9" s="1878"/>
    </row>
    <row r="10" spans="2:21" ht="24" thickBot="1">
      <c r="B10" s="201">
        <f>+PP!B30</f>
        <v>7</v>
      </c>
      <c r="C10" s="202" t="str">
        <f>+PP!C30</f>
        <v>ALETA ENTERA 1.0-2.0 kg/pza</v>
      </c>
      <c r="D10" s="2147" t="s">
        <v>18</v>
      </c>
      <c r="H10" s="405" t="s">
        <v>461</v>
      </c>
      <c r="I10" s="399">
        <v>10</v>
      </c>
      <c r="J10" s="400">
        <v>0.1</v>
      </c>
      <c r="K10" s="399">
        <v>11</v>
      </c>
      <c r="L10" s="399" t="s">
        <v>462</v>
      </c>
      <c r="M10" s="1132" t="s">
        <v>20</v>
      </c>
      <c r="O10" s="1878"/>
      <c r="P10" s="1878"/>
      <c r="Q10" s="1878"/>
      <c r="R10" s="1878"/>
      <c r="S10" s="1878"/>
      <c r="T10" s="1878"/>
      <c r="U10" s="1878"/>
    </row>
    <row r="11" spans="2:21" ht="24" thickBot="1">
      <c r="B11" s="201">
        <f>+PP!B31</f>
        <v>8</v>
      </c>
      <c r="C11" s="202" t="str">
        <f>+PP!C31</f>
        <v>ALETA FRESCA PARTIDA 2.0-4.0 kg/pza</v>
      </c>
      <c r="D11" s="2148" t="s">
        <v>20</v>
      </c>
      <c r="H11" s="405" t="s">
        <v>463</v>
      </c>
      <c r="I11" s="399">
        <v>10</v>
      </c>
      <c r="J11" s="400">
        <v>0.1</v>
      </c>
      <c r="K11" s="399">
        <v>11</v>
      </c>
      <c r="L11" s="399" t="s">
        <v>462</v>
      </c>
      <c r="M11" s="407" t="s">
        <v>21</v>
      </c>
      <c r="O11" s="1878"/>
      <c r="P11" s="1878"/>
      <c r="Q11" s="1878"/>
      <c r="R11" s="1878"/>
      <c r="S11" s="1878"/>
      <c r="T11" s="1878"/>
      <c r="U11" s="1878"/>
    </row>
    <row r="12" spans="2:21" ht="24" thickBot="1">
      <c r="B12" s="201">
        <f>+PP!B32</f>
        <v>9</v>
      </c>
      <c r="C12" s="202" t="str">
        <f>+PP!C32</f>
        <v>ALETA PRECOCIDA ENTERA 300-UP g/pza</v>
      </c>
      <c r="D12" s="2143" t="s">
        <v>17</v>
      </c>
      <c r="H12" s="405" t="s">
        <v>283</v>
      </c>
      <c r="I12" s="399">
        <v>10</v>
      </c>
      <c r="J12" s="400">
        <v>0.1</v>
      </c>
      <c r="K12" s="399">
        <v>11</v>
      </c>
      <c r="L12" s="399" t="s">
        <v>462</v>
      </c>
      <c r="M12" s="408" t="s">
        <v>16</v>
      </c>
      <c r="O12" s="1878"/>
      <c r="P12" s="1878"/>
      <c r="Q12" s="1878"/>
      <c r="R12" s="1878"/>
      <c r="S12" s="1878"/>
      <c r="T12" s="1878"/>
      <c r="U12" s="1878"/>
    </row>
    <row r="13" spans="2:21" ht="24" thickBot="1">
      <c r="B13" s="201">
        <f>+PP!B33</f>
        <v>10</v>
      </c>
      <c r="C13" s="202" t="str">
        <f>+PP!C33</f>
        <v>ALETA PRECOCIDA PARTIDA 300-UP g/pza</v>
      </c>
      <c r="D13" s="2149" t="s">
        <v>16</v>
      </c>
      <c r="H13" s="405" t="s">
        <v>285</v>
      </c>
      <c r="I13" s="399">
        <v>10</v>
      </c>
      <c r="J13" s="400">
        <v>0.1</v>
      </c>
      <c r="K13" s="399">
        <v>11</v>
      </c>
      <c r="L13" s="399" t="s">
        <v>462</v>
      </c>
      <c r="M13" s="409" t="s">
        <v>23</v>
      </c>
      <c r="O13" s="1878"/>
      <c r="P13" s="1878"/>
      <c r="Q13" s="1878"/>
      <c r="R13" s="1878"/>
      <c r="S13" s="1878"/>
      <c r="T13" s="1878"/>
      <c r="U13" s="1878"/>
    </row>
    <row r="14" spans="2:21" ht="24" thickBot="1">
      <c r="B14" s="201">
        <f>+PP!B34</f>
        <v>11</v>
      </c>
      <c r="C14" s="202" t="str">
        <f>+PP!C34</f>
        <v>BOTON BLANCO SM ST</v>
      </c>
      <c r="D14" s="2148" t="s">
        <v>20</v>
      </c>
      <c r="H14" s="405" t="s">
        <v>696</v>
      </c>
      <c r="I14" s="1874">
        <v>10</v>
      </c>
      <c r="J14" s="1875">
        <v>0.18</v>
      </c>
      <c r="K14" s="1876">
        <v>11.8</v>
      </c>
      <c r="L14" s="1874" t="s">
        <v>697</v>
      </c>
      <c r="M14" s="1877" t="s">
        <v>698</v>
      </c>
      <c r="O14" s="1878"/>
      <c r="P14" s="1878"/>
      <c r="Q14" s="1878"/>
      <c r="R14" s="1878"/>
      <c r="S14" s="1878"/>
      <c r="T14" s="1878"/>
      <c r="U14" s="1878"/>
    </row>
    <row r="15" spans="2:21" ht="24" thickBot="1">
      <c r="B15" s="201">
        <f>+PP!B35</f>
        <v>12</v>
      </c>
      <c r="C15" s="202" t="str">
        <f>+PP!C35</f>
        <v>BOTON AMARILLO SM ST</v>
      </c>
      <c r="D15" s="2150" t="s">
        <v>21</v>
      </c>
      <c r="H15" s="405" t="s">
        <v>464</v>
      </c>
      <c r="I15" s="399">
        <v>10</v>
      </c>
      <c r="J15" s="400">
        <v>0.08</v>
      </c>
      <c r="K15" s="399">
        <v>10.8</v>
      </c>
      <c r="L15" s="399" t="s">
        <v>462</v>
      </c>
      <c r="M15" s="408" t="s">
        <v>16</v>
      </c>
      <c r="O15" s="1878"/>
      <c r="P15" s="1878"/>
      <c r="Q15" s="1878"/>
      <c r="R15" s="1878"/>
      <c r="S15" s="1878"/>
      <c r="T15" s="1878"/>
      <c r="U15" s="1878"/>
    </row>
    <row r="16" spans="2:21" ht="24" thickBot="1">
      <c r="B16" s="201">
        <f>+PP!B36</f>
        <v>13</v>
      </c>
      <c r="C16" s="202" t="str">
        <f>+PP!C36</f>
        <v>CONOS DE POTA</v>
      </c>
      <c r="D16" s="2149" t="s">
        <v>16</v>
      </c>
      <c r="H16" s="405" t="s">
        <v>252</v>
      </c>
      <c r="I16" s="399">
        <v>10</v>
      </c>
      <c r="J16" s="400">
        <v>0.05</v>
      </c>
      <c r="K16" s="399">
        <v>10.5</v>
      </c>
      <c r="L16" s="399" t="s">
        <v>465</v>
      </c>
      <c r="M16" s="408" t="s">
        <v>16</v>
      </c>
      <c r="O16" s="1878"/>
      <c r="P16" s="1878"/>
      <c r="Q16" s="1878"/>
      <c r="R16" s="1878"/>
      <c r="S16" s="1878"/>
      <c r="T16" s="1878"/>
      <c r="U16" s="1878"/>
    </row>
    <row r="17" spans="2:15" ht="24" thickBot="1">
      <c r="B17" s="201">
        <f>+PP!B37</f>
        <v>14</v>
      </c>
      <c r="C17" s="202" t="str">
        <f>+PP!C37</f>
        <v>FILETE C/TT DARUMA</v>
      </c>
      <c r="D17" s="2142" t="s">
        <v>19</v>
      </c>
      <c r="H17" s="405" t="s">
        <v>252</v>
      </c>
      <c r="I17" s="399">
        <v>10</v>
      </c>
      <c r="J17" s="400">
        <v>0.05</v>
      </c>
      <c r="K17" s="399">
        <v>10.5</v>
      </c>
      <c r="L17" s="399" t="s">
        <v>466</v>
      </c>
      <c r="M17" s="1131" t="s">
        <v>17</v>
      </c>
    </row>
    <row r="18" spans="2:15" ht="24" thickBot="1">
      <c r="B18" s="201">
        <f>+PP!B38</f>
        <v>15</v>
      </c>
      <c r="C18" s="202" t="str">
        <f>+PP!C38</f>
        <v>FILETE C/M C/T TRES PIELES 1.0-2.0 kg/pza</v>
      </c>
      <c r="D18" s="2151" t="s">
        <v>23</v>
      </c>
      <c r="H18" s="405" t="s">
        <v>252</v>
      </c>
      <c r="I18" s="399">
        <v>10</v>
      </c>
      <c r="J18" s="400">
        <v>0.05</v>
      </c>
      <c r="K18" s="399">
        <v>10.5</v>
      </c>
      <c r="L18" s="399" t="s">
        <v>467</v>
      </c>
      <c r="M18" s="1130" t="s">
        <v>18</v>
      </c>
    </row>
    <row r="19" spans="2:15" ht="24" thickBot="1">
      <c r="B19" s="201">
        <f>+PP!B39</f>
        <v>16</v>
      </c>
      <c r="C19" s="202" t="str">
        <f>+PP!C39</f>
        <v>FILETE C/M C/T TRES PIELES 2.0-4.0 kg/pza</v>
      </c>
      <c r="D19" s="2152" t="s">
        <v>375</v>
      </c>
      <c r="H19" s="405" t="s">
        <v>252</v>
      </c>
      <c r="I19" s="399">
        <v>10</v>
      </c>
      <c r="J19" s="400">
        <v>0.05</v>
      </c>
      <c r="K19" s="399">
        <v>10.5</v>
      </c>
      <c r="L19" s="399" t="s">
        <v>468</v>
      </c>
      <c r="M19" s="1132" t="s">
        <v>20</v>
      </c>
    </row>
    <row r="20" spans="2:15" ht="24" thickBot="1">
      <c r="B20" s="201">
        <f>+PP!B40</f>
        <v>17</v>
      </c>
      <c r="C20" s="202" t="str">
        <f>+PP!C40</f>
        <v>FILETE C/M C/T ENTERO BLANCO 1.0-2.0 kg/pza</v>
      </c>
      <c r="D20" s="2151" t="s">
        <v>23</v>
      </c>
      <c r="H20" s="405" t="s">
        <v>252</v>
      </c>
      <c r="I20" s="399">
        <v>10</v>
      </c>
      <c r="J20" s="400">
        <v>0.05</v>
      </c>
      <c r="K20" s="399">
        <v>10.5</v>
      </c>
      <c r="L20" s="399" t="s">
        <v>253</v>
      </c>
      <c r="M20" s="408" t="s">
        <v>375</v>
      </c>
    </row>
    <row r="21" spans="2:15" ht="24" thickBot="1">
      <c r="B21" s="201">
        <f>+PP!B41</f>
        <v>18</v>
      </c>
      <c r="C21" s="202" t="str">
        <f>+PP!C41</f>
        <v>FILETE C/M C/T ENTERO BLANCO 2.0-4.0 kg/pza</v>
      </c>
      <c r="D21" s="2152" t="s">
        <v>375</v>
      </c>
      <c r="H21" s="405" t="s">
        <v>469</v>
      </c>
      <c r="I21" s="399">
        <v>10</v>
      </c>
      <c r="J21" s="400">
        <v>0.1</v>
      </c>
      <c r="K21" s="399">
        <v>11</v>
      </c>
      <c r="L21" s="399" t="s">
        <v>470</v>
      </c>
      <c r="M21" s="1131" t="s">
        <v>17</v>
      </c>
    </row>
    <row r="22" spans="2:15" ht="24" thickBot="1">
      <c r="B22" s="201">
        <f>+PP!B42</f>
        <v>19</v>
      </c>
      <c r="C22" s="202" t="str">
        <f>+PP!C42</f>
        <v>FILETE LP C/M C/T ENTERO 2.0-4.0 kg/pza</v>
      </c>
      <c r="D22" s="2152" t="s">
        <v>375</v>
      </c>
      <c r="H22" s="405" t="s">
        <v>469</v>
      </c>
      <c r="I22" s="399">
        <v>10</v>
      </c>
      <c r="J22" s="400">
        <v>0.1</v>
      </c>
      <c r="K22" s="399">
        <v>11</v>
      </c>
      <c r="L22" s="399" t="s">
        <v>471</v>
      </c>
      <c r="M22" s="408" t="s">
        <v>16</v>
      </c>
    </row>
    <row r="23" spans="2:15" ht="24" thickBot="1">
      <c r="B23" s="201">
        <f>+PP!B43</f>
        <v>20</v>
      </c>
      <c r="C23" s="202" t="str">
        <f>+PP!C43</f>
        <v>MANTO BLANCO C/M C/T 500-1000 g/pza</v>
      </c>
      <c r="D23" s="2143" t="s">
        <v>17</v>
      </c>
      <c r="H23" s="405" t="s">
        <v>472</v>
      </c>
      <c r="I23" s="399">
        <v>10</v>
      </c>
      <c r="J23" s="400">
        <v>0.05</v>
      </c>
      <c r="K23" s="399">
        <v>10.5</v>
      </c>
      <c r="L23" s="399" t="s">
        <v>473</v>
      </c>
      <c r="M23" s="1132" t="s">
        <v>20</v>
      </c>
    </row>
    <row r="24" spans="2:15" ht="24" thickBot="1">
      <c r="B24" s="201">
        <f>+PP!B44</f>
        <v>21</v>
      </c>
      <c r="C24" s="202" t="str">
        <f>+PP!C44</f>
        <v>MANTO BLANCO C/M C/T 1.0-2.0 kg/pza</v>
      </c>
      <c r="D24" s="2153" t="s">
        <v>22</v>
      </c>
      <c r="H24" s="405" t="s">
        <v>472</v>
      </c>
      <c r="I24" s="399">
        <v>10</v>
      </c>
      <c r="J24" s="400">
        <v>0.05</v>
      </c>
      <c r="K24" s="399">
        <v>10.5</v>
      </c>
      <c r="L24" s="399" t="s">
        <v>466</v>
      </c>
      <c r="M24" s="409" t="s">
        <v>475</v>
      </c>
    </row>
    <row r="25" spans="2:15" ht="24" thickBot="1">
      <c r="B25" s="201">
        <f>+PP!B45</f>
        <v>22</v>
      </c>
      <c r="C25" s="202" t="str">
        <f>+PP!C45</f>
        <v>MANTO BLANCO C/M C/T 2.0-4.0 kg/pza</v>
      </c>
      <c r="D25" s="2147" t="s">
        <v>18</v>
      </c>
      <c r="H25" s="405" t="s">
        <v>472</v>
      </c>
      <c r="I25" s="399">
        <v>10</v>
      </c>
      <c r="J25" s="400">
        <v>0.05</v>
      </c>
      <c r="K25" s="399">
        <v>10.5</v>
      </c>
      <c r="L25" s="399" t="s">
        <v>466</v>
      </c>
      <c r="M25" s="408" t="s">
        <v>476</v>
      </c>
    </row>
    <row r="26" spans="2:15" ht="24" thickBot="1">
      <c r="B26" s="201">
        <f>+PP!B46</f>
        <v>23</v>
      </c>
      <c r="C26" s="202" t="str">
        <f>+PP!C46</f>
        <v>MANTO LP C/M C/T 500-1000 g/pza</v>
      </c>
      <c r="D26" s="2143" t="s">
        <v>17</v>
      </c>
      <c r="H26" s="405" t="s">
        <v>472</v>
      </c>
      <c r="I26" s="399">
        <v>10</v>
      </c>
      <c r="J26" s="400">
        <v>0.05</v>
      </c>
      <c r="K26" s="399">
        <v>10.5</v>
      </c>
      <c r="L26" s="399" t="s">
        <v>467</v>
      </c>
      <c r="M26" s="406" t="s">
        <v>19</v>
      </c>
    </row>
    <row r="27" spans="2:15" ht="24" thickBot="1">
      <c r="B27" s="201">
        <f>+PP!B47</f>
        <v>24</v>
      </c>
      <c r="C27" s="202" t="str">
        <f>+PP!C47</f>
        <v>MANTO LP C/M C/T 1.0-2.0 Kg/pza</v>
      </c>
      <c r="D27" s="2153" t="s">
        <v>22</v>
      </c>
      <c r="H27" s="405" t="s">
        <v>472</v>
      </c>
      <c r="I27" s="399">
        <v>10</v>
      </c>
      <c r="J27" s="400">
        <v>0.05</v>
      </c>
      <c r="K27" s="399">
        <v>10.5</v>
      </c>
      <c r="L27" s="399" t="s">
        <v>477</v>
      </c>
      <c r="M27" s="1133" t="s">
        <v>22</v>
      </c>
    </row>
    <row r="28" spans="2:15" ht="24" thickBot="1">
      <c r="B28" s="201">
        <f>+PP!B48</f>
        <v>25</v>
      </c>
      <c r="C28" s="202" t="str">
        <f>+PP!C48</f>
        <v>MANTO LP C/M C/T 2.0-4.0 Kg/pza</v>
      </c>
      <c r="D28" s="2147" t="s">
        <v>18</v>
      </c>
      <c r="H28" s="405" t="s">
        <v>478</v>
      </c>
      <c r="I28" s="399">
        <v>10</v>
      </c>
      <c r="J28" s="400">
        <v>0.08</v>
      </c>
      <c r="K28" s="399">
        <v>10.8</v>
      </c>
      <c r="L28" s="399" t="s">
        <v>479</v>
      </c>
      <c r="M28" s="1130" t="s">
        <v>18</v>
      </c>
      <c r="O28" s="1062"/>
    </row>
    <row r="29" spans="2:15" ht="24" thickBot="1">
      <c r="B29" s="201">
        <f>+PP!B49</f>
        <v>26</v>
      </c>
      <c r="C29" s="202" t="str">
        <f>+PP!C49</f>
        <v>NUCA C/C CERRADO 0-100 g/pza</v>
      </c>
      <c r="D29" s="2151" t="s">
        <v>23</v>
      </c>
      <c r="H29" s="405" t="s">
        <v>480</v>
      </c>
      <c r="I29" s="399">
        <v>10</v>
      </c>
      <c r="J29" s="400">
        <v>0.08</v>
      </c>
      <c r="K29" s="399">
        <v>10.8</v>
      </c>
      <c r="L29" s="399" t="s">
        <v>481</v>
      </c>
      <c r="M29" s="410" t="s">
        <v>76</v>
      </c>
    </row>
    <row r="30" spans="2:15" ht="24" thickBot="1">
      <c r="B30" s="201">
        <f>+PP!B50</f>
        <v>27</v>
      </c>
      <c r="C30" s="202" t="str">
        <f>+PP!C50</f>
        <v>NUCA C/C ABIERTO 100-300 g/pza</v>
      </c>
      <c r="D30" s="2153" t="s">
        <v>22</v>
      </c>
      <c r="H30" s="405" t="s">
        <v>482</v>
      </c>
      <c r="I30" s="399">
        <v>10</v>
      </c>
      <c r="J30" s="400">
        <v>0.08</v>
      </c>
      <c r="K30" s="399">
        <v>10.8</v>
      </c>
      <c r="L30" s="399" t="s">
        <v>483</v>
      </c>
      <c r="M30" s="409" t="s">
        <v>23</v>
      </c>
    </row>
    <row r="31" spans="2:15" ht="24" thickBot="1">
      <c r="B31" s="201">
        <f>+PP!B51</f>
        <v>28</v>
      </c>
      <c r="C31" s="202" t="str">
        <f>+PP!C51</f>
        <v>NUCA C/C ABIERTO 300-500 g/pza</v>
      </c>
      <c r="D31" s="2148" t="s">
        <v>20</v>
      </c>
      <c r="H31" s="405" t="s">
        <v>482</v>
      </c>
      <c r="I31" s="399">
        <v>10</v>
      </c>
      <c r="J31" s="400">
        <v>0.08</v>
      </c>
      <c r="K31" s="399">
        <v>10.8</v>
      </c>
      <c r="L31" s="399" t="s">
        <v>484</v>
      </c>
      <c r="M31" s="1133" t="s">
        <v>22</v>
      </c>
    </row>
    <row r="32" spans="2:15" ht="24" thickBot="1">
      <c r="B32" s="201">
        <f>+PP!B52</f>
        <v>29</v>
      </c>
      <c r="C32" s="202" t="str">
        <f>+PP!C52</f>
        <v>NUCA C/C ABIERTO 500-1000 g/pza</v>
      </c>
      <c r="D32" s="2143" t="s">
        <v>17</v>
      </c>
      <c r="H32" s="405" t="s">
        <v>482</v>
      </c>
      <c r="I32" s="399">
        <v>10</v>
      </c>
      <c r="J32" s="400">
        <v>0.08</v>
      </c>
      <c r="K32" s="399">
        <v>10.8</v>
      </c>
      <c r="L32" s="399" t="s">
        <v>485</v>
      </c>
      <c r="M32" s="1132" t="s">
        <v>20</v>
      </c>
    </row>
    <row r="33" spans="2:13" ht="24" thickBot="1">
      <c r="B33" s="201">
        <f>+PP!B53</f>
        <v>30</v>
      </c>
      <c r="C33" s="202" t="str">
        <f>+PP!C53</f>
        <v>NUCA C/C ABIERTO 1.0 - UP kg/pza</v>
      </c>
      <c r="D33" s="2150" t="s">
        <v>21</v>
      </c>
      <c r="H33" s="405" t="s">
        <v>482</v>
      </c>
      <c r="I33" s="399">
        <v>10</v>
      </c>
      <c r="J33" s="400">
        <v>0.08</v>
      </c>
      <c r="K33" s="399">
        <v>10.8</v>
      </c>
      <c r="L33" s="399" t="s">
        <v>486</v>
      </c>
      <c r="M33" s="1131" t="s">
        <v>17</v>
      </c>
    </row>
    <row r="34" spans="2:13" ht="24" thickBot="1">
      <c r="B34" s="201">
        <f>+PP!B54</f>
        <v>31</v>
      </c>
      <c r="C34" s="202" t="str">
        <f>+PP!C54</f>
        <v>RECORTE BLANCO SM ST</v>
      </c>
      <c r="D34" s="2149" t="s">
        <v>16</v>
      </c>
      <c r="H34" s="405" t="s">
        <v>482</v>
      </c>
      <c r="I34" s="399">
        <v>10</v>
      </c>
      <c r="J34" s="400">
        <v>0.08</v>
      </c>
      <c r="K34" s="399">
        <v>10.8</v>
      </c>
      <c r="L34" s="399" t="s">
        <v>487</v>
      </c>
      <c r="M34" s="407" t="s">
        <v>21</v>
      </c>
    </row>
    <row r="35" spans="2:13" ht="24" thickBot="1">
      <c r="B35" s="201">
        <f>+PP!B55</f>
        <v>32</v>
      </c>
      <c r="C35" s="202" t="str">
        <f>+PP!C55</f>
        <v>RECORTE AMARILLO SM ST</v>
      </c>
      <c r="D35" s="2151" t="s">
        <v>23</v>
      </c>
      <c r="H35" s="1064" t="s">
        <v>488</v>
      </c>
      <c r="I35" s="1065">
        <v>10</v>
      </c>
      <c r="J35" s="1066">
        <v>0.05</v>
      </c>
      <c r="K35" s="1065">
        <v>10.5</v>
      </c>
      <c r="L35" s="1065" t="s">
        <v>466</v>
      </c>
      <c r="M35" s="1134" t="s">
        <v>17</v>
      </c>
    </row>
    <row r="36" spans="2:13" ht="24" thickBot="1">
      <c r="B36" s="201">
        <f>+PP!B56</f>
        <v>33</v>
      </c>
      <c r="C36" s="202" t="str">
        <f>+PP!C56</f>
        <v>RECORTE PRECOCIDO</v>
      </c>
      <c r="D36" s="2153" t="s">
        <v>22</v>
      </c>
      <c r="H36" s="1064" t="s">
        <v>488</v>
      </c>
      <c r="I36" s="1065">
        <v>10</v>
      </c>
      <c r="J36" s="1066">
        <v>0.05</v>
      </c>
      <c r="K36" s="1065">
        <v>10.5</v>
      </c>
      <c r="L36" s="1065" t="s">
        <v>489</v>
      </c>
      <c r="M36" s="1135" t="s">
        <v>22</v>
      </c>
    </row>
    <row r="37" spans="2:13" ht="24" thickBot="1">
      <c r="B37" s="201">
        <f>+PP!B57</f>
        <v>34</v>
      </c>
      <c r="C37" s="202" t="str">
        <f>+PP!C57</f>
        <v>REPRODUCTORES SV, PEQUEÑO</v>
      </c>
      <c r="D37" s="2154" t="s">
        <v>76</v>
      </c>
      <c r="H37" s="1064" t="s">
        <v>488</v>
      </c>
      <c r="I37" s="1065">
        <v>10</v>
      </c>
      <c r="J37" s="1066">
        <v>0.05</v>
      </c>
      <c r="K37" s="1065">
        <v>10.5</v>
      </c>
      <c r="L37" s="1065" t="s">
        <v>490</v>
      </c>
      <c r="M37" s="1136" t="s">
        <v>18</v>
      </c>
    </row>
    <row r="38" spans="2:13" ht="24" thickBot="1">
      <c r="B38" s="201">
        <f>+PP!B58</f>
        <v>35</v>
      </c>
      <c r="C38" s="202" t="str">
        <f>+PP!C58</f>
        <v>REPRODUCTOR SV GRANDE</v>
      </c>
      <c r="D38" s="2146" t="s">
        <v>18</v>
      </c>
      <c r="H38" s="1064" t="s">
        <v>491</v>
      </c>
      <c r="I38" s="1065">
        <v>10</v>
      </c>
      <c r="J38" s="1066">
        <v>0.05</v>
      </c>
      <c r="K38" s="1065">
        <v>10.5</v>
      </c>
      <c r="L38" s="1065" t="s">
        <v>492</v>
      </c>
      <c r="M38" s="1067" t="s">
        <v>375</v>
      </c>
    </row>
    <row r="39" spans="2:13" ht="24" thickBot="1">
      <c r="B39" s="201">
        <f>+PP!B59</f>
        <v>36</v>
      </c>
      <c r="C39" s="202" t="str">
        <f>+PP!C59</f>
        <v>TUBO ALETA 1.0-2.0 Kg/pza</v>
      </c>
      <c r="D39" s="2155"/>
      <c r="H39" s="1064" t="s">
        <v>174</v>
      </c>
      <c r="I39" s="1065">
        <v>10</v>
      </c>
      <c r="J39" s="1066">
        <v>0.05</v>
      </c>
      <c r="K39" s="1065">
        <v>10.5</v>
      </c>
      <c r="L39" s="1065" t="s">
        <v>486</v>
      </c>
      <c r="M39" s="1068" t="s">
        <v>19</v>
      </c>
    </row>
    <row r="40" spans="2:13" ht="24" thickBot="1">
      <c r="B40" s="201">
        <f>+PP!B60</f>
        <v>37</v>
      </c>
      <c r="C40" s="202" t="str">
        <f>+PP!C60</f>
        <v>TENTACULO C/B C/V SR 100-300 g/pza (SUCIO)</v>
      </c>
      <c r="D40" s="2156" t="s">
        <v>20</v>
      </c>
      <c r="H40" s="1064" t="s">
        <v>493</v>
      </c>
      <c r="I40" s="1065">
        <v>10</v>
      </c>
      <c r="J40" s="1066">
        <v>7.0000000000000007E-2</v>
      </c>
      <c r="K40" s="1065">
        <v>10.7</v>
      </c>
      <c r="L40" s="1065" t="s">
        <v>489</v>
      </c>
      <c r="M40" s="1069" t="s">
        <v>23</v>
      </c>
    </row>
    <row r="41" spans="2:13" ht="24" thickBot="1">
      <c r="B41" s="201">
        <f>+PP!B61</f>
        <v>38</v>
      </c>
      <c r="C41" s="202" t="str">
        <f>+PP!C61</f>
        <v>TENTACULO C/B C/V SR 300-500 g/pza (SUCIO)</v>
      </c>
      <c r="D41" s="2156" t="s">
        <v>20</v>
      </c>
      <c r="H41" s="1064" t="s">
        <v>493</v>
      </c>
      <c r="I41" s="1065">
        <v>10</v>
      </c>
      <c r="J41" s="1066">
        <v>7.0000000000000007E-2</v>
      </c>
      <c r="K41" s="1065">
        <v>10.7</v>
      </c>
      <c r="L41" s="1065" t="s">
        <v>467</v>
      </c>
      <c r="M41" s="1069" t="s">
        <v>23</v>
      </c>
    </row>
    <row r="42" spans="2:13" ht="24" thickBot="1">
      <c r="B42" s="201">
        <f>+PP!B62</f>
        <v>39</v>
      </c>
      <c r="C42" s="202" t="str">
        <f>+PP!C62</f>
        <v>TENTACULO C/B S/V SR 100-300 g/pza</v>
      </c>
      <c r="D42" s="2156" t="s">
        <v>20</v>
      </c>
      <c r="H42" s="1070" t="s">
        <v>493</v>
      </c>
      <c r="I42" s="1071">
        <v>10</v>
      </c>
      <c r="J42" s="1072">
        <v>7.0000000000000007E-2</v>
      </c>
      <c r="K42" s="1071">
        <v>10.7</v>
      </c>
      <c r="L42" s="1071" t="s">
        <v>494</v>
      </c>
      <c r="M42" s="1137" t="s">
        <v>21</v>
      </c>
    </row>
    <row r="43" spans="2:13" ht="24" thickBot="1">
      <c r="B43" s="201">
        <f>+PP!B63</f>
        <v>40</v>
      </c>
      <c r="C43" s="202" t="str">
        <f>+PP!C63</f>
        <v>TENTACULO C/B C/V SR 100-500 g/pza (SUCIO)</v>
      </c>
      <c r="D43" s="2156" t="s">
        <v>20</v>
      </c>
      <c r="H43" s="1064" t="s">
        <v>495</v>
      </c>
      <c r="I43" s="1065">
        <v>10</v>
      </c>
      <c r="J43" s="1066">
        <v>0.1</v>
      </c>
      <c r="K43" s="1065">
        <v>11</v>
      </c>
      <c r="L43" s="1065" t="s">
        <v>462</v>
      </c>
      <c r="M43" s="1068" t="s">
        <v>19</v>
      </c>
    </row>
    <row r="44" spans="2:13" ht="24" thickBot="1">
      <c r="B44" s="201">
        <f>+PP!B64</f>
        <v>41</v>
      </c>
      <c r="C44" s="202" t="str">
        <f>+PP!C64</f>
        <v>TENTACULO C/B S/V SR 100-500 g/pza</v>
      </c>
      <c r="D44" s="2156" t="s">
        <v>20</v>
      </c>
      <c r="H44" s="1064" t="s">
        <v>204</v>
      </c>
      <c r="I44" s="1065">
        <v>10</v>
      </c>
      <c r="J44" s="1066">
        <v>0.1</v>
      </c>
      <c r="K44" s="1065">
        <v>11</v>
      </c>
      <c r="L44" s="1065" t="s">
        <v>462</v>
      </c>
      <c r="M44" s="1135" t="s">
        <v>22</v>
      </c>
    </row>
    <row r="45" spans="2:13" ht="24" thickBot="1">
      <c r="B45" s="201">
        <f>+PP!B65</f>
        <v>42</v>
      </c>
      <c r="C45" s="202" t="str">
        <f>+PP!C65</f>
        <v>TENTACULO C/B S/V SR 300-500 g/pza</v>
      </c>
      <c r="D45" s="2148" t="s">
        <v>20</v>
      </c>
    </row>
    <row r="46" spans="2:13" ht="24" thickBot="1">
      <c r="B46" s="201">
        <f>+PP!B66</f>
        <v>43</v>
      </c>
      <c r="C46" s="202" t="str">
        <f>+PP!C66</f>
        <v>TENTACULO C/B C/V SR 500-1000 g/pza (SUCIO)</v>
      </c>
      <c r="D46" s="2157" t="s">
        <v>476</v>
      </c>
    </row>
    <row r="47" spans="2:13" ht="24" thickBot="1">
      <c r="B47" s="201">
        <f>+PP!B67</f>
        <v>44</v>
      </c>
      <c r="C47" s="202" t="str">
        <f>+PP!C67</f>
        <v>TENTACULO C/B S/V SR 500-1000 g/pza</v>
      </c>
      <c r="D47" s="2158" t="s">
        <v>475</v>
      </c>
    </row>
    <row r="48" spans="2:13" ht="24" thickBot="1">
      <c r="B48" s="201">
        <f>+PP!B68</f>
        <v>45</v>
      </c>
      <c r="C48" s="202" t="str">
        <f>+PP!C68</f>
        <v>TENTACULO C/B C/V SR 1.0-2.0 Kg/pza (SUCIO)</v>
      </c>
      <c r="D48" s="2142" t="s">
        <v>19</v>
      </c>
    </row>
    <row r="49" spans="2:4" ht="24" thickBot="1">
      <c r="B49" s="201">
        <f>+PP!B69</f>
        <v>46</v>
      </c>
      <c r="C49" s="202" t="str">
        <f>+PP!C69</f>
        <v>TENTACULO C/B S/V SR 1.0-2.0 Kg/pza</v>
      </c>
      <c r="D49" s="2142" t="s">
        <v>19</v>
      </c>
    </row>
    <row r="50" spans="2:4" ht="24" thickBot="1">
      <c r="B50" s="201">
        <f>+PP!B70</f>
        <v>47</v>
      </c>
      <c r="C50" s="202" t="str">
        <f>+PP!C70</f>
        <v>TENTACULO C/B S/V SR 2 UP Kg/pza</v>
      </c>
      <c r="D50" s="2153" t="s">
        <v>22</v>
      </c>
    </row>
    <row r="51" spans="2:4" ht="24" thickBot="1">
      <c r="B51" s="204">
        <f>+PP!B71</f>
        <v>48</v>
      </c>
      <c r="C51" s="2159" t="str">
        <f>+PP!C71</f>
        <v>TUBO ALETA 500-1000 g/pza</v>
      </c>
      <c r="D51" s="2160" t="s">
        <v>19</v>
      </c>
    </row>
    <row r="68" spans="6:8">
      <c r="F68" s="426" t="s">
        <v>496</v>
      </c>
      <c r="G68" s="426"/>
      <c r="H68" s="426"/>
    </row>
    <row r="69" spans="6:8">
      <c r="F69" s="424" t="s">
        <v>497</v>
      </c>
      <c r="G69" s="424" t="s">
        <v>498</v>
      </c>
      <c r="H69" s="424" t="s">
        <v>499</v>
      </c>
    </row>
    <row r="70" spans="6:8">
      <c r="F70" s="425" t="s">
        <v>17</v>
      </c>
      <c r="G70" s="428">
        <v>7</v>
      </c>
      <c r="H70" s="429">
        <v>0.16279069767441862</v>
      </c>
    </row>
    <row r="71" spans="6:8">
      <c r="F71" s="427" t="s">
        <v>18</v>
      </c>
      <c r="G71" s="428">
        <v>5</v>
      </c>
      <c r="H71" s="429">
        <v>0.11627906976744186</v>
      </c>
    </row>
    <row r="72" spans="6:8">
      <c r="F72" s="427" t="s">
        <v>16</v>
      </c>
      <c r="G72" s="428">
        <v>5</v>
      </c>
      <c r="H72" s="429">
        <v>0.11627906976744186</v>
      </c>
    </row>
    <row r="73" spans="6:8">
      <c r="F73" s="427" t="s">
        <v>23</v>
      </c>
      <c r="G73" s="428">
        <v>5</v>
      </c>
      <c r="H73" s="429">
        <v>0.11627906976744186</v>
      </c>
    </row>
    <row r="74" spans="6:8">
      <c r="F74" s="427" t="s">
        <v>19</v>
      </c>
      <c r="G74" s="428">
        <v>4</v>
      </c>
      <c r="H74" s="429">
        <v>9.3023255813953487E-2</v>
      </c>
    </row>
    <row r="75" spans="6:8">
      <c r="F75" s="427" t="s">
        <v>22</v>
      </c>
      <c r="G75" s="428">
        <v>4</v>
      </c>
      <c r="H75" s="429">
        <v>9.3023255813953487E-2</v>
      </c>
    </row>
    <row r="76" spans="6:8">
      <c r="F76" s="427" t="s">
        <v>21</v>
      </c>
      <c r="G76" s="428">
        <v>4</v>
      </c>
      <c r="H76" s="429">
        <v>9.3023255813953487E-2</v>
      </c>
    </row>
    <row r="77" spans="6:8">
      <c r="F77" s="427" t="s">
        <v>375</v>
      </c>
      <c r="G77" s="428">
        <v>3</v>
      </c>
      <c r="H77" s="429">
        <v>6.9767441860465115E-2</v>
      </c>
    </row>
    <row r="78" spans="6:8">
      <c r="F78" s="427" t="s">
        <v>20</v>
      </c>
      <c r="G78" s="428">
        <v>3</v>
      </c>
      <c r="H78" s="429">
        <v>6.9767441860465115E-2</v>
      </c>
    </row>
    <row r="79" spans="6:8">
      <c r="F79" s="427" t="s">
        <v>303</v>
      </c>
      <c r="G79" s="428">
        <v>1</v>
      </c>
      <c r="H79" s="429">
        <v>2.3255813953488372E-2</v>
      </c>
    </row>
    <row r="80" spans="6:8">
      <c r="F80" s="427" t="s">
        <v>76</v>
      </c>
      <c r="G80" s="428">
        <v>1</v>
      </c>
      <c r="H80" s="429">
        <v>2.3255813953488372E-2</v>
      </c>
    </row>
    <row r="81" spans="6:8" ht="15.75" thickBot="1">
      <c r="F81" s="433" t="s">
        <v>474</v>
      </c>
      <c r="G81" s="434">
        <v>1</v>
      </c>
      <c r="H81" s="435">
        <v>2.3255813953488372E-2</v>
      </c>
    </row>
    <row r="82" spans="6:8">
      <c r="F82" s="436" t="s">
        <v>500</v>
      </c>
      <c r="G82" s="437">
        <v>43</v>
      </c>
      <c r="H82" s="438">
        <v>1</v>
      </c>
    </row>
    <row r="83" spans="6:8">
      <c r="F83" s="430" t="s">
        <v>501</v>
      </c>
      <c r="G83" s="431">
        <v>12</v>
      </c>
      <c r="H83" s="432"/>
    </row>
    <row r="84" spans="6:8">
      <c r="F84" s="422"/>
      <c r="G84" s="423"/>
      <c r="H84" s="422"/>
    </row>
  </sheetData>
  <mergeCells count="1">
    <mergeCell ref="I3:M4"/>
  </mergeCells>
  <pageMargins left="1.08" right="0.7" top="0.75" bottom="0.75" header="0.3" footer="0.3"/>
  <pageSetup paperSize="9" scale="68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CD207-E041-4A62-ACD0-DD62900ED8C3}">
  <sheetPr codeName="Hoja16"/>
  <dimension ref="B2:AH71"/>
  <sheetViews>
    <sheetView topLeftCell="A29" zoomScale="55" zoomScaleNormal="55" workbookViewId="0">
      <selection activeCell="H19" sqref="C19:H19"/>
    </sheetView>
  </sheetViews>
  <sheetFormatPr baseColWidth="10" defaultRowHeight="26.25"/>
  <cols>
    <col min="1" max="1" width="6.28515625" customWidth="1"/>
    <col min="2" max="2" width="7.7109375" customWidth="1"/>
    <col min="3" max="3" width="67.7109375" customWidth="1"/>
    <col min="4" max="4" width="24.7109375" bestFit="1" customWidth="1"/>
    <col min="5" max="5" width="27.42578125" bestFit="1" customWidth="1"/>
    <col min="6" max="6" width="22.42578125" customWidth="1"/>
    <col min="7" max="7" width="26" bestFit="1" customWidth="1"/>
    <col min="8" max="8" width="20" bestFit="1" customWidth="1"/>
    <col min="9" max="9" width="21.7109375" bestFit="1" customWidth="1"/>
    <col min="10" max="10" width="11.42578125" customWidth="1"/>
    <col min="11" max="11" width="24.42578125" style="26" customWidth="1"/>
    <col min="12" max="12" width="13.28515625" customWidth="1"/>
    <col min="13" max="13" width="21.7109375" bestFit="1" customWidth="1"/>
    <col min="14" max="14" width="11.42578125" customWidth="1"/>
    <col min="15" max="16" width="22.42578125" customWidth="1"/>
    <col min="17" max="17" width="14.42578125" style="207" bestFit="1" customWidth="1"/>
    <col min="19" max="19" width="13.5703125" customWidth="1"/>
    <col min="20" max="20" width="8.5703125" customWidth="1"/>
    <col min="21" max="21" width="68.28515625" customWidth="1"/>
    <col min="22" max="26" width="14.85546875" customWidth="1"/>
    <col min="27" max="27" width="24.28515625" customWidth="1"/>
    <col min="28" max="29" width="14.85546875" customWidth="1"/>
    <col min="30" max="30" width="24" customWidth="1"/>
    <col min="31" max="34" width="14.85546875" customWidth="1"/>
  </cols>
  <sheetData>
    <row r="2" spans="2:34" ht="27" thickBot="1"/>
    <row r="3" spans="2:34" ht="32.25" thickBot="1">
      <c r="B3" s="262" t="s">
        <v>15</v>
      </c>
      <c r="C3" s="197" t="s">
        <v>6</v>
      </c>
      <c r="D3" s="1585" t="s">
        <v>448</v>
      </c>
      <c r="E3" s="1586" t="s">
        <v>335</v>
      </c>
      <c r="F3" s="1587" t="s">
        <v>447</v>
      </c>
      <c r="G3" s="196" t="s">
        <v>338</v>
      </c>
      <c r="H3" s="198" t="s">
        <v>336</v>
      </c>
      <c r="I3" s="66" t="s">
        <v>129</v>
      </c>
      <c r="J3" s="66" t="s">
        <v>9</v>
      </c>
      <c r="K3" s="66" t="s">
        <v>14</v>
      </c>
      <c r="L3" s="66" t="s">
        <v>337</v>
      </c>
      <c r="M3" s="66" t="s">
        <v>129</v>
      </c>
      <c r="N3" s="67" t="s">
        <v>9</v>
      </c>
      <c r="O3" s="200" t="s">
        <v>347</v>
      </c>
      <c r="P3" s="67" t="s">
        <v>348</v>
      </c>
      <c r="Q3" s="192"/>
      <c r="R3" s="26"/>
      <c r="S3" s="26"/>
      <c r="T3" s="2773" t="s">
        <v>591</v>
      </c>
      <c r="U3" s="2774"/>
      <c r="V3" s="2775"/>
      <c r="W3" s="2775"/>
      <c r="X3" s="2775"/>
      <c r="Y3" s="2774"/>
      <c r="Z3" s="2775"/>
      <c r="AA3" s="2775"/>
      <c r="AB3" s="2774"/>
      <c r="AC3" s="2775"/>
      <c r="AD3" s="2775"/>
      <c r="AE3" s="2774"/>
      <c r="AF3" s="2775"/>
      <c r="AG3" s="2775"/>
      <c r="AH3" s="2776"/>
    </row>
    <row r="4" spans="2:34" s="17" customFormat="1" ht="43.5" thickBot="1">
      <c r="B4" s="264">
        <f>+'EM-TUN'!B6</f>
        <v>1</v>
      </c>
      <c r="C4" s="266" t="str">
        <f>+'EM-TUN'!C6</f>
        <v>ANILLAS BLANCAS SM ST</v>
      </c>
      <c r="D4" s="195">
        <f>+'RES-EN'!R6</f>
        <v>0</v>
      </c>
      <c r="E4" s="68">
        <f>+'ENV. PLACAS'!AD6</f>
        <v>0</v>
      </c>
      <c r="F4" s="368">
        <f>+'EM-TUN'!CC6</f>
        <v>0</v>
      </c>
      <c r="G4" s="69">
        <f>+'EM-PLA'!BC6</f>
        <v>0</v>
      </c>
      <c r="H4" s="1493">
        <f>+Tabla3[[#This Row],[TOTAL DE BULTOS ENVASADO TUNEL]]-(Tabla3[[#This Row],[TOTAL DE BULTOS EMPAQUE TUNEL]])</f>
        <v>0</v>
      </c>
      <c r="I4" s="1057" t="str">
        <f t="shared" ref="I4:I42" si="0">IF(H4&gt;0,"FALTA EMPACAR",IF(H4&lt;0,"SOBRA EMPAQUE","CUADRADO"))</f>
        <v>CUADRADO</v>
      </c>
      <c r="J4" s="1061">
        <f>+H4*20</f>
        <v>0</v>
      </c>
      <c r="K4" s="1679" t="str">
        <f>IF($C4="","",IFERROR(IF(INDEX(COLORES!$D:$D,MATCH($C4,COLORES!$C:$C,0))=0,"",INDEX(COLORES!$D:$D,MATCH($C4,COLORES!$C:$C,0))),IFERROR(IF(INDEX(COLORES!$D:$D,MATCH($C4&amp;"S",COLORES!$C:$C,0))=0,"",INDEX(COLORES!$D:$D,MATCH($C4&amp;"S",COLORES!$C:$C,0))),"")))</f>
        <v>AZUL</v>
      </c>
      <c r="L4" s="1059">
        <f>Tabla3[[#This Row],[TOTAL DE BULTOS ENVASADO PLACAS]]-Tabla3[[#This Row],[TOTAL DE BULTOS EMPAQUE PLACAS]]</f>
        <v>0</v>
      </c>
      <c r="M4" s="1057" t="str">
        <f t="shared" ref="M4:M42" si="1">IF(L4&gt;0,"FALTA EMPACAR",IF(L4&lt;0,"SOBRA EMPAQUE","CUADRADO"))</f>
        <v>CUADRADO</v>
      </c>
      <c r="N4" s="1060">
        <f>+L4*20</f>
        <v>0</v>
      </c>
      <c r="O4" s="195">
        <f>+Tabla3[[#This Row],[TOTAL DE BULTOS ENVASADO TUNEL]]+Tabla3[[#This Row],[TOTAL DE BULTOS ENVASADO PLACAS]]</f>
        <v>0</v>
      </c>
      <c r="P4" s="68">
        <f>+Tabla3[[#This Row],[TOTAL DE BULTOS EMPAQUE TUNEL]]+Tabla3[[#This Row],[TOTAL DE BULTOS EMPAQUE PLACAS]]</f>
        <v>0</v>
      </c>
      <c r="Q4" s="192"/>
      <c r="R4" s="26"/>
      <c r="S4" s="26"/>
      <c r="T4" s="1588" t="s">
        <v>15</v>
      </c>
      <c r="U4" s="1589" t="s">
        <v>6</v>
      </c>
      <c r="V4" s="1590" t="s">
        <v>592</v>
      </c>
      <c r="W4" s="1591" t="s">
        <v>593</v>
      </c>
      <c r="X4" s="1591" t="s">
        <v>594</v>
      </c>
      <c r="Y4" s="1592" t="s">
        <v>595</v>
      </c>
      <c r="Z4" s="1593" t="s">
        <v>596</v>
      </c>
      <c r="AA4" s="1594" t="s">
        <v>597</v>
      </c>
      <c r="AB4" s="1595" t="s">
        <v>598</v>
      </c>
      <c r="AC4" s="1596" t="s">
        <v>599</v>
      </c>
      <c r="AD4" s="1597" t="s">
        <v>600</v>
      </c>
      <c r="AE4" s="1598" t="s">
        <v>601</v>
      </c>
      <c r="AF4" s="1599" t="s">
        <v>602</v>
      </c>
      <c r="AG4" s="1600" t="s">
        <v>603</v>
      </c>
      <c r="AH4" s="1601" t="s">
        <v>604</v>
      </c>
    </row>
    <row r="5" spans="2:34" s="17" customFormat="1" ht="27" thickBot="1">
      <c r="B5" s="265">
        <f>+'EM-TUN'!B7</f>
        <v>2</v>
      </c>
      <c r="C5" s="267" t="str">
        <f>+'EM-TUN'!C7</f>
        <v>ANILLAS AMARILLAS SM ST</v>
      </c>
      <c r="D5" s="195">
        <f>+'RES-EN'!R7</f>
        <v>0</v>
      </c>
      <c r="E5" s="68">
        <f>+'ENV. PLACAS'!AD7</f>
        <v>0</v>
      </c>
      <c r="F5" s="368">
        <f>+'EM-TUN'!CC7</f>
        <v>0</v>
      </c>
      <c r="G5" s="69">
        <f>+'EM-PLA'!BC7</f>
        <v>0</v>
      </c>
      <c r="H5" s="1493">
        <f>+Tabla3[[#This Row],[TOTAL DE BULTOS ENVASADO TUNEL]]-(Tabla3[[#This Row],[TOTAL DE BULTOS EMPAQUE TUNEL]])</f>
        <v>0</v>
      </c>
      <c r="I5" s="1057" t="str">
        <f t="shared" si="0"/>
        <v>CUADRADO</v>
      </c>
      <c r="J5" s="1061">
        <f>+H5*20</f>
        <v>0</v>
      </c>
      <c r="K5" s="1618" t="str">
        <f>IF($C5="","",IFERROR(IF(INDEX(COLORES!$D:$D,MATCH($C5,COLORES!$C:$C,0))=0,"",INDEX(COLORES!$D:$D,MATCH($C5,COLORES!$C:$C,0))),IFERROR(IF(INDEX(COLORES!$D:$D,MATCH($C5&amp;"S",COLORES!$C:$C,0))=0,"",INDEX(COLORES!$D:$D,MATCH($C5&amp;"S",COLORES!$C:$C,0))),"")))</f>
        <v>AMARILLO</v>
      </c>
      <c r="L5" s="1059">
        <f>Tabla3[[#This Row],[TOTAL DE BULTOS ENVASADO PLACAS]]-Tabla3[[#This Row],[TOTAL DE BULTOS EMPAQUE PLACAS]]</f>
        <v>0</v>
      </c>
      <c r="M5" s="1057" t="str">
        <f t="shared" si="1"/>
        <v>CUADRADO</v>
      </c>
      <c r="N5" s="1060">
        <f>+L5*20</f>
        <v>0</v>
      </c>
      <c r="O5" s="195">
        <f>+Tabla3[[#This Row],[TOTAL DE BULTOS ENVASADO TUNEL]]+Tabla3[[#This Row],[TOTAL DE BULTOS ENVASADO PLACAS]]</f>
        <v>0</v>
      </c>
      <c r="P5" s="68">
        <f>+Tabla3[[#This Row],[TOTAL DE BULTOS EMPAQUE TUNEL]]+Tabla3[[#This Row],[TOTAL DE BULTOS EMPAQUE PLACAS]]</f>
        <v>0</v>
      </c>
      <c r="Q5" s="192"/>
      <c r="R5" s="26"/>
      <c r="S5" s="26"/>
      <c r="T5" s="1602" t="str">
        <f>IFERROR(INDEX($B$4:$B$56,_xlfn.AGGREGATE(15,6,(ROW($B$4:$B$56)-ROW($B$4)+1)/((ISNUMBER($B$4:$B$56))*((($H$4:$H$56&gt;=0.5)+($L$4:$L$56&gt;=0.5))&gt;0)),ROWS($T$5:T5))),"")</f>
        <v/>
      </c>
      <c r="U5" s="1603" t="str">
        <f>IFERROR(INDEX($C$4:$C$56,_xlfn.AGGREGATE(15,6,(ROW($B$4:$B$56)-ROW($B$4)+1)/((ISNUMBER($B$4:$B$56))*((($H$4:$H$56&gt;=0.5)+($L$4:$L$56&gt;=0.5))&gt;0)),ROWS($T$5:T5))),"")</f>
        <v/>
      </c>
      <c r="V5" s="1604" t="str">
        <f>IFERROR(INDEX($D$4:$D$56,_xlfn.AGGREGATE(15,6,(ROW($B$4:$B$56)-ROW($B$4)+1)/((ISNUMBER($B$4:$B$56))*((($H$4:$H$56&gt;=0.5)+($L$4:$L$56&gt;=0.5))&gt;0)),ROWS($T$5:T5))),"")</f>
        <v/>
      </c>
      <c r="W5" s="1605" t="str">
        <f>IFERROR(INDEX($E$4:$E$56,_xlfn.AGGREGATE(15,6,(ROW($B$4:$B$56)-ROW($B$4)+1)/((ISNUMBER($B$4:$B$56))*((($H$4:$H$56&gt;=0.5)+($L$4:$L$56&gt;=0.5))&gt;0)),ROWS($T$5:T5))),"")</f>
        <v/>
      </c>
      <c r="X5" s="1605" t="str">
        <f>IFERROR(INDEX($F$4:$F$56,_xlfn.AGGREGATE(15,6,(ROW($B$4:$B$56)-ROW($B$4)+1)/((ISNUMBER($B$4:$B$56))*((($H$4:$H$56&gt;=0.5)+($L$4:$L$56&gt;=0.5))&gt;0)),ROWS($T$5:T5))),"")</f>
        <v/>
      </c>
      <c r="Y5" s="1606" t="str">
        <f>IFERROR(INDEX($G$4:$G$56,_xlfn.AGGREGATE(15,6,(ROW($B$4:$B$56)-ROW($B$4)+1)/((ISNUMBER($B$4:$B$56))*((($H$4:$H$56&gt;=0.5)+($L$4:$L$56&gt;=0.5))&gt;0)),ROWS($T$5:T5))),"")</f>
        <v/>
      </c>
      <c r="Z5" s="1607" t="str">
        <f>IFERROR(INDEX($H$4:$H$56,_xlfn.AGGREGATE(15,6,(ROW($B$4:$B$56)-ROW($B$4)+1)/((ISNUMBER($B$4:$B$56))*((($H$4:$H$56&gt;=0.5)+($L$4:$L$56&gt;=0.5))&gt;0)),ROWS($T$5:T5))),"")</f>
        <v/>
      </c>
      <c r="AA5" s="1608" t="str">
        <f>IFERROR(INDEX($I$4:$I$56,_xlfn.AGGREGATE(15,6,(ROW($B$4:$B$56)-ROW($B$4)+1)/((ISNUMBER($B$4:$B$56))*((($H$4:$H$56&gt;=0.5)+($L$4:$L$56&gt;=0.5))&gt;0)),ROWS($T$5:T5))),"")</f>
        <v/>
      </c>
      <c r="AB5" s="1609" t="str">
        <f>IFERROR(INDEX($J$4:$J$56,_xlfn.AGGREGATE(15,6,(ROW($B$4:$B$56)-ROW($B$4)+1)/((ISNUMBER($B$4:$B$56))*((($H$4:$H$56&gt;=0.5)+($L$4:$L$56&gt;=0.5))&gt;0)),ROWS($T$5:T5))),"")</f>
        <v/>
      </c>
      <c r="AC5" s="1610" t="str">
        <f>IFERROR(INDEX($L$4:$L$56,_xlfn.AGGREGATE(15,6,(ROW($B$4:$B$56)-ROW($B$4)+1)/((ISNUMBER($B$4:$B$56))*((($H$4:$H$56&gt;=0.5)+($L$4:$L$56&gt;=0.5))&gt;0)),ROWS($T$5:T5))),"")</f>
        <v/>
      </c>
      <c r="AD5" s="1611" t="str">
        <f>IFERROR(INDEX($M$4:$M$56,_xlfn.AGGREGATE(15,6,(ROW($B$4:$B$56)-ROW($B$4)+1)/((ISNUMBER($B$4:$B$56))*((($H$4:$H$56&gt;=0.5)+($L$4:$L$56&gt;=0.5))&gt;0)),ROWS($T$5:T5))),"")</f>
        <v/>
      </c>
      <c r="AE5" s="1612" t="str">
        <f>IFERROR(INDEX($N$4:$N$56,_xlfn.AGGREGATE(15,6,(ROW($B$4:$B$56)-ROW($B$4)+1)/((ISNUMBER($B$4:$B$56))*((($H$4:$H$56&gt;=0.5)+($L$4:$L$56&gt;=0.5))&gt;0)),ROWS($T$5:T5))),"")</f>
        <v/>
      </c>
      <c r="AF5" s="1613" t="str">
        <f>IFERROR(INDEX($O$4:$O$56,_xlfn.AGGREGATE(15,6,(ROW($B$4:$B$56)-ROW($B$4)+1)/((ISNUMBER($B$4:$B$56))*((($H$4:$H$56&gt;=0.5)+($L$4:$L$56&gt;=0.5))&gt;0)),ROWS($T$5:T5))),"")</f>
        <v/>
      </c>
      <c r="AG5" s="1614" t="str">
        <f>IFERROR(INDEX($P$4:$P$56,_xlfn.AGGREGATE(15,6,(ROW($B$4:$B$56)-ROW($B$4)+1)/((ISNUMBER($B$4:$B$56))*((($H$4:$H$56&gt;=0.5)+($L$4:$L$56&gt;=0.5))&gt;0)),ROWS($T$5:T5))),"")</f>
        <v/>
      </c>
      <c r="AH5" s="1615" t="str">
        <f t="shared" ref="AH5:AH36" si="2">IF($T5="","",IF(AND($AA5="CUADRADO",$AD5="CUADRADO"),"OK","REVISAR"))</f>
        <v/>
      </c>
    </row>
    <row r="6" spans="2:34" s="17" customFormat="1" ht="27" thickBot="1">
      <c r="B6" s="263">
        <f>+'EM-TUN'!B8</f>
        <v>3</v>
      </c>
      <c r="C6" s="261" t="str">
        <f>+'EM-TUN'!C8</f>
        <v>ANILLAS BLANCAS SM ST MEDIANA</v>
      </c>
      <c r="D6" s="195">
        <f>+'RES-EN'!R8</f>
        <v>0</v>
      </c>
      <c r="E6" s="68">
        <f>+'ENV. PLACAS'!AD8</f>
        <v>0</v>
      </c>
      <c r="F6" s="368">
        <f>+'EM-TUN'!CC8</f>
        <v>0</v>
      </c>
      <c r="G6" s="69">
        <f>+'EM-PLA'!BC8</f>
        <v>0</v>
      </c>
      <c r="H6" s="1493">
        <f>+Tabla3[[#This Row],[TOTAL DE BULTOS ENVASADO TUNEL]]-(Tabla3[[#This Row],[TOTAL DE BULTOS EMPAQUE TUNEL]])</f>
        <v>0</v>
      </c>
      <c r="I6" s="1057" t="str">
        <f t="shared" si="0"/>
        <v>CUADRADO</v>
      </c>
      <c r="J6" s="1061">
        <f t="shared" ref="J6:J42" si="3">+H6*20</f>
        <v>0</v>
      </c>
      <c r="K6" s="1619" t="str">
        <f>IF($C6="","",IFERROR(IF(INDEX(COLORES!$D:$D,MATCH($C6,COLORES!$C:$C,0))=0,"",INDEX(COLORES!$D:$D,MATCH($C6,COLORES!$C:$C,0))),IFERROR(IF(INDEX(COLORES!$D:$D,MATCH($C6&amp;"S",COLORES!$C:$C,0))=0,"",INDEX(COLORES!$D:$D,MATCH($C6&amp;"S",COLORES!$C:$C,0))),"")))</f>
        <v>NARANJA</v>
      </c>
      <c r="L6" s="1059">
        <f>Tabla3[[#This Row],[TOTAL DE BULTOS ENVASADO PLACAS]]-Tabla3[[#This Row],[TOTAL DE BULTOS EMPAQUE PLACAS]]</f>
        <v>0</v>
      </c>
      <c r="M6" s="1057" t="str">
        <f t="shared" si="1"/>
        <v>CUADRADO</v>
      </c>
      <c r="N6" s="1060">
        <f t="shared" ref="N6:N42" si="4">+L6*20</f>
        <v>0</v>
      </c>
      <c r="O6" s="195">
        <f>+Tabla3[[#This Row],[TOTAL DE BULTOS ENVASADO TUNEL]]+Tabla3[[#This Row],[TOTAL DE BULTOS ENVASADO PLACAS]]</f>
        <v>0</v>
      </c>
      <c r="P6" s="68">
        <f>+Tabla3[[#This Row],[TOTAL DE BULTOS EMPAQUE TUNEL]]+Tabla3[[#This Row],[TOTAL DE BULTOS EMPAQUE PLACAS]]</f>
        <v>0</v>
      </c>
      <c r="Q6" s="192"/>
      <c r="R6" s="26"/>
      <c r="S6" s="26"/>
      <c r="T6" s="1602" t="str">
        <f>IFERROR(INDEX($B$4:$B$56,_xlfn.AGGREGATE(15,6,(ROW($B$4:$B$56)-ROW($B$4)+1)/((ISNUMBER($B$4:$B$56))*((($H$4:$H$56&gt;=0.5)+($L$4:$L$56&gt;=0.5))&gt;0)),ROWS($T$5:T6))),"")</f>
        <v/>
      </c>
      <c r="U6" s="1603" t="str">
        <f>IFERROR(INDEX($C$4:$C$56,_xlfn.AGGREGATE(15,6,(ROW($B$4:$B$56)-ROW($B$4)+1)/((ISNUMBER($B$4:$B$56))*((($H$4:$H$56&gt;=0.5)+($L$4:$L$56&gt;=0.5))&gt;0)),ROWS($T$5:T6))),"")</f>
        <v/>
      </c>
      <c r="V6" s="1604" t="str">
        <f>IFERROR(INDEX($D$4:$D$56,_xlfn.AGGREGATE(15,6,(ROW($B$4:$B$56)-ROW($B$4)+1)/((ISNUMBER($B$4:$B$56))*((($H$4:$H$56&gt;=0.5)+($L$4:$L$56&gt;=0.5))&gt;0)),ROWS($T$5:T6))),"")</f>
        <v/>
      </c>
      <c r="W6" s="1605" t="str">
        <f>IFERROR(INDEX($E$4:$E$56,_xlfn.AGGREGATE(15,6,(ROW($B$4:$B$56)-ROW($B$4)+1)/((ISNUMBER($B$4:$B$56))*((($H$4:$H$56&gt;=0.5)+($L$4:$L$56&gt;=0.5))&gt;0)),ROWS($T$5:T6))),"")</f>
        <v/>
      </c>
      <c r="X6" s="1605" t="str">
        <f>IFERROR(INDEX($F$4:$F$56,_xlfn.AGGREGATE(15,6,(ROW($B$4:$B$56)-ROW($B$4)+1)/((ISNUMBER($B$4:$B$56))*((($H$4:$H$56&gt;=0.5)+($L$4:$L$56&gt;=0.5))&gt;0)),ROWS($T$5:T6))),"")</f>
        <v/>
      </c>
      <c r="Y6" s="1606" t="str">
        <f>IFERROR(INDEX($G$4:$G$56,_xlfn.AGGREGATE(15,6,(ROW($B$4:$B$56)-ROW($B$4)+1)/((ISNUMBER($B$4:$B$56))*((($H$4:$H$56&gt;=0.5)+($L$4:$L$56&gt;=0.5))&gt;0)),ROWS($T$5:T6))),"")</f>
        <v/>
      </c>
      <c r="Z6" s="1607" t="str">
        <f>IFERROR(INDEX($H$4:$H$56,_xlfn.AGGREGATE(15,6,(ROW($B$4:$B$56)-ROW($B$4)+1)/((ISNUMBER($B$4:$B$56))*((($H$4:$H$56&gt;=0.5)+($L$4:$L$56&gt;=0.5))&gt;0)),ROWS($T$5:T6))),"")</f>
        <v/>
      </c>
      <c r="AA6" s="1608" t="str">
        <f>IFERROR(INDEX($I$4:$I$56,_xlfn.AGGREGATE(15,6,(ROW($B$4:$B$56)-ROW($B$4)+1)/((ISNUMBER($B$4:$B$56))*((($H$4:$H$56&gt;=0.5)+($L$4:$L$56&gt;=0.5))&gt;0)),ROWS($T$5:T6))),"")</f>
        <v/>
      </c>
      <c r="AB6" s="1609" t="str">
        <f>IFERROR(INDEX($J$4:$J$56,_xlfn.AGGREGATE(15,6,(ROW($B$4:$B$56)-ROW($B$4)+1)/((ISNUMBER($B$4:$B$56))*((($H$4:$H$56&gt;=0.5)+($L$4:$L$56&gt;=0.5))&gt;0)),ROWS($T$5:T6))),"")</f>
        <v/>
      </c>
      <c r="AC6" s="1610" t="str">
        <f>IFERROR(INDEX($L$4:$L$56,_xlfn.AGGREGATE(15,6,(ROW($B$4:$B$56)-ROW($B$4)+1)/((ISNUMBER($B$4:$B$56))*((($H$4:$H$56&gt;=0.5)+($L$4:$L$56&gt;=0.5))&gt;0)),ROWS($T$5:T6))),"")</f>
        <v/>
      </c>
      <c r="AD6" s="1611" t="str">
        <f>IFERROR(INDEX($M$4:$M$56,_xlfn.AGGREGATE(15,6,(ROW($B$4:$B$56)-ROW($B$4)+1)/((ISNUMBER($B$4:$B$56))*((($H$4:$H$56&gt;=0.5)+($L$4:$L$56&gt;=0.5))&gt;0)),ROWS($T$5:T6))),"")</f>
        <v/>
      </c>
      <c r="AE6" s="1612" t="str">
        <f>IFERROR(INDEX($N$4:$N$56,_xlfn.AGGREGATE(15,6,(ROW($B$4:$B$56)-ROW($B$4)+1)/((ISNUMBER($B$4:$B$56))*((($H$4:$H$56&gt;=0.5)+($L$4:$L$56&gt;=0.5))&gt;0)),ROWS($T$5:T6))),"")</f>
        <v/>
      </c>
      <c r="AF6" s="1613" t="str">
        <f>IFERROR(INDEX($O$4:$O$56,_xlfn.AGGREGATE(15,6,(ROW($B$4:$B$56)-ROW($B$4)+1)/((ISNUMBER($B$4:$B$56))*((($H$4:$H$56&gt;=0.5)+($L$4:$L$56&gt;=0.5))&gt;0)),ROWS($T$5:T6))),"")</f>
        <v/>
      </c>
      <c r="AG6" s="1614" t="str">
        <f>IFERROR(INDEX($P$4:$P$56,_xlfn.AGGREGATE(15,6,(ROW($B$4:$B$56)-ROW($B$4)+1)/((ISNUMBER($B$4:$B$56))*((($H$4:$H$56&gt;=0.5)+($L$4:$L$56&gt;=0.5))&gt;0)),ROWS($T$5:T6))),"")</f>
        <v/>
      </c>
      <c r="AH6" s="1615" t="str">
        <f t="shared" si="2"/>
        <v/>
      </c>
    </row>
    <row r="7" spans="2:34" s="17" customFormat="1" ht="27" thickBot="1">
      <c r="B7" s="45">
        <f>+'EM-TUN'!B9</f>
        <v>4</v>
      </c>
      <c r="C7" s="25" t="str">
        <f>+'EM-TUN'!C9</f>
        <v>ALETA FRESCA CORTE CRUZ</v>
      </c>
      <c r="D7" s="195">
        <f>+'RES-EN'!R9</f>
        <v>0</v>
      </c>
      <c r="E7" s="68">
        <f>+'ENV. PLACAS'!AD9</f>
        <v>0</v>
      </c>
      <c r="F7" s="368">
        <f>+'EM-TUN'!CC9</f>
        <v>0</v>
      </c>
      <c r="G7" s="69">
        <f>+'EM-PLA'!BC9</f>
        <v>0</v>
      </c>
      <c r="H7" s="1493">
        <f>+Tabla3[[#This Row],[TOTAL DE BULTOS ENVASADO TUNEL]]-(Tabla3[[#This Row],[TOTAL DE BULTOS EMPAQUE TUNEL]])</f>
        <v>0</v>
      </c>
      <c r="I7" s="1058" t="str">
        <f t="shared" si="0"/>
        <v>CUADRADO</v>
      </c>
      <c r="J7" s="1061">
        <f t="shared" si="3"/>
        <v>0</v>
      </c>
      <c r="K7" s="1620" t="str">
        <f>IF($C7="","",IFERROR(IF(INDEX(COLORES!$D:$D,MATCH($C7,COLORES!$C:$C,0))=0,"",INDEX(COLORES!$D:$D,MATCH($C7,COLORES!$C:$C,0))),IFERROR(IF(INDEX(COLORES!$D:$D,MATCH($C7&amp;"S",COLORES!$C:$C,0))=0,"",INDEX(COLORES!$D:$D,MATCH($C7&amp;"S",COLORES!$C:$C,0))),"")))</f>
        <v>BLANCO</v>
      </c>
      <c r="L7" s="1059">
        <f>Tabla3[[#This Row],[TOTAL DE BULTOS ENVASADO PLACAS]]-Tabla3[[#This Row],[TOTAL DE BULTOS EMPAQUE PLACAS]]</f>
        <v>0</v>
      </c>
      <c r="M7" s="1058" t="str">
        <f t="shared" si="1"/>
        <v>CUADRADO</v>
      </c>
      <c r="N7" s="1060">
        <f t="shared" si="4"/>
        <v>0</v>
      </c>
      <c r="O7" s="195">
        <f>+Tabla3[[#This Row],[TOTAL DE BULTOS ENVASADO TUNEL]]+Tabla3[[#This Row],[TOTAL DE BULTOS ENVASADO PLACAS]]</f>
        <v>0</v>
      </c>
      <c r="P7" s="68">
        <f>+Tabla3[[#This Row],[TOTAL DE BULTOS EMPAQUE TUNEL]]+Tabla3[[#This Row],[TOTAL DE BULTOS EMPAQUE PLACAS]]</f>
        <v>0</v>
      </c>
      <c r="Q7" s="192"/>
      <c r="R7" s="26"/>
      <c r="S7" s="26"/>
      <c r="T7" s="1602" t="str">
        <f>IFERROR(INDEX($B$4:$B$56,_xlfn.AGGREGATE(15,6,(ROW($B$4:$B$56)-ROW($B$4)+1)/((ISNUMBER($B$4:$B$56))*((($H$4:$H$56&gt;=0.5)+($L$4:$L$56&gt;=0.5))&gt;0)),ROWS($T$5:T7))),"")</f>
        <v/>
      </c>
      <c r="U7" s="1603" t="str">
        <f>IFERROR(INDEX($C$4:$C$56,_xlfn.AGGREGATE(15,6,(ROW($B$4:$B$56)-ROW($B$4)+1)/((ISNUMBER($B$4:$B$56))*((($H$4:$H$56&gt;=0.5)+($L$4:$L$56&gt;=0.5))&gt;0)),ROWS($T$5:T7))),"")</f>
        <v/>
      </c>
      <c r="V7" s="1604" t="str">
        <f>IFERROR(INDEX($D$4:$D$56,_xlfn.AGGREGATE(15,6,(ROW($B$4:$B$56)-ROW($B$4)+1)/((ISNUMBER($B$4:$B$56))*((($H$4:$H$56&gt;=0.5)+($L$4:$L$56&gt;=0.5))&gt;0)),ROWS($T$5:T7))),"")</f>
        <v/>
      </c>
      <c r="W7" s="1605" t="str">
        <f>IFERROR(INDEX($E$4:$E$56,_xlfn.AGGREGATE(15,6,(ROW($B$4:$B$56)-ROW($B$4)+1)/((ISNUMBER($B$4:$B$56))*((($H$4:$H$56&gt;=0.5)+($L$4:$L$56&gt;=0.5))&gt;0)),ROWS($T$5:T7))),"")</f>
        <v/>
      </c>
      <c r="X7" s="1605" t="str">
        <f>IFERROR(INDEX($F$4:$F$56,_xlfn.AGGREGATE(15,6,(ROW($B$4:$B$56)-ROW($B$4)+1)/((ISNUMBER($B$4:$B$56))*((($H$4:$H$56&gt;=0.5)+($L$4:$L$56&gt;=0.5))&gt;0)),ROWS($T$5:T7))),"")</f>
        <v/>
      </c>
      <c r="Y7" s="1606" t="str">
        <f>IFERROR(INDEX($G$4:$G$56,_xlfn.AGGREGATE(15,6,(ROW($B$4:$B$56)-ROW($B$4)+1)/((ISNUMBER($B$4:$B$56))*((($H$4:$H$56&gt;=0.5)+($L$4:$L$56&gt;=0.5))&gt;0)),ROWS($T$5:T7))),"")</f>
        <v/>
      </c>
      <c r="Z7" s="1607" t="str">
        <f>IFERROR(INDEX($H$4:$H$56,_xlfn.AGGREGATE(15,6,(ROW($B$4:$B$56)-ROW($B$4)+1)/((ISNUMBER($B$4:$B$56))*((($H$4:$H$56&gt;=0.5)+($L$4:$L$56&gt;=0.5))&gt;0)),ROWS($T$5:T7))),"")</f>
        <v/>
      </c>
      <c r="AA7" s="1608" t="str">
        <f>IFERROR(INDEX($I$4:$I$56,_xlfn.AGGREGATE(15,6,(ROW($B$4:$B$56)-ROW($B$4)+1)/((ISNUMBER($B$4:$B$56))*((($H$4:$H$56&gt;=0.5)+($L$4:$L$56&gt;=0.5))&gt;0)),ROWS($T$5:T7))),"")</f>
        <v/>
      </c>
      <c r="AB7" s="1609" t="str">
        <f>IFERROR(INDEX($J$4:$J$56,_xlfn.AGGREGATE(15,6,(ROW($B$4:$B$56)-ROW($B$4)+1)/((ISNUMBER($B$4:$B$56))*((($H$4:$H$56&gt;=0.5)+($L$4:$L$56&gt;=0.5))&gt;0)),ROWS($T$5:T7))),"")</f>
        <v/>
      </c>
      <c r="AC7" s="1610" t="str">
        <f>IFERROR(INDEX($L$4:$L$56,_xlfn.AGGREGATE(15,6,(ROW($B$4:$B$56)-ROW($B$4)+1)/((ISNUMBER($B$4:$B$56))*((($H$4:$H$56&gt;=0.5)+($L$4:$L$56&gt;=0.5))&gt;0)),ROWS($T$5:T7))),"")</f>
        <v/>
      </c>
      <c r="AD7" s="1611" t="str">
        <f>IFERROR(INDEX($M$4:$M$56,_xlfn.AGGREGATE(15,6,(ROW($B$4:$B$56)-ROW($B$4)+1)/((ISNUMBER($B$4:$B$56))*((($H$4:$H$56&gt;=0.5)+($L$4:$L$56&gt;=0.5))&gt;0)),ROWS($T$5:T7))),"")</f>
        <v/>
      </c>
      <c r="AE7" s="1612" t="str">
        <f>IFERROR(INDEX($N$4:$N$56,_xlfn.AGGREGATE(15,6,(ROW($B$4:$B$56)-ROW($B$4)+1)/((ISNUMBER($B$4:$B$56))*((($H$4:$H$56&gt;=0.5)+($L$4:$L$56&gt;=0.5))&gt;0)),ROWS($T$5:T7))),"")</f>
        <v/>
      </c>
      <c r="AF7" s="1613" t="str">
        <f>IFERROR(INDEX($O$4:$O$56,_xlfn.AGGREGATE(15,6,(ROW($B$4:$B$56)-ROW($B$4)+1)/((ISNUMBER($B$4:$B$56))*((($H$4:$H$56&gt;=0.5)+($L$4:$L$56&gt;=0.5))&gt;0)),ROWS($T$5:T7))),"")</f>
        <v/>
      </c>
      <c r="AG7" s="1614" t="str">
        <f>IFERROR(INDEX($P$4:$P$56,_xlfn.AGGREGATE(15,6,(ROW($B$4:$B$56)-ROW($B$4)+1)/((ISNUMBER($B$4:$B$56))*((($H$4:$H$56&gt;=0.5)+($L$4:$L$56&gt;=0.5))&gt;0)),ROWS($T$5:T7))),"")</f>
        <v/>
      </c>
      <c r="AH7" s="1615" t="str">
        <f t="shared" si="2"/>
        <v/>
      </c>
    </row>
    <row r="8" spans="2:34" s="17" customFormat="1" ht="27" thickBot="1">
      <c r="B8" s="64">
        <f>+'EM-TUN'!B10</f>
        <v>5</v>
      </c>
      <c r="C8" s="25" t="str">
        <f>+'EM-TUN'!C10</f>
        <v>ALETA ENTERA 100-500 g/pza</v>
      </c>
      <c r="D8" s="195">
        <f>+'RES-EN'!R10</f>
        <v>0</v>
      </c>
      <c r="E8" s="68">
        <f>+'ENV. PLACAS'!AD10</f>
        <v>0</v>
      </c>
      <c r="F8" s="368">
        <f>+'EM-TUN'!CC10</f>
        <v>0</v>
      </c>
      <c r="G8" s="69">
        <f>+'EM-PLA'!BC10</f>
        <v>0</v>
      </c>
      <c r="H8" s="1493">
        <f>+Tabla3[[#This Row],[TOTAL DE BULTOS ENVASADO TUNEL]]-(Tabla3[[#This Row],[TOTAL DE BULTOS EMPAQUE TUNEL]])</f>
        <v>0</v>
      </c>
      <c r="I8" s="1057" t="str">
        <f t="shared" si="0"/>
        <v>CUADRADO</v>
      </c>
      <c r="J8" s="1061">
        <f t="shared" si="3"/>
        <v>0</v>
      </c>
      <c r="K8" s="1620" t="str">
        <f>IF($C8="","",IFERROR(IF(INDEX(COLORES!$D:$D,MATCH($C8,COLORES!$C:$C,0))=0,"",INDEX(COLORES!$D:$D,MATCH($C8,COLORES!$C:$C,0))),IFERROR(IF(INDEX(COLORES!$D:$D,MATCH($C8&amp;"S",COLORES!$C:$C,0))=0,"",INDEX(COLORES!$D:$D,MATCH($C8&amp;"S",COLORES!$C:$C,0))),"")))</f>
        <v>CRISTAL</v>
      </c>
      <c r="L8" s="1059">
        <f>Tabla3[[#This Row],[TOTAL DE BULTOS ENVASADO PLACAS]]-Tabla3[[#This Row],[TOTAL DE BULTOS EMPAQUE PLACAS]]</f>
        <v>0</v>
      </c>
      <c r="M8" s="1058" t="str">
        <f t="shared" si="1"/>
        <v>CUADRADO</v>
      </c>
      <c r="N8" s="1060">
        <f t="shared" si="4"/>
        <v>0</v>
      </c>
      <c r="O8" s="195">
        <f>+Tabla3[[#This Row],[TOTAL DE BULTOS ENVASADO TUNEL]]+Tabla3[[#This Row],[TOTAL DE BULTOS ENVASADO PLACAS]]</f>
        <v>0</v>
      </c>
      <c r="P8" s="68">
        <f>+Tabla3[[#This Row],[TOTAL DE BULTOS EMPAQUE TUNEL]]+Tabla3[[#This Row],[TOTAL DE BULTOS EMPAQUE PLACAS]]</f>
        <v>0</v>
      </c>
      <c r="Q8" s="192"/>
      <c r="R8" s="26"/>
      <c r="S8" s="26"/>
      <c r="T8" s="1602" t="str">
        <f>IFERROR(INDEX($B$4:$B$56,_xlfn.AGGREGATE(15,6,(ROW($B$4:$B$56)-ROW($B$4)+1)/((ISNUMBER($B$4:$B$56))*((($H$4:$H$56&gt;=0.5)+($L$4:$L$56&gt;=0.5))&gt;0)),ROWS($T$5:T8))),"")</f>
        <v/>
      </c>
      <c r="U8" s="1603" t="str">
        <f>IFERROR(INDEX($C$4:$C$56,_xlfn.AGGREGATE(15,6,(ROW($B$4:$B$56)-ROW($B$4)+1)/((ISNUMBER($B$4:$B$56))*((($H$4:$H$56&gt;=0.5)+($L$4:$L$56&gt;=0.5))&gt;0)),ROWS($T$5:T8))),"")</f>
        <v/>
      </c>
      <c r="V8" s="1604" t="str">
        <f>IFERROR(INDEX($D$4:$D$56,_xlfn.AGGREGATE(15,6,(ROW($B$4:$B$56)-ROW($B$4)+1)/((ISNUMBER($B$4:$B$56))*((($H$4:$H$56&gt;=0.5)+($L$4:$L$56&gt;=0.5))&gt;0)),ROWS($T$5:T8))),"")</f>
        <v/>
      </c>
      <c r="W8" s="1605" t="str">
        <f>IFERROR(INDEX($E$4:$E$56,_xlfn.AGGREGATE(15,6,(ROW($B$4:$B$56)-ROW($B$4)+1)/((ISNUMBER($B$4:$B$56))*((($H$4:$H$56&gt;=0.5)+($L$4:$L$56&gt;=0.5))&gt;0)),ROWS($T$5:T8))),"")</f>
        <v/>
      </c>
      <c r="X8" s="1605" t="str">
        <f>IFERROR(INDEX($F$4:$F$56,_xlfn.AGGREGATE(15,6,(ROW($B$4:$B$56)-ROW($B$4)+1)/((ISNUMBER($B$4:$B$56))*((($H$4:$H$56&gt;=0.5)+($L$4:$L$56&gt;=0.5))&gt;0)),ROWS($T$5:T8))),"")</f>
        <v/>
      </c>
      <c r="Y8" s="1606" t="str">
        <f>IFERROR(INDEX($G$4:$G$56,_xlfn.AGGREGATE(15,6,(ROW($B$4:$B$56)-ROW($B$4)+1)/((ISNUMBER($B$4:$B$56))*((($H$4:$H$56&gt;=0.5)+($L$4:$L$56&gt;=0.5))&gt;0)),ROWS($T$5:T8))),"")</f>
        <v/>
      </c>
      <c r="Z8" s="1607" t="str">
        <f>IFERROR(INDEX($H$4:$H$56,_xlfn.AGGREGATE(15,6,(ROW($B$4:$B$56)-ROW($B$4)+1)/((ISNUMBER($B$4:$B$56))*((($H$4:$H$56&gt;=0.5)+($L$4:$L$56&gt;=0.5))&gt;0)),ROWS($T$5:T8))),"")</f>
        <v/>
      </c>
      <c r="AA8" s="1608" t="str">
        <f>IFERROR(INDEX($I$4:$I$56,_xlfn.AGGREGATE(15,6,(ROW($B$4:$B$56)-ROW($B$4)+1)/((ISNUMBER($B$4:$B$56))*((($H$4:$H$56&gt;=0.5)+($L$4:$L$56&gt;=0.5))&gt;0)),ROWS($T$5:T8))),"")</f>
        <v/>
      </c>
      <c r="AB8" s="1609" t="str">
        <f>IFERROR(INDEX($J$4:$J$56,_xlfn.AGGREGATE(15,6,(ROW($B$4:$B$56)-ROW($B$4)+1)/((ISNUMBER($B$4:$B$56))*((($H$4:$H$56&gt;=0.5)+($L$4:$L$56&gt;=0.5))&gt;0)),ROWS($T$5:T8))),"")</f>
        <v/>
      </c>
      <c r="AC8" s="1610" t="str">
        <f>IFERROR(INDEX($L$4:$L$56,_xlfn.AGGREGATE(15,6,(ROW($B$4:$B$56)-ROW($B$4)+1)/((ISNUMBER($B$4:$B$56))*((($H$4:$H$56&gt;=0.5)+($L$4:$L$56&gt;=0.5))&gt;0)),ROWS($T$5:T8))),"")</f>
        <v/>
      </c>
      <c r="AD8" s="1611" t="str">
        <f>IFERROR(INDEX($M$4:$M$56,_xlfn.AGGREGATE(15,6,(ROW($B$4:$B$56)-ROW($B$4)+1)/((ISNUMBER($B$4:$B$56))*((($H$4:$H$56&gt;=0.5)+($L$4:$L$56&gt;=0.5))&gt;0)),ROWS($T$5:T8))),"")</f>
        <v/>
      </c>
      <c r="AE8" s="1612" t="str">
        <f>IFERROR(INDEX($N$4:$N$56,_xlfn.AGGREGATE(15,6,(ROW($B$4:$B$56)-ROW($B$4)+1)/((ISNUMBER($B$4:$B$56))*((($H$4:$H$56&gt;=0.5)+($L$4:$L$56&gt;=0.5))&gt;0)),ROWS($T$5:T8))),"")</f>
        <v/>
      </c>
      <c r="AF8" s="1613" t="str">
        <f>IFERROR(INDEX($O$4:$O$56,_xlfn.AGGREGATE(15,6,(ROW($B$4:$B$56)-ROW($B$4)+1)/((ISNUMBER($B$4:$B$56))*((($H$4:$H$56&gt;=0.5)+($L$4:$L$56&gt;=0.5))&gt;0)),ROWS($T$5:T8))),"")</f>
        <v/>
      </c>
      <c r="AG8" s="1614" t="str">
        <f>IFERROR(INDEX($P$4:$P$56,_xlfn.AGGREGATE(15,6,(ROW($B$4:$B$56)-ROW($B$4)+1)/((ISNUMBER($B$4:$B$56))*((($H$4:$H$56&gt;=0.5)+($L$4:$L$56&gt;=0.5))&gt;0)),ROWS($T$5:T8))),"")</f>
        <v/>
      </c>
      <c r="AH8" s="1615" t="str">
        <f t="shared" si="2"/>
        <v/>
      </c>
    </row>
    <row r="9" spans="2:34" s="17" customFormat="1" ht="27" thickBot="1">
      <c r="B9" s="64">
        <f>+'EM-TUN'!B11</f>
        <v>6</v>
      </c>
      <c r="C9" s="25" t="str">
        <f>+'EM-TUN'!C11</f>
        <v>ALETA ENTERA 500-1000 g/pza</v>
      </c>
      <c r="D9" s="195">
        <f>+'RES-EN'!R11</f>
        <v>0</v>
      </c>
      <c r="E9" s="68">
        <f>+'ENV. PLACAS'!AD11</f>
        <v>0</v>
      </c>
      <c r="F9" s="368">
        <f>+'EM-TUN'!CC11</f>
        <v>0</v>
      </c>
      <c r="G9" s="69">
        <f>+'EM-PLA'!BC11</f>
        <v>0</v>
      </c>
      <c r="H9" s="1493">
        <f>+Tabla3[[#This Row],[TOTAL DE BULTOS ENVASADO TUNEL]]-(Tabla3[[#This Row],[TOTAL DE BULTOS EMPAQUE TUNEL]])</f>
        <v>0</v>
      </c>
      <c r="I9" s="1057" t="str">
        <f t="shared" si="0"/>
        <v>CUADRADO</v>
      </c>
      <c r="J9" s="1061">
        <f t="shared" si="3"/>
        <v>0</v>
      </c>
      <c r="K9" s="1618" t="str">
        <f>IF($C9="","",IFERROR(IF(INDEX(COLORES!$D:$D,MATCH($C9,COLORES!$C:$C,0))=0,"",INDEX(COLORES!$D:$D,MATCH($C9,COLORES!$C:$C,0))),IFERROR(IF(INDEX(COLORES!$D:$D,MATCH($C9&amp;"S",COLORES!$C:$C,0))=0,"",INDEX(COLORES!$D:$D,MATCH($C9&amp;"S",COLORES!$C:$C,0))),"")))</f>
        <v>NARANJA</v>
      </c>
      <c r="L9" s="1059">
        <f>Tabla3[[#This Row],[TOTAL DE BULTOS ENVASADO PLACAS]]-Tabla3[[#This Row],[TOTAL DE BULTOS EMPAQUE PLACAS]]</f>
        <v>0</v>
      </c>
      <c r="M9" s="1057" t="str">
        <f t="shared" si="1"/>
        <v>CUADRADO</v>
      </c>
      <c r="N9" s="1060">
        <f t="shared" si="4"/>
        <v>0</v>
      </c>
      <c r="O9" s="195">
        <f>+Tabla3[[#This Row],[TOTAL DE BULTOS ENVASADO TUNEL]]+Tabla3[[#This Row],[TOTAL DE BULTOS ENVASADO PLACAS]]</f>
        <v>0</v>
      </c>
      <c r="P9" s="68">
        <f>+Tabla3[[#This Row],[TOTAL DE BULTOS EMPAQUE TUNEL]]+Tabla3[[#This Row],[TOTAL DE BULTOS EMPAQUE PLACAS]]</f>
        <v>0</v>
      </c>
      <c r="Q9" s="192"/>
      <c r="R9" s="26"/>
      <c r="S9" s="26"/>
      <c r="T9" s="1602" t="str">
        <f>IFERROR(INDEX($B$4:$B$56,_xlfn.AGGREGATE(15,6,(ROW($B$4:$B$56)-ROW($B$4)+1)/((ISNUMBER($B$4:$B$56))*((($H$4:$H$56&gt;=0.5)+($L$4:$L$56&gt;=0.5))&gt;0)),ROWS($T$5:T9))),"")</f>
        <v/>
      </c>
      <c r="U9" s="1603" t="str">
        <f>IFERROR(INDEX($C$4:$C$56,_xlfn.AGGREGATE(15,6,(ROW($B$4:$B$56)-ROW($B$4)+1)/((ISNUMBER($B$4:$B$56))*((($H$4:$H$56&gt;=0.5)+($L$4:$L$56&gt;=0.5))&gt;0)),ROWS($T$5:T9))),"")</f>
        <v/>
      </c>
      <c r="V9" s="1604" t="str">
        <f>IFERROR(INDEX($D$4:$D$56,_xlfn.AGGREGATE(15,6,(ROW($B$4:$B$56)-ROW($B$4)+1)/((ISNUMBER($B$4:$B$56))*((($H$4:$H$56&gt;=0.5)+($L$4:$L$56&gt;=0.5))&gt;0)),ROWS($T$5:T9))),"")</f>
        <v/>
      </c>
      <c r="W9" s="1605" t="str">
        <f>IFERROR(INDEX($E$4:$E$56,_xlfn.AGGREGATE(15,6,(ROW($B$4:$B$56)-ROW($B$4)+1)/((ISNUMBER($B$4:$B$56))*((($H$4:$H$56&gt;=0.5)+($L$4:$L$56&gt;=0.5))&gt;0)),ROWS($T$5:T9))),"")</f>
        <v/>
      </c>
      <c r="X9" s="1605" t="str">
        <f>IFERROR(INDEX($F$4:$F$56,_xlfn.AGGREGATE(15,6,(ROW($B$4:$B$56)-ROW($B$4)+1)/((ISNUMBER($B$4:$B$56))*((($H$4:$H$56&gt;=0.5)+($L$4:$L$56&gt;=0.5))&gt;0)),ROWS($T$5:T9))),"")</f>
        <v/>
      </c>
      <c r="Y9" s="1606" t="str">
        <f>IFERROR(INDEX($G$4:$G$56,_xlfn.AGGREGATE(15,6,(ROW($B$4:$B$56)-ROW($B$4)+1)/((ISNUMBER($B$4:$B$56))*((($H$4:$H$56&gt;=0.5)+($L$4:$L$56&gt;=0.5))&gt;0)),ROWS($T$5:T9))),"")</f>
        <v/>
      </c>
      <c r="Z9" s="1607" t="str">
        <f>IFERROR(INDEX($H$4:$H$56,_xlfn.AGGREGATE(15,6,(ROW($B$4:$B$56)-ROW($B$4)+1)/((ISNUMBER($B$4:$B$56))*((($H$4:$H$56&gt;=0.5)+($L$4:$L$56&gt;=0.5))&gt;0)),ROWS($T$5:T9))),"")</f>
        <v/>
      </c>
      <c r="AA9" s="1608" t="str">
        <f>IFERROR(INDEX($I$4:$I$56,_xlfn.AGGREGATE(15,6,(ROW($B$4:$B$56)-ROW($B$4)+1)/((ISNUMBER($B$4:$B$56))*((($H$4:$H$56&gt;=0.5)+($L$4:$L$56&gt;=0.5))&gt;0)),ROWS($T$5:T9))),"")</f>
        <v/>
      </c>
      <c r="AB9" s="1609" t="str">
        <f>IFERROR(INDEX($J$4:$J$56,_xlfn.AGGREGATE(15,6,(ROW($B$4:$B$56)-ROW($B$4)+1)/((ISNUMBER($B$4:$B$56))*((($H$4:$H$56&gt;=0.5)+($L$4:$L$56&gt;=0.5))&gt;0)),ROWS($T$5:T9))),"")</f>
        <v/>
      </c>
      <c r="AC9" s="1610" t="str">
        <f>IFERROR(INDEX($L$4:$L$56,_xlfn.AGGREGATE(15,6,(ROW($B$4:$B$56)-ROW($B$4)+1)/((ISNUMBER($B$4:$B$56))*((($H$4:$H$56&gt;=0.5)+($L$4:$L$56&gt;=0.5))&gt;0)),ROWS($T$5:T9))),"")</f>
        <v/>
      </c>
      <c r="AD9" s="1611" t="str">
        <f>IFERROR(INDEX($M$4:$M$56,_xlfn.AGGREGATE(15,6,(ROW($B$4:$B$56)-ROW($B$4)+1)/((ISNUMBER($B$4:$B$56))*((($H$4:$H$56&gt;=0.5)+($L$4:$L$56&gt;=0.5))&gt;0)),ROWS($T$5:T9))),"")</f>
        <v/>
      </c>
      <c r="AE9" s="1612" t="str">
        <f>IFERROR(INDEX($N$4:$N$56,_xlfn.AGGREGATE(15,6,(ROW($B$4:$B$56)-ROW($B$4)+1)/((ISNUMBER($B$4:$B$56))*((($H$4:$H$56&gt;=0.5)+($L$4:$L$56&gt;=0.5))&gt;0)),ROWS($T$5:T9))),"")</f>
        <v/>
      </c>
      <c r="AF9" s="1613" t="str">
        <f>IFERROR(INDEX($O$4:$O$56,_xlfn.AGGREGATE(15,6,(ROW($B$4:$B$56)-ROW($B$4)+1)/((ISNUMBER($B$4:$B$56))*((($H$4:$H$56&gt;=0.5)+($L$4:$L$56&gt;=0.5))&gt;0)),ROWS($T$5:T9))),"")</f>
        <v/>
      </c>
      <c r="AG9" s="1614" t="str">
        <f>IFERROR(INDEX($P$4:$P$56,_xlfn.AGGREGATE(15,6,(ROW($B$4:$B$56)-ROW($B$4)+1)/((ISNUMBER($B$4:$B$56))*((($H$4:$H$56&gt;=0.5)+($L$4:$L$56&gt;=0.5))&gt;0)),ROWS($T$5:T9))),"")</f>
        <v/>
      </c>
      <c r="AH9" s="1615" t="str">
        <f t="shared" si="2"/>
        <v/>
      </c>
    </row>
    <row r="10" spans="2:34" s="17" customFormat="1" ht="27" thickBot="1">
      <c r="B10" s="64">
        <f>+'EM-TUN'!B12</f>
        <v>7</v>
      </c>
      <c r="C10" s="25" t="str">
        <f>+'EM-TUN'!C12</f>
        <v>ALETA ENTERA 1.0-2.0 kg/pza</v>
      </c>
      <c r="D10" s="195">
        <f>+'RES-EN'!R12</f>
        <v>0</v>
      </c>
      <c r="E10" s="68">
        <f>+'ENV. PLACAS'!AD12</f>
        <v>0</v>
      </c>
      <c r="F10" s="368">
        <f>+'EM-TUN'!CC12</f>
        <v>0</v>
      </c>
      <c r="G10" s="69">
        <f>+'EM-PLA'!BC12</f>
        <v>0</v>
      </c>
      <c r="H10" s="1493">
        <f>+Tabla3[[#This Row],[TOTAL DE BULTOS ENVASADO TUNEL]]-(Tabla3[[#This Row],[TOTAL DE BULTOS EMPAQUE TUNEL]])</f>
        <v>0</v>
      </c>
      <c r="I10" s="1057" t="str">
        <f t="shared" si="0"/>
        <v>CUADRADO</v>
      </c>
      <c r="J10" s="1061">
        <f t="shared" si="3"/>
        <v>0</v>
      </c>
      <c r="K10" s="1621" t="str">
        <f>IF($C10="","",IFERROR(IF(INDEX(COLORES!$D:$D,MATCH($C10,COLORES!$C:$C,0))=0,"",INDEX(COLORES!$D:$D,MATCH($C10,COLORES!$C:$C,0))),IFERROR(IF(INDEX(COLORES!$D:$D,MATCH($C10&amp;"S",COLORES!$C:$C,0))=0,"",INDEX(COLORES!$D:$D,MATCH($C10&amp;"S",COLORES!$C:$C,0))),"")))</f>
        <v>AZUL</v>
      </c>
      <c r="L10" s="1059">
        <f>Tabla3[[#This Row],[TOTAL DE BULTOS ENVASADO PLACAS]]-Tabla3[[#This Row],[TOTAL DE BULTOS EMPAQUE PLACAS]]</f>
        <v>0</v>
      </c>
      <c r="M10" s="1058" t="str">
        <f t="shared" si="1"/>
        <v>CUADRADO</v>
      </c>
      <c r="N10" s="1060">
        <f t="shared" si="4"/>
        <v>0</v>
      </c>
      <c r="O10" s="195">
        <f>+Tabla3[[#This Row],[TOTAL DE BULTOS ENVASADO TUNEL]]+Tabla3[[#This Row],[TOTAL DE BULTOS ENVASADO PLACAS]]</f>
        <v>0</v>
      </c>
      <c r="P10" s="68">
        <f>+Tabla3[[#This Row],[TOTAL DE BULTOS EMPAQUE TUNEL]]+Tabla3[[#This Row],[TOTAL DE BULTOS EMPAQUE PLACAS]]</f>
        <v>0</v>
      </c>
      <c r="Q10" s="192"/>
      <c r="R10" s="26"/>
      <c r="S10" s="26"/>
      <c r="T10" s="1602" t="str">
        <f>IFERROR(INDEX($B$4:$B$56,_xlfn.AGGREGATE(15,6,(ROW($B$4:$B$56)-ROW($B$4)+1)/((ISNUMBER($B$4:$B$56))*((($H$4:$H$56&gt;=0.5)+($L$4:$L$56&gt;=0.5))&gt;0)),ROWS($T$5:T10))),"")</f>
        <v/>
      </c>
      <c r="U10" s="1603" t="str">
        <f>IFERROR(INDEX($C$4:$C$56,_xlfn.AGGREGATE(15,6,(ROW($B$4:$B$56)-ROW($B$4)+1)/((ISNUMBER($B$4:$B$56))*((($H$4:$H$56&gt;=0.5)+($L$4:$L$56&gt;=0.5))&gt;0)),ROWS($T$5:T10))),"")</f>
        <v/>
      </c>
      <c r="V10" s="1604" t="str">
        <f>IFERROR(INDEX($D$4:$D$56,_xlfn.AGGREGATE(15,6,(ROW($B$4:$B$56)-ROW($B$4)+1)/((ISNUMBER($B$4:$B$56))*((($H$4:$H$56&gt;=0.5)+($L$4:$L$56&gt;=0.5))&gt;0)),ROWS($T$5:T10))),"")</f>
        <v/>
      </c>
      <c r="W10" s="1605" t="str">
        <f>IFERROR(INDEX($E$4:$E$56,_xlfn.AGGREGATE(15,6,(ROW($B$4:$B$56)-ROW($B$4)+1)/((ISNUMBER($B$4:$B$56))*((($H$4:$H$56&gt;=0.5)+($L$4:$L$56&gt;=0.5))&gt;0)),ROWS($T$5:T10))),"")</f>
        <v/>
      </c>
      <c r="X10" s="1605" t="str">
        <f>IFERROR(INDEX($F$4:$F$56,_xlfn.AGGREGATE(15,6,(ROW($B$4:$B$56)-ROW($B$4)+1)/((ISNUMBER($B$4:$B$56))*((($H$4:$H$56&gt;=0.5)+($L$4:$L$56&gt;=0.5))&gt;0)),ROWS($T$5:T10))),"")</f>
        <v/>
      </c>
      <c r="Y10" s="1606" t="str">
        <f>IFERROR(INDEX($G$4:$G$56,_xlfn.AGGREGATE(15,6,(ROW($B$4:$B$56)-ROW($B$4)+1)/((ISNUMBER($B$4:$B$56))*((($H$4:$H$56&gt;=0.5)+($L$4:$L$56&gt;=0.5))&gt;0)),ROWS($T$5:T10))),"")</f>
        <v/>
      </c>
      <c r="Z10" s="1607" t="str">
        <f>IFERROR(INDEX($H$4:$H$56,_xlfn.AGGREGATE(15,6,(ROW($B$4:$B$56)-ROW($B$4)+1)/((ISNUMBER($B$4:$B$56))*((($H$4:$H$56&gt;=0.5)+($L$4:$L$56&gt;=0.5))&gt;0)),ROWS($T$5:T10))),"")</f>
        <v/>
      </c>
      <c r="AA10" s="1608" t="str">
        <f>IFERROR(INDEX($I$4:$I$56,_xlfn.AGGREGATE(15,6,(ROW($B$4:$B$56)-ROW($B$4)+1)/((ISNUMBER($B$4:$B$56))*((($H$4:$H$56&gt;=0.5)+($L$4:$L$56&gt;=0.5))&gt;0)),ROWS($T$5:T10))),"")</f>
        <v/>
      </c>
      <c r="AB10" s="1609" t="str">
        <f>IFERROR(INDEX($J$4:$J$56,_xlfn.AGGREGATE(15,6,(ROW($B$4:$B$56)-ROW($B$4)+1)/((ISNUMBER($B$4:$B$56))*((($H$4:$H$56&gt;=0.5)+($L$4:$L$56&gt;=0.5))&gt;0)),ROWS($T$5:T10))),"")</f>
        <v/>
      </c>
      <c r="AC10" s="1610" t="str">
        <f>IFERROR(INDEX($L$4:$L$56,_xlfn.AGGREGATE(15,6,(ROW($B$4:$B$56)-ROW($B$4)+1)/((ISNUMBER($B$4:$B$56))*((($H$4:$H$56&gt;=0.5)+($L$4:$L$56&gt;=0.5))&gt;0)),ROWS($T$5:T10))),"")</f>
        <v/>
      </c>
      <c r="AD10" s="1611" t="str">
        <f>IFERROR(INDEX($M$4:$M$56,_xlfn.AGGREGATE(15,6,(ROW($B$4:$B$56)-ROW($B$4)+1)/((ISNUMBER($B$4:$B$56))*((($H$4:$H$56&gt;=0.5)+($L$4:$L$56&gt;=0.5))&gt;0)),ROWS($T$5:T10))),"")</f>
        <v/>
      </c>
      <c r="AE10" s="1612" t="str">
        <f>IFERROR(INDEX($N$4:$N$56,_xlfn.AGGREGATE(15,6,(ROW($B$4:$B$56)-ROW($B$4)+1)/((ISNUMBER($B$4:$B$56))*((($H$4:$H$56&gt;=0.5)+($L$4:$L$56&gt;=0.5))&gt;0)),ROWS($T$5:T10))),"")</f>
        <v/>
      </c>
      <c r="AF10" s="1613" t="str">
        <f>IFERROR(INDEX($O$4:$O$56,_xlfn.AGGREGATE(15,6,(ROW($B$4:$B$56)-ROW($B$4)+1)/((ISNUMBER($B$4:$B$56))*((($H$4:$H$56&gt;=0.5)+($L$4:$L$56&gt;=0.5))&gt;0)),ROWS($T$5:T10))),"")</f>
        <v/>
      </c>
      <c r="AG10" s="1614" t="str">
        <f>IFERROR(INDEX($P$4:$P$56,_xlfn.AGGREGATE(15,6,(ROW($B$4:$B$56)-ROW($B$4)+1)/((ISNUMBER($B$4:$B$56))*((($H$4:$H$56&gt;=0.5)+($L$4:$L$56&gt;=0.5))&gt;0)),ROWS($T$5:T10))),"")</f>
        <v/>
      </c>
      <c r="AH10" s="1615" t="str">
        <f t="shared" si="2"/>
        <v/>
      </c>
    </row>
    <row r="11" spans="2:34" s="17" customFormat="1" ht="27" thickBot="1">
      <c r="B11" s="64">
        <f>+'EM-TUN'!B13</f>
        <v>8</v>
      </c>
      <c r="C11" s="25" t="str">
        <f>+'EM-TUN'!C13</f>
        <v>ALETA FRESCA PARTIDA 2.0-4.0 kg/pza</v>
      </c>
      <c r="D11" s="195">
        <f>+'RES-EN'!R13</f>
        <v>0</v>
      </c>
      <c r="E11" s="68">
        <f>+'ENV. PLACAS'!AD13</f>
        <v>0</v>
      </c>
      <c r="F11" s="368">
        <f>+'EM-TUN'!CC13</f>
        <v>0</v>
      </c>
      <c r="G11" s="69">
        <f>+'EM-PLA'!BC13</f>
        <v>0</v>
      </c>
      <c r="H11" s="1493">
        <f>+Tabla3[[#This Row],[TOTAL DE BULTOS ENVASADO TUNEL]]-(Tabla3[[#This Row],[TOTAL DE BULTOS EMPAQUE TUNEL]])</f>
        <v>0</v>
      </c>
      <c r="I11" s="1057" t="str">
        <f t="shared" si="0"/>
        <v>CUADRADO</v>
      </c>
      <c r="J11" s="1061">
        <f t="shared" si="3"/>
        <v>0</v>
      </c>
      <c r="K11" s="1622" t="str">
        <f>IF($C11="","",IFERROR(IF(INDEX(COLORES!$D:$D,MATCH($C11,COLORES!$C:$C,0))=0,"",INDEX(COLORES!$D:$D,MATCH($C11,COLORES!$C:$C,0))),IFERROR(IF(INDEX(COLORES!$D:$D,MATCH($C11&amp;"S",COLORES!$C:$C,0))=0,"",INDEX(COLORES!$D:$D,MATCH($C11&amp;"S",COLORES!$C:$C,0))),"")))</f>
        <v>VERDE</v>
      </c>
      <c r="L11" s="1059">
        <f>Tabla3[[#This Row],[TOTAL DE BULTOS ENVASADO PLACAS]]-Tabla3[[#This Row],[TOTAL DE BULTOS EMPAQUE PLACAS]]</f>
        <v>0</v>
      </c>
      <c r="M11" s="1058" t="str">
        <f t="shared" si="1"/>
        <v>CUADRADO</v>
      </c>
      <c r="N11" s="1060">
        <f t="shared" si="4"/>
        <v>0</v>
      </c>
      <c r="O11" s="195">
        <f>+Tabla3[[#This Row],[TOTAL DE BULTOS ENVASADO TUNEL]]+Tabla3[[#This Row],[TOTAL DE BULTOS ENVASADO PLACAS]]</f>
        <v>0</v>
      </c>
      <c r="P11" s="194">
        <f>+Tabla3[[#This Row],[TOTAL DE BULTOS EMPAQUE TUNEL]]+Tabla3[[#This Row],[TOTAL DE BULTOS EMPAQUE PLACAS]]</f>
        <v>0</v>
      </c>
      <c r="Q11" s="208">
        <f>SUM(P7:P11)</f>
        <v>0</v>
      </c>
      <c r="R11" s="26"/>
      <c r="S11" s="26"/>
      <c r="T11" s="1602" t="str">
        <f>IFERROR(INDEX($B$4:$B$56,_xlfn.AGGREGATE(15,6,(ROW($B$4:$B$56)-ROW($B$4)+1)/((ISNUMBER($B$4:$B$56))*((($H$4:$H$56&gt;=0.5)+($L$4:$L$56&gt;=0.5))&gt;0)),ROWS($T$5:T11))),"")</f>
        <v/>
      </c>
      <c r="U11" s="1603" t="str">
        <f>IFERROR(INDEX($C$4:$C$56,_xlfn.AGGREGATE(15,6,(ROW($B$4:$B$56)-ROW($B$4)+1)/((ISNUMBER($B$4:$B$56))*((($H$4:$H$56&gt;=0.5)+($L$4:$L$56&gt;=0.5))&gt;0)),ROWS($T$5:T11))),"")</f>
        <v/>
      </c>
      <c r="V11" s="1604" t="str">
        <f>IFERROR(INDEX($D$4:$D$56,_xlfn.AGGREGATE(15,6,(ROW($B$4:$B$56)-ROW($B$4)+1)/((ISNUMBER($B$4:$B$56))*((($H$4:$H$56&gt;=0.5)+($L$4:$L$56&gt;=0.5))&gt;0)),ROWS($T$5:T11))),"")</f>
        <v/>
      </c>
      <c r="W11" s="1605" t="str">
        <f>IFERROR(INDEX($E$4:$E$56,_xlfn.AGGREGATE(15,6,(ROW($B$4:$B$56)-ROW($B$4)+1)/((ISNUMBER($B$4:$B$56))*((($H$4:$H$56&gt;=0.5)+($L$4:$L$56&gt;=0.5))&gt;0)),ROWS($T$5:T11))),"")</f>
        <v/>
      </c>
      <c r="X11" s="1605" t="str">
        <f>IFERROR(INDEX($F$4:$F$56,_xlfn.AGGREGATE(15,6,(ROW($B$4:$B$56)-ROW($B$4)+1)/((ISNUMBER($B$4:$B$56))*((($H$4:$H$56&gt;=0.5)+($L$4:$L$56&gt;=0.5))&gt;0)),ROWS($T$5:T11))),"")</f>
        <v/>
      </c>
      <c r="Y11" s="1606" t="str">
        <f>IFERROR(INDEX($G$4:$G$56,_xlfn.AGGREGATE(15,6,(ROW($B$4:$B$56)-ROW($B$4)+1)/((ISNUMBER($B$4:$B$56))*((($H$4:$H$56&gt;=0.5)+($L$4:$L$56&gt;=0.5))&gt;0)),ROWS($T$5:T11))),"")</f>
        <v/>
      </c>
      <c r="Z11" s="1607" t="str">
        <f>IFERROR(INDEX($H$4:$H$56,_xlfn.AGGREGATE(15,6,(ROW($B$4:$B$56)-ROW($B$4)+1)/((ISNUMBER($B$4:$B$56))*((($H$4:$H$56&gt;=0.5)+($L$4:$L$56&gt;=0.5))&gt;0)),ROWS($T$5:T11))),"")</f>
        <v/>
      </c>
      <c r="AA11" s="1608" t="str">
        <f>IFERROR(INDEX($I$4:$I$56,_xlfn.AGGREGATE(15,6,(ROW($B$4:$B$56)-ROW($B$4)+1)/((ISNUMBER($B$4:$B$56))*((($H$4:$H$56&gt;=0.5)+($L$4:$L$56&gt;=0.5))&gt;0)),ROWS($T$5:T11))),"")</f>
        <v/>
      </c>
      <c r="AB11" s="1609" t="str">
        <f>IFERROR(INDEX($J$4:$J$56,_xlfn.AGGREGATE(15,6,(ROW($B$4:$B$56)-ROW($B$4)+1)/((ISNUMBER($B$4:$B$56))*((($H$4:$H$56&gt;=0.5)+($L$4:$L$56&gt;=0.5))&gt;0)),ROWS($T$5:T11))),"")</f>
        <v/>
      </c>
      <c r="AC11" s="1610" t="str">
        <f>IFERROR(INDEX($L$4:$L$56,_xlfn.AGGREGATE(15,6,(ROW($B$4:$B$56)-ROW($B$4)+1)/((ISNUMBER($B$4:$B$56))*((($H$4:$H$56&gt;=0.5)+($L$4:$L$56&gt;=0.5))&gt;0)),ROWS($T$5:T11))),"")</f>
        <v/>
      </c>
      <c r="AD11" s="1611" t="str">
        <f>IFERROR(INDEX($M$4:$M$56,_xlfn.AGGREGATE(15,6,(ROW($B$4:$B$56)-ROW($B$4)+1)/((ISNUMBER($B$4:$B$56))*((($H$4:$H$56&gt;=0.5)+($L$4:$L$56&gt;=0.5))&gt;0)),ROWS($T$5:T11))),"")</f>
        <v/>
      </c>
      <c r="AE11" s="1612" t="str">
        <f>IFERROR(INDEX($N$4:$N$56,_xlfn.AGGREGATE(15,6,(ROW($B$4:$B$56)-ROW($B$4)+1)/((ISNUMBER($B$4:$B$56))*((($H$4:$H$56&gt;=0.5)+($L$4:$L$56&gt;=0.5))&gt;0)),ROWS($T$5:T11))),"")</f>
        <v/>
      </c>
      <c r="AF11" s="1613" t="str">
        <f>IFERROR(INDEX($O$4:$O$56,_xlfn.AGGREGATE(15,6,(ROW($B$4:$B$56)-ROW($B$4)+1)/((ISNUMBER($B$4:$B$56))*((($H$4:$H$56&gt;=0.5)+($L$4:$L$56&gt;=0.5))&gt;0)),ROWS($T$5:T11))),"")</f>
        <v/>
      </c>
      <c r="AG11" s="1614" t="str">
        <f>IFERROR(INDEX($P$4:$P$56,_xlfn.AGGREGATE(15,6,(ROW($B$4:$B$56)-ROW($B$4)+1)/((ISNUMBER($B$4:$B$56))*((($H$4:$H$56&gt;=0.5)+($L$4:$L$56&gt;=0.5))&gt;0)),ROWS($T$5:T11))),"")</f>
        <v/>
      </c>
      <c r="AH11" s="1615" t="str">
        <f t="shared" si="2"/>
        <v/>
      </c>
    </row>
    <row r="12" spans="2:34" s="17" customFormat="1" ht="27" thickBot="1">
      <c r="B12" s="64">
        <f>+'EM-TUN'!B14</f>
        <v>9</v>
      </c>
      <c r="C12" s="25" t="str">
        <f>+'EM-TUN'!C14</f>
        <v>ALETA PRECOCIDA ENTERA 300-UP g/pza</v>
      </c>
      <c r="D12" s="195">
        <f>+'RES-EN'!R14</f>
        <v>0</v>
      </c>
      <c r="E12" s="68">
        <f>+'ENV. PLACAS'!AD14</f>
        <v>0</v>
      </c>
      <c r="F12" s="368">
        <f>+'EM-TUN'!CC14</f>
        <v>0</v>
      </c>
      <c r="G12" s="69">
        <f>+'EM-PLA'!BC14</f>
        <v>0</v>
      </c>
      <c r="H12" s="1493">
        <f>+Tabla3[[#This Row],[TOTAL DE BULTOS ENVASADO TUNEL]]-(Tabla3[[#This Row],[TOTAL DE BULTOS EMPAQUE TUNEL]])</f>
        <v>0</v>
      </c>
      <c r="I12" s="1058" t="str">
        <f t="shared" si="0"/>
        <v>CUADRADO</v>
      </c>
      <c r="J12" s="1061">
        <f t="shared" si="3"/>
        <v>0</v>
      </c>
      <c r="K12" s="1618" t="str">
        <f>IF($C12="","",IFERROR(IF(INDEX(COLORES!$D:$D,MATCH($C12,COLORES!$C:$C,0))=0,"",INDEX(COLORES!$D:$D,MATCH($C12,COLORES!$C:$C,0))),IFERROR(IF(INDEX(COLORES!$D:$D,MATCH($C12&amp;"S",COLORES!$C:$C,0))=0,"",INDEX(COLORES!$D:$D,MATCH($C12&amp;"S",COLORES!$C:$C,0))),"")))</f>
        <v>NARANJA</v>
      </c>
      <c r="L12" s="1059">
        <f>Tabla3[[#This Row],[TOTAL DE BULTOS ENVASADO PLACAS]]-Tabla3[[#This Row],[TOTAL DE BULTOS EMPAQUE PLACAS]]</f>
        <v>0</v>
      </c>
      <c r="M12" s="1058" t="str">
        <f t="shared" si="1"/>
        <v>CUADRADO</v>
      </c>
      <c r="N12" s="1060">
        <f t="shared" si="4"/>
        <v>0</v>
      </c>
      <c r="O12" s="195">
        <f>+Tabla3[[#This Row],[TOTAL DE BULTOS ENVASADO TUNEL]]+Tabla3[[#This Row],[TOTAL DE BULTOS ENVASADO PLACAS]]</f>
        <v>0</v>
      </c>
      <c r="P12" s="68">
        <f>+Tabla3[[#This Row],[TOTAL DE BULTOS EMPAQUE TUNEL]]+Tabla3[[#This Row],[TOTAL DE BULTOS EMPAQUE PLACAS]]</f>
        <v>0</v>
      </c>
      <c r="Q12" s="192"/>
      <c r="R12" s="26"/>
      <c r="S12" s="26"/>
      <c r="T12" s="1602" t="str">
        <f>IFERROR(INDEX($B$4:$B$56,_xlfn.AGGREGATE(15,6,(ROW($B$4:$B$56)-ROW($B$4)+1)/((ISNUMBER($B$4:$B$56))*((($H$4:$H$56&gt;=0.5)+($L$4:$L$56&gt;=0.5))&gt;0)),ROWS($T$5:T12))),"")</f>
        <v/>
      </c>
      <c r="U12" s="1603" t="str">
        <f>IFERROR(INDEX($C$4:$C$56,_xlfn.AGGREGATE(15,6,(ROW($B$4:$B$56)-ROW($B$4)+1)/((ISNUMBER($B$4:$B$56))*((($H$4:$H$56&gt;=0.5)+($L$4:$L$56&gt;=0.5))&gt;0)),ROWS($T$5:T12))),"")</f>
        <v/>
      </c>
      <c r="V12" s="1604" t="str">
        <f>IFERROR(INDEX($D$4:$D$56,_xlfn.AGGREGATE(15,6,(ROW($B$4:$B$56)-ROW($B$4)+1)/((ISNUMBER($B$4:$B$56))*((($H$4:$H$56&gt;=0.5)+($L$4:$L$56&gt;=0.5))&gt;0)),ROWS($T$5:T12))),"")</f>
        <v/>
      </c>
      <c r="W12" s="1605" t="str">
        <f>IFERROR(INDEX($E$4:$E$56,_xlfn.AGGREGATE(15,6,(ROW($B$4:$B$56)-ROW($B$4)+1)/((ISNUMBER($B$4:$B$56))*((($H$4:$H$56&gt;=0.5)+($L$4:$L$56&gt;=0.5))&gt;0)),ROWS($T$5:T12))),"")</f>
        <v/>
      </c>
      <c r="X12" s="1605" t="str">
        <f>IFERROR(INDEX($F$4:$F$56,_xlfn.AGGREGATE(15,6,(ROW($B$4:$B$56)-ROW($B$4)+1)/((ISNUMBER($B$4:$B$56))*((($H$4:$H$56&gt;=0.5)+($L$4:$L$56&gt;=0.5))&gt;0)),ROWS($T$5:T12))),"")</f>
        <v/>
      </c>
      <c r="Y12" s="1606" t="str">
        <f>IFERROR(INDEX($G$4:$G$56,_xlfn.AGGREGATE(15,6,(ROW($B$4:$B$56)-ROW($B$4)+1)/((ISNUMBER($B$4:$B$56))*((($H$4:$H$56&gt;=0.5)+($L$4:$L$56&gt;=0.5))&gt;0)),ROWS($T$5:T12))),"")</f>
        <v/>
      </c>
      <c r="Z12" s="1607" t="str">
        <f>IFERROR(INDEX($H$4:$H$56,_xlfn.AGGREGATE(15,6,(ROW($B$4:$B$56)-ROW($B$4)+1)/((ISNUMBER($B$4:$B$56))*((($H$4:$H$56&gt;=0.5)+($L$4:$L$56&gt;=0.5))&gt;0)),ROWS($T$5:T12))),"")</f>
        <v/>
      </c>
      <c r="AA12" s="1608" t="str">
        <f>IFERROR(INDEX($I$4:$I$56,_xlfn.AGGREGATE(15,6,(ROW($B$4:$B$56)-ROW($B$4)+1)/((ISNUMBER($B$4:$B$56))*((($H$4:$H$56&gt;=0.5)+($L$4:$L$56&gt;=0.5))&gt;0)),ROWS($T$5:T12))),"")</f>
        <v/>
      </c>
      <c r="AB12" s="1609" t="str">
        <f>IFERROR(INDEX($J$4:$J$56,_xlfn.AGGREGATE(15,6,(ROW($B$4:$B$56)-ROW($B$4)+1)/((ISNUMBER($B$4:$B$56))*((($H$4:$H$56&gt;=0.5)+($L$4:$L$56&gt;=0.5))&gt;0)),ROWS($T$5:T12))),"")</f>
        <v/>
      </c>
      <c r="AC12" s="1610" t="str">
        <f>IFERROR(INDEX($L$4:$L$56,_xlfn.AGGREGATE(15,6,(ROW($B$4:$B$56)-ROW($B$4)+1)/((ISNUMBER($B$4:$B$56))*((($H$4:$H$56&gt;=0.5)+($L$4:$L$56&gt;=0.5))&gt;0)),ROWS($T$5:T12))),"")</f>
        <v/>
      </c>
      <c r="AD12" s="1611" t="str">
        <f>IFERROR(INDEX($M$4:$M$56,_xlfn.AGGREGATE(15,6,(ROW($B$4:$B$56)-ROW($B$4)+1)/((ISNUMBER($B$4:$B$56))*((($H$4:$H$56&gt;=0.5)+($L$4:$L$56&gt;=0.5))&gt;0)),ROWS($T$5:T12))),"")</f>
        <v/>
      </c>
      <c r="AE12" s="1612" t="str">
        <f>IFERROR(INDEX($N$4:$N$56,_xlfn.AGGREGATE(15,6,(ROW($B$4:$B$56)-ROW($B$4)+1)/((ISNUMBER($B$4:$B$56))*((($H$4:$H$56&gt;=0.5)+($L$4:$L$56&gt;=0.5))&gt;0)),ROWS($T$5:T12))),"")</f>
        <v/>
      </c>
      <c r="AF12" s="1613" t="str">
        <f>IFERROR(INDEX($O$4:$O$56,_xlfn.AGGREGATE(15,6,(ROW($B$4:$B$56)-ROW($B$4)+1)/((ISNUMBER($B$4:$B$56))*((($H$4:$H$56&gt;=0.5)+($L$4:$L$56&gt;=0.5))&gt;0)),ROWS($T$5:T12))),"")</f>
        <v/>
      </c>
      <c r="AG12" s="1614" t="str">
        <f>IFERROR(INDEX($P$4:$P$56,_xlfn.AGGREGATE(15,6,(ROW($B$4:$B$56)-ROW($B$4)+1)/((ISNUMBER($B$4:$B$56))*((($H$4:$H$56&gt;=0.5)+($L$4:$L$56&gt;=0.5))&gt;0)),ROWS($T$5:T12))),"")</f>
        <v/>
      </c>
      <c r="AH12" s="1615" t="str">
        <f t="shared" si="2"/>
        <v/>
      </c>
    </row>
    <row r="13" spans="2:34" s="17" customFormat="1" ht="27" thickBot="1">
      <c r="B13" s="64">
        <f>+'EM-TUN'!B15</f>
        <v>10</v>
      </c>
      <c r="C13" s="25" t="str">
        <f>+'EM-TUN'!C15</f>
        <v>ALETA PRECOCIDA PARTIDA 300-UP g/pza</v>
      </c>
      <c r="D13" s="195">
        <f>+'RES-EN'!R15</f>
        <v>0</v>
      </c>
      <c r="E13" s="68">
        <f>+'ENV. PLACAS'!AD15</f>
        <v>0</v>
      </c>
      <c r="F13" s="368">
        <f>+'EM-TUN'!CC15</f>
        <v>0</v>
      </c>
      <c r="G13" s="69">
        <f>+'EM-PLA'!BC15</f>
        <v>0</v>
      </c>
      <c r="H13" s="1493">
        <f>+Tabla3[[#This Row],[TOTAL DE BULTOS ENVASADO TUNEL]]-(Tabla3[[#This Row],[TOTAL DE BULTOS EMPAQUE TUNEL]])</f>
        <v>0</v>
      </c>
      <c r="I13" s="1058" t="str">
        <f t="shared" si="0"/>
        <v>CUADRADO</v>
      </c>
      <c r="J13" s="1061">
        <f t="shared" si="3"/>
        <v>0</v>
      </c>
      <c r="K13" s="1620" t="str">
        <f>IF($C13="","",IFERROR(IF(INDEX(COLORES!$D:$D,MATCH($C13,COLORES!$C:$C,0))=0,"",INDEX(COLORES!$D:$D,MATCH($C13,COLORES!$C:$C,0))),IFERROR(IF(INDEX(COLORES!$D:$D,MATCH($C13&amp;"S",COLORES!$C:$C,0))=0,"",INDEX(COLORES!$D:$D,MATCH($C13&amp;"S",COLORES!$C:$C,0))),"")))</f>
        <v>CRISTAL</v>
      </c>
      <c r="L13" s="1059">
        <f>Tabla3[[#This Row],[TOTAL DE BULTOS ENVASADO PLACAS]]-Tabla3[[#This Row],[TOTAL DE BULTOS EMPAQUE PLACAS]]</f>
        <v>0</v>
      </c>
      <c r="M13" s="1058" t="str">
        <f t="shared" si="1"/>
        <v>CUADRADO</v>
      </c>
      <c r="N13" s="1060">
        <f t="shared" si="4"/>
        <v>0</v>
      </c>
      <c r="O13" s="195">
        <f>+Tabla3[[#This Row],[TOTAL DE BULTOS ENVASADO TUNEL]]+Tabla3[[#This Row],[TOTAL DE BULTOS ENVASADO PLACAS]]</f>
        <v>0</v>
      </c>
      <c r="P13" s="68">
        <f>+Tabla3[[#This Row],[TOTAL DE BULTOS EMPAQUE TUNEL]]+Tabla3[[#This Row],[TOTAL DE BULTOS EMPAQUE PLACAS]]</f>
        <v>0</v>
      </c>
      <c r="Q13" s="192"/>
      <c r="R13" s="26"/>
      <c r="S13" s="26"/>
      <c r="T13" s="1602" t="str">
        <f>IFERROR(INDEX($B$4:$B$56,_xlfn.AGGREGATE(15,6,(ROW($B$4:$B$56)-ROW($B$4)+1)/((ISNUMBER($B$4:$B$56))*((($H$4:$H$56&gt;=0.5)+($L$4:$L$56&gt;=0.5))&gt;0)),ROWS($T$5:T13))),"")</f>
        <v/>
      </c>
      <c r="U13" s="1603" t="str">
        <f>IFERROR(INDEX($C$4:$C$56,_xlfn.AGGREGATE(15,6,(ROW($B$4:$B$56)-ROW($B$4)+1)/((ISNUMBER($B$4:$B$56))*((($H$4:$H$56&gt;=0.5)+($L$4:$L$56&gt;=0.5))&gt;0)),ROWS($T$5:T13))),"")</f>
        <v/>
      </c>
      <c r="V13" s="1604" t="str">
        <f>IFERROR(INDEX($D$4:$D$56,_xlfn.AGGREGATE(15,6,(ROW($B$4:$B$56)-ROW($B$4)+1)/((ISNUMBER($B$4:$B$56))*((($H$4:$H$56&gt;=0.5)+($L$4:$L$56&gt;=0.5))&gt;0)),ROWS($T$5:T13))),"")</f>
        <v/>
      </c>
      <c r="W13" s="1605" t="str">
        <f>IFERROR(INDEX($E$4:$E$56,_xlfn.AGGREGATE(15,6,(ROW($B$4:$B$56)-ROW($B$4)+1)/((ISNUMBER($B$4:$B$56))*((($H$4:$H$56&gt;=0.5)+($L$4:$L$56&gt;=0.5))&gt;0)),ROWS($T$5:T13))),"")</f>
        <v/>
      </c>
      <c r="X13" s="1605" t="str">
        <f>IFERROR(INDEX($F$4:$F$56,_xlfn.AGGREGATE(15,6,(ROW($B$4:$B$56)-ROW($B$4)+1)/((ISNUMBER($B$4:$B$56))*((($H$4:$H$56&gt;=0.5)+($L$4:$L$56&gt;=0.5))&gt;0)),ROWS($T$5:T13))),"")</f>
        <v/>
      </c>
      <c r="Y13" s="1606" t="str">
        <f>IFERROR(INDEX($G$4:$G$56,_xlfn.AGGREGATE(15,6,(ROW($B$4:$B$56)-ROW($B$4)+1)/((ISNUMBER($B$4:$B$56))*((($H$4:$H$56&gt;=0.5)+($L$4:$L$56&gt;=0.5))&gt;0)),ROWS($T$5:T13))),"")</f>
        <v/>
      </c>
      <c r="Z13" s="1607" t="str">
        <f>IFERROR(INDEX($H$4:$H$56,_xlfn.AGGREGATE(15,6,(ROW($B$4:$B$56)-ROW($B$4)+1)/((ISNUMBER($B$4:$B$56))*((($H$4:$H$56&gt;=0.5)+($L$4:$L$56&gt;=0.5))&gt;0)),ROWS($T$5:T13))),"")</f>
        <v/>
      </c>
      <c r="AA13" s="1608" t="str">
        <f>IFERROR(INDEX($I$4:$I$56,_xlfn.AGGREGATE(15,6,(ROW($B$4:$B$56)-ROW($B$4)+1)/((ISNUMBER($B$4:$B$56))*((($H$4:$H$56&gt;=0.5)+($L$4:$L$56&gt;=0.5))&gt;0)),ROWS($T$5:T13))),"")</f>
        <v/>
      </c>
      <c r="AB13" s="1609" t="str">
        <f>IFERROR(INDEX($J$4:$J$56,_xlfn.AGGREGATE(15,6,(ROW($B$4:$B$56)-ROW($B$4)+1)/((ISNUMBER($B$4:$B$56))*((($H$4:$H$56&gt;=0.5)+($L$4:$L$56&gt;=0.5))&gt;0)),ROWS($T$5:T13))),"")</f>
        <v/>
      </c>
      <c r="AC13" s="1610" t="str">
        <f>IFERROR(INDEX($L$4:$L$56,_xlfn.AGGREGATE(15,6,(ROW($B$4:$B$56)-ROW($B$4)+1)/((ISNUMBER($B$4:$B$56))*((($H$4:$H$56&gt;=0.5)+($L$4:$L$56&gt;=0.5))&gt;0)),ROWS($T$5:T13))),"")</f>
        <v/>
      </c>
      <c r="AD13" s="1611" t="str">
        <f>IFERROR(INDEX($M$4:$M$56,_xlfn.AGGREGATE(15,6,(ROW($B$4:$B$56)-ROW($B$4)+1)/((ISNUMBER($B$4:$B$56))*((($H$4:$H$56&gt;=0.5)+($L$4:$L$56&gt;=0.5))&gt;0)),ROWS($T$5:T13))),"")</f>
        <v/>
      </c>
      <c r="AE13" s="1612" t="str">
        <f>IFERROR(INDEX($N$4:$N$56,_xlfn.AGGREGATE(15,6,(ROW($B$4:$B$56)-ROW($B$4)+1)/((ISNUMBER($B$4:$B$56))*((($H$4:$H$56&gt;=0.5)+($L$4:$L$56&gt;=0.5))&gt;0)),ROWS($T$5:T13))),"")</f>
        <v/>
      </c>
      <c r="AF13" s="1613" t="str">
        <f>IFERROR(INDEX($O$4:$O$56,_xlfn.AGGREGATE(15,6,(ROW($B$4:$B$56)-ROW($B$4)+1)/((ISNUMBER($B$4:$B$56))*((($H$4:$H$56&gt;=0.5)+($L$4:$L$56&gt;=0.5))&gt;0)),ROWS($T$5:T13))),"")</f>
        <v/>
      </c>
      <c r="AG13" s="1614" t="str">
        <f>IFERROR(INDEX($P$4:$P$56,_xlfn.AGGREGATE(15,6,(ROW($B$4:$B$56)-ROW($B$4)+1)/((ISNUMBER($B$4:$B$56))*((($H$4:$H$56&gt;=0.5)+($L$4:$L$56&gt;=0.5))&gt;0)),ROWS($T$5:T13))),"")</f>
        <v/>
      </c>
      <c r="AH13" s="1615" t="str">
        <f t="shared" si="2"/>
        <v/>
      </c>
    </row>
    <row r="14" spans="2:34" s="17" customFormat="1" ht="27" thickBot="1">
      <c r="B14" s="64">
        <f>+'EM-TUN'!B16</f>
        <v>11</v>
      </c>
      <c r="C14" s="25" t="str">
        <f>+'EM-TUN'!C16</f>
        <v>BOTON BLANCO SM ST</v>
      </c>
      <c r="D14" s="195">
        <f>+'RES-EN'!R16</f>
        <v>0</v>
      </c>
      <c r="E14" s="68">
        <f>+'ENV. PLACAS'!AD16</f>
        <v>0</v>
      </c>
      <c r="F14" s="368">
        <f>+'EM-TUN'!CC16</f>
        <v>0</v>
      </c>
      <c r="G14" s="69">
        <f>+'EM-PLA'!BC16</f>
        <v>0</v>
      </c>
      <c r="H14" s="1493">
        <f>+Tabla3[[#This Row],[TOTAL DE BULTOS ENVASADO TUNEL]]-(Tabla3[[#This Row],[TOTAL DE BULTOS EMPAQUE TUNEL]])</f>
        <v>0</v>
      </c>
      <c r="I14" s="1057" t="str">
        <f t="shared" si="0"/>
        <v>CUADRADO</v>
      </c>
      <c r="J14" s="1061">
        <f t="shared" si="3"/>
        <v>0</v>
      </c>
      <c r="K14" s="1622" t="str">
        <f>IF($C14="","",IFERROR(IF(INDEX(COLORES!$D:$D,MATCH($C14,COLORES!$C:$C,0))=0,"",INDEX(COLORES!$D:$D,MATCH($C14,COLORES!$C:$C,0))),IFERROR(IF(INDEX(COLORES!$D:$D,MATCH($C14&amp;"S",COLORES!$C:$C,0))=0,"",INDEX(COLORES!$D:$D,MATCH($C14&amp;"S",COLORES!$C:$C,0))),"")))</f>
        <v>VERDE</v>
      </c>
      <c r="L14" s="1059">
        <f>Tabla3[[#This Row],[TOTAL DE BULTOS ENVASADO PLACAS]]-Tabla3[[#This Row],[TOTAL DE BULTOS EMPAQUE PLACAS]]</f>
        <v>0</v>
      </c>
      <c r="M14" s="1058" t="str">
        <f t="shared" si="1"/>
        <v>CUADRADO</v>
      </c>
      <c r="N14" s="1060">
        <f t="shared" si="4"/>
        <v>0</v>
      </c>
      <c r="O14" s="195">
        <f>+Tabla3[[#This Row],[TOTAL DE BULTOS ENVASADO TUNEL]]+Tabla3[[#This Row],[TOTAL DE BULTOS ENVASADO PLACAS]]</f>
        <v>0</v>
      </c>
      <c r="P14" s="68">
        <f>+Tabla3[[#This Row],[TOTAL DE BULTOS EMPAQUE TUNEL]]+Tabla3[[#This Row],[TOTAL DE BULTOS EMPAQUE PLACAS]]</f>
        <v>0</v>
      </c>
      <c r="Q14" s="192"/>
      <c r="R14" s="26"/>
      <c r="S14" s="26"/>
      <c r="T14" s="1602" t="str">
        <f>IFERROR(INDEX($B$4:$B$56,_xlfn.AGGREGATE(15,6,(ROW($B$4:$B$56)-ROW($B$4)+1)/((ISNUMBER($B$4:$B$56))*((($H$4:$H$56&gt;=0.5)+($L$4:$L$56&gt;=0.5))&gt;0)),ROWS($T$5:T14))),"")</f>
        <v/>
      </c>
      <c r="U14" s="1603" t="str">
        <f>IFERROR(INDEX($C$4:$C$56,_xlfn.AGGREGATE(15,6,(ROW($B$4:$B$56)-ROW($B$4)+1)/((ISNUMBER($B$4:$B$56))*((($H$4:$H$56&gt;=0.5)+($L$4:$L$56&gt;=0.5))&gt;0)),ROWS($T$5:T14))),"")</f>
        <v/>
      </c>
      <c r="V14" s="1604" t="str">
        <f>IFERROR(INDEX($D$4:$D$56,_xlfn.AGGREGATE(15,6,(ROW($B$4:$B$56)-ROW($B$4)+1)/((ISNUMBER($B$4:$B$56))*((($H$4:$H$56&gt;=0.5)+($L$4:$L$56&gt;=0.5))&gt;0)),ROWS($T$5:T14))),"")</f>
        <v/>
      </c>
      <c r="W14" s="1605" t="str">
        <f>IFERROR(INDEX($E$4:$E$56,_xlfn.AGGREGATE(15,6,(ROW($B$4:$B$56)-ROW($B$4)+1)/((ISNUMBER($B$4:$B$56))*((($H$4:$H$56&gt;=0.5)+($L$4:$L$56&gt;=0.5))&gt;0)),ROWS($T$5:T14))),"")</f>
        <v/>
      </c>
      <c r="X14" s="1605" t="str">
        <f>IFERROR(INDEX($F$4:$F$56,_xlfn.AGGREGATE(15,6,(ROW($B$4:$B$56)-ROW($B$4)+1)/((ISNUMBER($B$4:$B$56))*((($H$4:$H$56&gt;=0.5)+($L$4:$L$56&gt;=0.5))&gt;0)),ROWS($T$5:T14))),"")</f>
        <v/>
      </c>
      <c r="Y14" s="1606" t="str">
        <f>IFERROR(INDEX($G$4:$G$56,_xlfn.AGGREGATE(15,6,(ROW($B$4:$B$56)-ROW($B$4)+1)/((ISNUMBER($B$4:$B$56))*((($H$4:$H$56&gt;=0.5)+($L$4:$L$56&gt;=0.5))&gt;0)),ROWS($T$5:T14))),"")</f>
        <v/>
      </c>
      <c r="Z14" s="1607" t="str">
        <f>IFERROR(INDEX($H$4:$H$56,_xlfn.AGGREGATE(15,6,(ROW($B$4:$B$56)-ROW($B$4)+1)/((ISNUMBER($B$4:$B$56))*((($H$4:$H$56&gt;=0.5)+($L$4:$L$56&gt;=0.5))&gt;0)),ROWS($T$5:T14))),"")</f>
        <v/>
      </c>
      <c r="AA14" s="1608" t="str">
        <f>IFERROR(INDEX($I$4:$I$56,_xlfn.AGGREGATE(15,6,(ROW($B$4:$B$56)-ROW($B$4)+1)/((ISNUMBER($B$4:$B$56))*((($H$4:$H$56&gt;=0.5)+($L$4:$L$56&gt;=0.5))&gt;0)),ROWS($T$5:T14))),"")</f>
        <v/>
      </c>
      <c r="AB14" s="1609" t="str">
        <f>IFERROR(INDEX($J$4:$J$56,_xlfn.AGGREGATE(15,6,(ROW($B$4:$B$56)-ROW($B$4)+1)/((ISNUMBER($B$4:$B$56))*((($H$4:$H$56&gt;=0.5)+($L$4:$L$56&gt;=0.5))&gt;0)),ROWS($T$5:T14))),"")</f>
        <v/>
      </c>
      <c r="AC14" s="1610" t="str">
        <f>IFERROR(INDEX($L$4:$L$56,_xlfn.AGGREGATE(15,6,(ROW($B$4:$B$56)-ROW($B$4)+1)/((ISNUMBER($B$4:$B$56))*((($H$4:$H$56&gt;=0.5)+($L$4:$L$56&gt;=0.5))&gt;0)),ROWS($T$5:T14))),"")</f>
        <v/>
      </c>
      <c r="AD14" s="1611" t="str">
        <f>IFERROR(INDEX($M$4:$M$56,_xlfn.AGGREGATE(15,6,(ROW($B$4:$B$56)-ROW($B$4)+1)/((ISNUMBER($B$4:$B$56))*((($H$4:$H$56&gt;=0.5)+($L$4:$L$56&gt;=0.5))&gt;0)),ROWS($T$5:T14))),"")</f>
        <v/>
      </c>
      <c r="AE14" s="1612" t="str">
        <f>IFERROR(INDEX($N$4:$N$56,_xlfn.AGGREGATE(15,6,(ROW($B$4:$B$56)-ROW($B$4)+1)/((ISNUMBER($B$4:$B$56))*((($H$4:$H$56&gt;=0.5)+($L$4:$L$56&gt;=0.5))&gt;0)),ROWS($T$5:T14))),"")</f>
        <v/>
      </c>
      <c r="AF14" s="1613" t="str">
        <f>IFERROR(INDEX($O$4:$O$56,_xlfn.AGGREGATE(15,6,(ROW($B$4:$B$56)-ROW($B$4)+1)/((ISNUMBER($B$4:$B$56))*((($H$4:$H$56&gt;=0.5)+($L$4:$L$56&gt;=0.5))&gt;0)),ROWS($T$5:T14))),"")</f>
        <v/>
      </c>
      <c r="AG14" s="1614" t="str">
        <f>IFERROR(INDEX($P$4:$P$56,_xlfn.AGGREGATE(15,6,(ROW($B$4:$B$56)-ROW($B$4)+1)/((ISNUMBER($B$4:$B$56))*((($H$4:$H$56&gt;=0.5)+($L$4:$L$56&gt;=0.5))&gt;0)),ROWS($T$5:T14))),"")</f>
        <v/>
      </c>
      <c r="AH14" s="1615" t="str">
        <f t="shared" si="2"/>
        <v/>
      </c>
    </row>
    <row r="15" spans="2:34" s="17" customFormat="1" ht="27" thickBot="1">
      <c r="B15" s="64">
        <f>+'EM-TUN'!B17</f>
        <v>12</v>
      </c>
      <c r="C15" s="25" t="str">
        <f>+'EM-TUN'!C17</f>
        <v>BOTON AMARILLO SM ST</v>
      </c>
      <c r="D15" s="195">
        <f>+'RES-EN'!R17</f>
        <v>0</v>
      </c>
      <c r="E15" s="68">
        <f>+'ENV. PLACAS'!AD17</f>
        <v>0</v>
      </c>
      <c r="F15" s="368">
        <f>+'EM-TUN'!CC17</f>
        <v>0</v>
      </c>
      <c r="G15" s="69">
        <f>+'EM-PLA'!BC17</f>
        <v>0</v>
      </c>
      <c r="H15" s="1493">
        <f>+Tabla3[[#This Row],[TOTAL DE BULTOS ENVASADO TUNEL]]-(Tabla3[[#This Row],[TOTAL DE BULTOS EMPAQUE TUNEL]])</f>
        <v>0</v>
      </c>
      <c r="I15" s="1057" t="str">
        <f t="shared" si="0"/>
        <v>CUADRADO</v>
      </c>
      <c r="J15" s="1061">
        <f t="shared" si="3"/>
        <v>0</v>
      </c>
      <c r="K15" s="1623" t="str">
        <f>IF($C15="","",IFERROR(IF(INDEX(COLORES!$D:$D,MATCH($C15,COLORES!$C:$C,0))=0,"",INDEX(COLORES!$D:$D,MATCH($C15,COLORES!$C:$C,0))),IFERROR(IF(INDEX(COLORES!$D:$D,MATCH($C15&amp;"S",COLORES!$C:$C,0))=0,"",INDEX(COLORES!$D:$D,MATCH($C15&amp;"S",COLORES!$C:$C,0))),"")))</f>
        <v>ROSADO</v>
      </c>
      <c r="L15" s="1059">
        <f>Tabla3[[#This Row],[TOTAL DE BULTOS ENVASADO PLACAS]]-Tabla3[[#This Row],[TOTAL DE BULTOS EMPAQUE PLACAS]]</f>
        <v>0</v>
      </c>
      <c r="M15" s="1058" t="str">
        <f t="shared" si="1"/>
        <v>CUADRADO</v>
      </c>
      <c r="N15" s="1060">
        <f t="shared" si="4"/>
        <v>0</v>
      </c>
      <c r="O15" s="195">
        <f>+Tabla3[[#This Row],[TOTAL DE BULTOS ENVASADO TUNEL]]+Tabla3[[#This Row],[TOTAL DE BULTOS ENVASADO PLACAS]]</f>
        <v>0</v>
      </c>
      <c r="P15" s="68">
        <f>+Tabla3[[#This Row],[TOTAL DE BULTOS EMPAQUE TUNEL]]+Tabla3[[#This Row],[TOTAL DE BULTOS EMPAQUE PLACAS]]</f>
        <v>0</v>
      </c>
      <c r="Q15" s="192"/>
      <c r="R15" s="26"/>
      <c r="S15" s="26"/>
      <c r="T15" s="1602" t="str">
        <f>IFERROR(INDEX($B$4:$B$56,_xlfn.AGGREGATE(15,6,(ROW($B$4:$B$56)-ROW($B$4)+1)/((ISNUMBER($B$4:$B$56))*((($H$4:$H$56&gt;=0.5)+($L$4:$L$56&gt;=0.5))&gt;0)),ROWS($T$5:T15))),"")</f>
        <v/>
      </c>
      <c r="U15" s="1603" t="str">
        <f>IFERROR(INDEX($C$4:$C$56,_xlfn.AGGREGATE(15,6,(ROW($B$4:$B$56)-ROW($B$4)+1)/((ISNUMBER($B$4:$B$56))*((($H$4:$H$56&gt;=0.5)+($L$4:$L$56&gt;=0.5))&gt;0)),ROWS($T$5:T15))),"")</f>
        <v/>
      </c>
      <c r="V15" s="1604" t="str">
        <f>IFERROR(INDEX($D$4:$D$56,_xlfn.AGGREGATE(15,6,(ROW($B$4:$B$56)-ROW($B$4)+1)/((ISNUMBER($B$4:$B$56))*((($H$4:$H$56&gt;=0.5)+($L$4:$L$56&gt;=0.5))&gt;0)),ROWS($T$5:T15))),"")</f>
        <v/>
      </c>
      <c r="W15" s="1605" t="str">
        <f>IFERROR(INDEX($E$4:$E$56,_xlfn.AGGREGATE(15,6,(ROW($B$4:$B$56)-ROW($B$4)+1)/((ISNUMBER($B$4:$B$56))*((($H$4:$H$56&gt;=0.5)+($L$4:$L$56&gt;=0.5))&gt;0)),ROWS($T$5:T15))),"")</f>
        <v/>
      </c>
      <c r="X15" s="1605" t="str">
        <f>IFERROR(INDEX($F$4:$F$56,_xlfn.AGGREGATE(15,6,(ROW($B$4:$B$56)-ROW($B$4)+1)/((ISNUMBER($B$4:$B$56))*((($H$4:$H$56&gt;=0.5)+($L$4:$L$56&gt;=0.5))&gt;0)),ROWS($T$5:T15))),"")</f>
        <v/>
      </c>
      <c r="Y15" s="1606" t="str">
        <f>IFERROR(INDEX($G$4:$G$56,_xlfn.AGGREGATE(15,6,(ROW($B$4:$B$56)-ROW($B$4)+1)/((ISNUMBER($B$4:$B$56))*((($H$4:$H$56&gt;=0.5)+($L$4:$L$56&gt;=0.5))&gt;0)),ROWS($T$5:T15))),"")</f>
        <v/>
      </c>
      <c r="Z15" s="1607" t="str">
        <f>IFERROR(INDEX($H$4:$H$56,_xlfn.AGGREGATE(15,6,(ROW($B$4:$B$56)-ROW($B$4)+1)/((ISNUMBER($B$4:$B$56))*((($H$4:$H$56&gt;=0.5)+($L$4:$L$56&gt;=0.5))&gt;0)),ROWS($T$5:T15))),"")</f>
        <v/>
      </c>
      <c r="AA15" s="1608" t="str">
        <f>IFERROR(INDEX($I$4:$I$56,_xlfn.AGGREGATE(15,6,(ROW($B$4:$B$56)-ROW($B$4)+1)/((ISNUMBER($B$4:$B$56))*((($H$4:$H$56&gt;=0.5)+($L$4:$L$56&gt;=0.5))&gt;0)),ROWS($T$5:T15))),"")</f>
        <v/>
      </c>
      <c r="AB15" s="1609" t="str">
        <f>IFERROR(INDEX($J$4:$J$56,_xlfn.AGGREGATE(15,6,(ROW($B$4:$B$56)-ROW($B$4)+1)/((ISNUMBER($B$4:$B$56))*((($H$4:$H$56&gt;=0.5)+($L$4:$L$56&gt;=0.5))&gt;0)),ROWS($T$5:T15))),"")</f>
        <v/>
      </c>
      <c r="AC15" s="1610" t="str">
        <f>IFERROR(INDEX($L$4:$L$56,_xlfn.AGGREGATE(15,6,(ROW($B$4:$B$56)-ROW($B$4)+1)/((ISNUMBER($B$4:$B$56))*((($H$4:$H$56&gt;=0.5)+($L$4:$L$56&gt;=0.5))&gt;0)),ROWS($T$5:T15))),"")</f>
        <v/>
      </c>
      <c r="AD15" s="1611" t="str">
        <f>IFERROR(INDEX($M$4:$M$56,_xlfn.AGGREGATE(15,6,(ROW($B$4:$B$56)-ROW($B$4)+1)/((ISNUMBER($B$4:$B$56))*((($H$4:$H$56&gt;=0.5)+($L$4:$L$56&gt;=0.5))&gt;0)),ROWS($T$5:T15))),"")</f>
        <v/>
      </c>
      <c r="AE15" s="1612" t="str">
        <f>IFERROR(INDEX($N$4:$N$56,_xlfn.AGGREGATE(15,6,(ROW($B$4:$B$56)-ROW($B$4)+1)/((ISNUMBER($B$4:$B$56))*((($H$4:$H$56&gt;=0.5)+($L$4:$L$56&gt;=0.5))&gt;0)),ROWS($T$5:T15))),"")</f>
        <v/>
      </c>
      <c r="AF15" s="1613" t="str">
        <f>IFERROR(INDEX($O$4:$O$56,_xlfn.AGGREGATE(15,6,(ROW($B$4:$B$56)-ROW($B$4)+1)/((ISNUMBER($B$4:$B$56))*((($H$4:$H$56&gt;=0.5)+($L$4:$L$56&gt;=0.5))&gt;0)),ROWS($T$5:T15))),"")</f>
        <v/>
      </c>
      <c r="AG15" s="1614" t="str">
        <f>IFERROR(INDEX($P$4:$P$56,_xlfn.AGGREGATE(15,6,(ROW($B$4:$B$56)-ROW($B$4)+1)/((ISNUMBER($B$4:$B$56))*((($H$4:$H$56&gt;=0.5)+($L$4:$L$56&gt;=0.5))&gt;0)),ROWS($T$5:T15))),"")</f>
        <v/>
      </c>
      <c r="AH15" s="1615" t="str">
        <f t="shared" si="2"/>
        <v/>
      </c>
    </row>
    <row r="16" spans="2:34" s="17" customFormat="1" ht="27" thickBot="1">
      <c r="B16" s="64">
        <f>+'EM-TUN'!B18</f>
        <v>13</v>
      </c>
      <c r="C16" s="25" t="str">
        <f>+'EM-TUN'!C18</f>
        <v>CONOS DE POTA</v>
      </c>
      <c r="D16" s="195">
        <f>+'RES-EN'!R18</f>
        <v>0</v>
      </c>
      <c r="E16" s="68">
        <f>+'ENV. PLACAS'!AD18</f>
        <v>0</v>
      </c>
      <c r="F16" s="368">
        <f>+'EM-TUN'!CC18</f>
        <v>0</v>
      </c>
      <c r="G16" s="69">
        <f>+'EM-PLA'!BC18</f>
        <v>0</v>
      </c>
      <c r="H16" s="1493">
        <f>+Tabla3[[#This Row],[TOTAL DE BULTOS ENVASADO TUNEL]]-(Tabla3[[#This Row],[TOTAL DE BULTOS EMPAQUE TUNEL]])</f>
        <v>0</v>
      </c>
      <c r="I16" s="1057" t="str">
        <f t="shared" si="0"/>
        <v>CUADRADO</v>
      </c>
      <c r="J16" s="1061">
        <f t="shared" si="3"/>
        <v>0</v>
      </c>
      <c r="K16" s="1620" t="str">
        <f>IF($C16="","",IFERROR(IF(INDEX(COLORES!$D:$D,MATCH($C16,COLORES!$C:$C,0))=0,"",INDEX(COLORES!$D:$D,MATCH($C16,COLORES!$C:$C,0))),IFERROR(IF(INDEX(COLORES!$D:$D,MATCH($C16&amp;"S",COLORES!$C:$C,0))=0,"",INDEX(COLORES!$D:$D,MATCH($C16&amp;"S",COLORES!$C:$C,0))),"")))</f>
        <v>CRISTAL</v>
      </c>
      <c r="L16" s="1059">
        <f>Tabla3[[#This Row],[TOTAL DE BULTOS ENVASADO PLACAS]]-Tabla3[[#This Row],[TOTAL DE BULTOS EMPAQUE PLACAS]]</f>
        <v>0</v>
      </c>
      <c r="M16" s="1058" t="str">
        <f t="shared" si="1"/>
        <v>CUADRADO</v>
      </c>
      <c r="N16" s="1060">
        <f t="shared" si="4"/>
        <v>0</v>
      </c>
      <c r="O16" s="195">
        <f>+Tabla3[[#This Row],[TOTAL DE BULTOS ENVASADO TUNEL]]+Tabla3[[#This Row],[TOTAL DE BULTOS ENVASADO PLACAS]]</f>
        <v>0</v>
      </c>
      <c r="P16" s="194">
        <f>+Tabla3[[#This Row],[TOTAL DE BULTOS EMPAQUE TUNEL]]+Tabla3[[#This Row],[TOTAL DE BULTOS EMPAQUE PLACAS]]</f>
        <v>0</v>
      </c>
      <c r="Q16" s="192"/>
      <c r="R16" s="26"/>
      <c r="S16" s="26"/>
      <c r="T16" s="1602" t="str">
        <f>IFERROR(INDEX($B$4:$B$56,_xlfn.AGGREGATE(15,6,(ROW($B$4:$B$56)-ROW($B$4)+1)/((ISNUMBER($B$4:$B$56))*((($H$4:$H$56&gt;=0.5)+($L$4:$L$56&gt;=0.5))&gt;0)),ROWS($T$5:T16))),"")</f>
        <v/>
      </c>
      <c r="U16" s="1603" t="str">
        <f>IFERROR(INDEX($C$4:$C$56,_xlfn.AGGREGATE(15,6,(ROW($B$4:$B$56)-ROW($B$4)+1)/((ISNUMBER($B$4:$B$56))*((($H$4:$H$56&gt;=0.5)+($L$4:$L$56&gt;=0.5))&gt;0)),ROWS($T$5:T16))),"")</f>
        <v/>
      </c>
      <c r="V16" s="1604" t="str">
        <f>IFERROR(INDEX($D$4:$D$56,_xlfn.AGGREGATE(15,6,(ROW($B$4:$B$56)-ROW($B$4)+1)/((ISNUMBER($B$4:$B$56))*((($H$4:$H$56&gt;=0.5)+($L$4:$L$56&gt;=0.5))&gt;0)),ROWS($T$5:T16))),"")</f>
        <v/>
      </c>
      <c r="W16" s="1605" t="str">
        <f>IFERROR(INDEX($E$4:$E$56,_xlfn.AGGREGATE(15,6,(ROW($B$4:$B$56)-ROW($B$4)+1)/((ISNUMBER($B$4:$B$56))*((($H$4:$H$56&gt;=0.5)+($L$4:$L$56&gt;=0.5))&gt;0)),ROWS($T$5:T16))),"")</f>
        <v/>
      </c>
      <c r="X16" s="1605" t="str">
        <f>IFERROR(INDEX($F$4:$F$56,_xlfn.AGGREGATE(15,6,(ROW($B$4:$B$56)-ROW($B$4)+1)/((ISNUMBER($B$4:$B$56))*((($H$4:$H$56&gt;=0.5)+($L$4:$L$56&gt;=0.5))&gt;0)),ROWS($T$5:T16))),"")</f>
        <v/>
      </c>
      <c r="Y16" s="1606" t="str">
        <f>IFERROR(INDEX($G$4:$G$56,_xlfn.AGGREGATE(15,6,(ROW($B$4:$B$56)-ROW($B$4)+1)/((ISNUMBER($B$4:$B$56))*((($H$4:$H$56&gt;=0.5)+($L$4:$L$56&gt;=0.5))&gt;0)),ROWS($T$5:T16))),"")</f>
        <v/>
      </c>
      <c r="Z16" s="1607" t="str">
        <f>IFERROR(INDEX($H$4:$H$56,_xlfn.AGGREGATE(15,6,(ROW($B$4:$B$56)-ROW($B$4)+1)/((ISNUMBER($B$4:$B$56))*((($H$4:$H$56&gt;=0.5)+($L$4:$L$56&gt;=0.5))&gt;0)),ROWS($T$5:T16))),"")</f>
        <v/>
      </c>
      <c r="AA16" s="1608" t="str">
        <f>IFERROR(INDEX($I$4:$I$56,_xlfn.AGGREGATE(15,6,(ROW($B$4:$B$56)-ROW($B$4)+1)/((ISNUMBER($B$4:$B$56))*((($H$4:$H$56&gt;=0.5)+($L$4:$L$56&gt;=0.5))&gt;0)),ROWS($T$5:T16))),"")</f>
        <v/>
      </c>
      <c r="AB16" s="1609" t="str">
        <f>IFERROR(INDEX($J$4:$J$56,_xlfn.AGGREGATE(15,6,(ROW($B$4:$B$56)-ROW($B$4)+1)/((ISNUMBER($B$4:$B$56))*((($H$4:$H$56&gt;=0.5)+($L$4:$L$56&gt;=0.5))&gt;0)),ROWS($T$5:T16))),"")</f>
        <v/>
      </c>
      <c r="AC16" s="1610" t="str">
        <f>IFERROR(INDEX($L$4:$L$56,_xlfn.AGGREGATE(15,6,(ROW($B$4:$B$56)-ROW($B$4)+1)/((ISNUMBER($B$4:$B$56))*((($H$4:$H$56&gt;=0.5)+($L$4:$L$56&gt;=0.5))&gt;0)),ROWS($T$5:T16))),"")</f>
        <v/>
      </c>
      <c r="AD16" s="1611" t="str">
        <f>IFERROR(INDEX($M$4:$M$56,_xlfn.AGGREGATE(15,6,(ROW($B$4:$B$56)-ROW($B$4)+1)/((ISNUMBER($B$4:$B$56))*((($H$4:$H$56&gt;=0.5)+($L$4:$L$56&gt;=0.5))&gt;0)),ROWS($T$5:T16))),"")</f>
        <v/>
      </c>
      <c r="AE16" s="1612" t="str">
        <f>IFERROR(INDEX($N$4:$N$56,_xlfn.AGGREGATE(15,6,(ROW($B$4:$B$56)-ROW($B$4)+1)/((ISNUMBER($B$4:$B$56))*((($H$4:$H$56&gt;=0.5)+($L$4:$L$56&gt;=0.5))&gt;0)),ROWS($T$5:T16))),"")</f>
        <v/>
      </c>
      <c r="AF16" s="1613" t="str">
        <f>IFERROR(INDEX($O$4:$O$56,_xlfn.AGGREGATE(15,6,(ROW($B$4:$B$56)-ROW($B$4)+1)/((ISNUMBER($B$4:$B$56))*((($H$4:$H$56&gt;=0.5)+($L$4:$L$56&gt;=0.5))&gt;0)),ROWS($T$5:T16))),"")</f>
        <v/>
      </c>
      <c r="AG16" s="1614" t="str">
        <f>IFERROR(INDEX($P$4:$P$56,_xlfn.AGGREGATE(15,6,(ROW($B$4:$B$56)-ROW($B$4)+1)/((ISNUMBER($B$4:$B$56))*((($H$4:$H$56&gt;=0.5)+($L$4:$L$56&gt;=0.5))&gt;0)),ROWS($T$5:T16))),"")</f>
        <v/>
      </c>
      <c r="AH16" s="1615" t="str">
        <f t="shared" si="2"/>
        <v/>
      </c>
    </row>
    <row r="17" spans="2:34" s="17" customFormat="1" ht="36" thickBot="1">
      <c r="B17" s="64">
        <f>+'EM-TUN'!B19</f>
        <v>14</v>
      </c>
      <c r="C17" s="25" t="str">
        <f>+'EM-TUN'!C19</f>
        <v>FILETE C/TT DARUMA</v>
      </c>
      <c r="D17" s="195">
        <f>+'RES-EN'!R19</f>
        <v>0</v>
      </c>
      <c r="E17" s="68">
        <f>+'ENV. PLACAS'!AD19</f>
        <v>0</v>
      </c>
      <c r="F17" s="368">
        <f>+'EM-TUN'!CC19</f>
        <v>0</v>
      </c>
      <c r="G17" s="69">
        <f>+'EM-PLA'!BC19</f>
        <v>0</v>
      </c>
      <c r="H17" s="1493">
        <f>+Tabla3[[#This Row],[TOTAL DE BULTOS ENVASADO TUNEL]]-(Tabla3[[#This Row],[TOTAL DE BULTOS EMPAQUE TUNEL]])</f>
        <v>0</v>
      </c>
      <c r="I17" s="1058" t="str">
        <f t="shared" si="0"/>
        <v>CUADRADO</v>
      </c>
      <c r="J17" s="1061">
        <f t="shared" si="3"/>
        <v>0</v>
      </c>
      <c r="K17" s="1619" t="str">
        <f>IF($C17="","",IFERROR(IF(INDEX(COLORES!$D:$D,MATCH($C17,COLORES!$C:$C,0))=0,"",INDEX(COLORES!$D:$D,MATCH($C17,COLORES!$C:$C,0))),IFERROR(IF(INDEX(COLORES!$D:$D,MATCH($C17&amp;"S",COLORES!$C:$C,0))=0,"",INDEX(COLORES!$D:$D,MATCH($C17&amp;"S",COLORES!$C:$C,0))),"")))</f>
        <v>AMARILLO</v>
      </c>
      <c r="L17" s="1059">
        <f>Tabla3[[#This Row],[TOTAL DE BULTOS ENVASADO PLACAS]]-Tabla3[[#This Row],[TOTAL DE BULTOS EMPAQUE PLACAS]]</f>
        <v>0</v>
      </c>
      <c r="M17" s="1058" t="str">
        <f t="shared" si="1"/>
        <v>CUADRADO</v>
      </c>
      <c r="N17" s="1060">
        <f t="shared" si="4"/>
        <v>0</v>
      </c>
      <c r="O17" s="195">
        <f>+Tabla3[[#This Row],[TOTAL DE BULTOS ENVASADO TUNEL]]+Tabla3[[#This Row],[TOTAL DE BULTOS ENVASADO PLACAS]]</f>
        <v>0</v>
      </c>
      <c r="P17" s="68">
        <f>+Tabla3[[#This Row],[TOTAL DE BULTOS EMPAQUE TUNEL]]+Tabla3[[#This Row],[TOTAL DE BULTOS EMPAQUE PLACAS]]</f>
        <v>0</v>
      </c>
      <c r="Q17" s="2027"/>
      <c r="R17" s="2027"/>
      <c r="S17" s="2027"/>
      <c r="T17" s="1073" t="str">
        <f>IFERROR(INDEX($B$4:$B$56,_xlfn.AGGREGATE(15,6,(ROW($B$4:$B$56)-ROW($B$4)+1)/((ISNUMBER($B$4:$B$56))*((($H$4:$H$56&gt;=0.5)+($L$4:$L$56&gt;=0.5))&gt;0)),ROWS($T$5:T17))),"")</f>
        <v/>
      </c>
      <c r="U17" s="1076" t="str">
        <f>IFERROR(INDEX($C$4:$C$56,_xlfn.AGGREGATE(15,6,(ROW($B$4:$B$56)-ROW($B$4)+1)/((ISNUMBER($B$4:$B$56))*((($H$4:$H$56&gt;=0.5)+($L$4:$L$56&gt;=0.5))&gt;0)),ROWS($T$5:T17))),"")</f>
        <v/>
      </c>
      <c r="V17" s="1080" t="str">
        <f>IFERROR(INDEX($D$4:$D$56,_xlfn.AGGREGATE(15,6,(ROW($B$4:$B$56)-ROW($B$4)+1)/((ISNUMBER($B$4:$B$56))*((($H$4:$H$56&gt;=0.5)+($L$4:$L$56&gt;=0.5))&gt;0)),ROWS($T$5:T17))),"")</f>
        <v/>
      </c>
      <c r="W17" s="1081" t="str">
        <f>IFERROR(INDEX($E$4:$E$56,_xlfn.AGGREGATE(15,6,(ROW($B$4:$B$56)-ROW($B$4)+1)/((ISNUMBER($B$4:$B$56))*((($H$4:$H$56&gt;=0.5)+($L$4:$L$56&gt;=0.5))&gt;0)),ROWS($T$5:T17))),"")</f>
        <v/>
      </c>
      <c r="X17" s="1081" t="str">
        <f>IFERROR(INDEX($F$4:$F$56,_xlfn.AGGREGATE(15,6,(ROW($B$4:$B$56)-ROW($B$4)+1)/((ISNUMBER($B$4:$B$56))*((($H$4:$H$56&gt;=0.5)+($L$4:$L$56&gt;=0.5))&gt;0)),ROWS($T$5:T17))),"")</f>
        <v/>
      </c>
      <c r="Y17" s="1082" t="str">
        <f>IFERROR(INDEX($G$4:$G$56,_xlfn.AGGREGATE(15,6,(ROW($B$4:$B$56)-ROW($B$4)+1)/((ISNUMBER($B$4:$B$56))*((($H$4:$H$56&gt;=0.5)+($L$4:$L$56&gt;=0.5))&gt;0)),ROWS($T$5:T17))),"")</f>
        <v/>
      </c>
      <c r="Z17" s="1083" t="str">
        <f>IFERROR(INDEX($H$4:$H$56,_xlfn.AGGREGATE(15,6,(ROW($B$4:$B$56)-ROW($B$4)+1)/((ISNUMBER($B$4:$B$56))*((($H$4:$H$56&gt;=0.5)+($L$4:$L$56&gt;=0.5))&gt;0)),ROWS($T$5:T17))),"")</f>
        <v/>
      </c>
      <c r="AA17" s="1074" t="str">
        <f>IFERROR(INDEX($I$4:$I$56,_xlfn.AGGREGATE(15,6,(ROW($B$4:$B$56)-ROW($B$4)+1)/((ISNUMBER($B$4:$B$56))*((($H$4:$H$56&gt;=0.5)+($L$4:$L$56&gt;=0.5))&gt;0)),ROWS($T$5:T17))),"")</f>
        <v/>
      </c>
      <c r="AB17" s="1077" t="str">
        <f>IFERROR(INDEX($J$4:$J$56,_xlfn.AGGREGATE(15,6,(ROW($B$4:$B$56)-ROW($B$4)+1)/((ISNUMBER($B$4:$B$56))*((($H$4:$H$56&gt;=0.5)+($L$4:$L$56&gt;=0.5))&gt;0)),ROWS($T$5:T17))),"")</f>
        <v/>
      </c>
      <c r="AC17" s="1084" t="str">
        <f>IFERROR(INDEX($L$4:$L$56,_xlfn.AGGREGATE(15,6,(ROW($B$4:$B$56)-ROW($B$4)+1)/((ISNUMBER($B$4:$B$56))*((($H$4:$H$56&gt;=0.5)+($L$4:$L$56&gt;=0.5))&gt;0)),ROWS($T$5:T17))),"")</f>
        <v/>
      </c>
      <c r="AD17" s="1075" t="str">
        <f>IFERROR(INDEX($M$4:$M$56,_xlfn.AGGREGATE(15,6,(ROW($B$4:$B$56)-ROW($B$4)+1)/((ISNUMBER($B$4:$B$56))*((($H$4:$H$56&gt;=0.5)+($L$4:$L$56&gt;=0.5))&gt;0)),ROWS($T$5:T17))),"")</f>
        <v/>
      </c>
      <c r="AE17" s="1078" t="str">
        <f>IFERROR(INDEX($N$4:$N$56,_xlfn.AGGREGATE(15,6,(ROW($B$4:$B$56)-ROW($B$4)+1)/((ISNUMBER($B$4:$B$56))*((($H$4:$H$56&gt;=0.5)+($L$4:$L$56&gt;=0.5))&gt;0)),ROWS($T$5:T17))),"")</f>
        <v/>
      </c>
      <c r="AF17" s="1085" t="str">
        <f>IFERROR(INDEX($O$4:$O$56,_xlfn.AGGREGATE(15,6,(ROW($B$4:$B$56)-ROW($B$4)+1)/((ISNUMBER($B$4:$B$56))*((($H$4:$H$56&gt;=0.5)+($L$4:$L$56&gt;=0.5))&gt;0)),ROWS($T$5:T17))),"")</f>
        <v/>
      </c>
      <c r="AG17" s="1086" t="str">
        <f>IFERROR(INDEX($P$4:$P$56,_xlfn.AGGREGATE(15,6,(ROW($B$4:$B$56)-ROW($B$4)+1)/((ISNUMBER($B$4:$B$56))*((($H$4:$H$56&gt;=0.5)+($L$4:$L$56&gt;=0.5))&gt;0)),ROWS($T$5:T17))),"")</f>
        <v/>
      </c>
      <c r="AH17" s="1079" t="str">
        <f t="shared" si="2"/>
        <v/>
      </c>
    </row>
    <row r="18" spans="2:34" s="17" customFormat="1" ht="36" thickBot="1">
      <c r="B18" s="64">
        <f>+'EM-TUN'!B20</f>
        <v>15</v>
      </c>
      <c r="C18" s="25" t="str">
        <f>+'EM-TUN'!C20</f>
        <v>FILETE C/M C/T TRES PIELES 1.0-2.0 kg/pza</v>
      </c>
      <c r="D18" s="195">
        <f>+'RES-EN'!R20</f>
        <v>0</v>
      </c>
      <c r="E18" s="68">
        <f>+'ENV. PLACAS'!AD20</f>
        <v>0</v>
      </c>
      <c r="F18" s="368">
        <f>+'EM-TUN'!CC20</f>
        <v>0</v>
      </c>
      <c r="G18" s="69">
        <f>+'EM-PLA'!BC20</f>
        <v>0</v>
      </c>
      <c r="H18" s="1493">
        <f>+Tabla3[[#This Row],[TOTAL DE BULTOS ENVASADO TUNEL]]-(Tabla3[[#This Row],[TOTAL DE BULTOS EMPAQUE TUNEL]])</f>
        <v>0</v>
      </c>
      <c r="I18" s="1058" t="str">
        <f t="shared" si="0"/>
        <v>CUADRADO</v>
      </c>
      <c r="J18" s="1061">
        <f t="shared" si="3"/>
        <v>0</v>
      </c>
      <c r="K18" s="1624" t="str">
        <f>IF($C18="","",IFERROR(IF(INDEX(COLORES!$D:$D,MATCH($C18,COLORES!$C:$C,0))=0,"",INDEX(COLORES!$D:$D,MATCH($C18,COLORES!$C:$C,0))),IFERROR(IF(INDEX(COLORES!$D:$D,MATCH($C18&amp;"S",COLORES!$C:$C,0))=0,"",INDEX(COLORES!$D:$D,MATCH($C18&amp;"S",COLORES!$C:$C,0))),"")))</f>
        <v>ROJO</v>
      </c>
      <c r="L18" s="1059">
        <f>Tabla3[[#This Row],[TOTAL DE BULTOS ENVASADO PLACAS]]-Tabla3[[#This Row],[TOTAL DE BULTOS EMPAQUE PLACAS]]</f>
        <v>0</v>
      </c>
      <c r="M18" s="1058" t="str">
        <f t="shared" si="1"/>
        <v>CUADRADO</v>
      </c>
      <c r="N18" s="1060">
        <f t="shared" si="4"/>
        <v>0</v>
      </c>
      <c r="O18" s="195">
        <f>+Tabla3[[#This Row],[TOTAL DE BULTOS ENVASADO TUNEL]]+Tabla3[[#This Row],[TOTAL DE BULTOS ENVASADO PLACAS]]</f>
        <v>0</v>
      </c>
      <c r="P18" s="68">
        <f>+Tabla3[[#This Row],[TOTAL DE BULTOS EMPAQUE TUNEL]]+Tabla3[[#This Row],[TOTAL DE BULTOS EMPAQUE PLACAS]]</f>
        <v>0</v>
      </c>
      <c r="Q18" s="2027"/>
      <c r="R18" s="2027"/>
      <c r="S18" s="2027"/>
      <c r="T18" s="1073" t="str">
        <f>IFERROR(INDEX($B$4:$B$56,_xlfn.AGGREGATE(15,6,(ROW($B$4:$B$56)-ROW($B$4)+1)/((ISNUMBER($B$4:$B$56))*((($H$4:$H$56&gt;=0.5)+($L$4:$L$56&gt;=0.5))&gt;0)),ROWS($T$5:T18))),"")</f>
        <v/>
      </c>
      <c r="U18" s="1076" t="str">
        <f>IFERROR(INDEX($C$4:$C$56,_xlfn.AGGREGATE(15,6,(ROW($B$4:$B$56)-ROW($B$4)+1)/((ISNUMBER($B$4:$B$56))*((($H$4:$H$56&gt;=0.5)+($L$4:$L$56&gt;=0.5))&gt;0)),ROWS($T$5:T18))),"")</f>
        <v/>
      </c>
      <c r="V18" s="1080" t="str">
        <f>IFERROR(INDEX($D$4:$D$56,_xlfn.AGGREGATE(15,6,(ROW($B$4:$B$56)-ROW($B$4)+1)/((ISNUMBER($B$4:$B$56))*((($H$4:$H$56&gt;=0.5)+($L$4:$L$56&gt;=0.5))&gt;0)),ROWS($T$5:T18))),"")</f>
        <v/>
      </c>
      <c r="W18" s="1081" t="str">
        <f>IFERROR(INDEX($E$4:$E$56,_xlfn.AGGREGATE(15,6,(ROW($B$4:$B$56)-ROW($B$4)+1)/((ISNUMBER($B$4:$B$56))*((($H$4:$H$56&gt;=0.5)+($L$4:$L$56&gt;=0.5))&gt;0)),ROWS($T$5:T18))),"")</f>
        <v/>
      </c>
      <c r="X18" s="1081" t="str">
        <f>IFERROR(INDEX($F$4:$F$56,_xlfn.AGGREGATE(15,6,(ROW($B$4:$B$56)-ROW($B$4)+1)/((ISNUMBER($B$4:$B$56))*((($H$4:$H$56&gt;=0.5)+($L$4:$L$56&gt;=0.5))&gt;0)),ROWS($T$5:T18))),"")</f>
        <v/>
      </c>
      <c r="Y18" s="1082" t="str">
        <f>IFERROR(INDEX($G$4:$G$56,_xlfn.AGGREGATE(15,6,(ROW($B$4:$B$56)-ROW($B$4)+1)/((ISNUMBER($B$4:$B$56))*((($H$4:$H$56&gt;=0.5)+($L$4:$L$56&gt;=0.5))&gt;0)),ROWS($T$5:T18))),"")</f>
        <v/>
      </c>
      <c r="Z18" s="1083" t="str">
        <f>IFERROR(INDEX($H$4:$H$56,_xlfn.AGGREGATE(15,6,(ROW($B$4:$B$56)-ROW($B$4)+1)/((ISNUMBER($B$4:$B$56))*((($H$4:$H$56&gt;=0.5)+($L$4:$L$56&gt;=0.5))&gt;0)),ROWS($T$5:T18))),"")</f>
        <v/>
      </c>
      <c r="AA18" s="1074" t="str">
        <f>IFERROR(INDEX($I$4:$I$56,_xlfn.AGGREGATE(15,6,(ROW($B$4:$B$56)-ROW($B$4)+1)/((ISNUMBER($B$4:$B$56))*((($H$4:$H$56&gt;=0.5)+($L$4:$L$56&gt;=0.5))&gt;0)),ROWS($T$5:T18))),"")</f>
        <v/>
      </c>
      <c r="AB18" s="1077" t="str">
        <f>IFERROR(INDEX($J$4:$J$56,_xlfn.AGGREGATE(15,6,(ROW($B$4:$B$56)-ROW($B$4)+1)/((ISNUMBER($B$4:$B$56))*((($H$4:$H$56&gt;=0.5)+($L$4:$L$56&gt;=0.5))&gt;0)),ROWS($T$5:T18))),"")</f>
        <v/>
      </c>
      <c r="AC18" s="1084" t="str">
        <f>IFERROR(INDEX($L$4:$L$56,_xlfn.AGGREGATE(15,6,(ROW($B$4:$B$56)-ROW($B$4)+1)/((ISNUMBER($B$4:$B$56))*((($H$4:$H$56&gt;=0.5)+($L$4:$L$56&gt;=0.5))&gt;0)),ROWS($T$5:T18))),"")</f>
        <v/>
      </c>
      <c r="AD18" s="1075" t="str">
        <f>IFERROR(INDEX($M$4:$M$56,_xlfn.AGGREGATE(15,6,(ROW($B$4:$B$56)-ROW($B$4)+1)/((ISNUMBER($B$4:$B$56))*((($H$4:$H$56&gt;=0.5)+($L$4:$L$56&gt;=0.5))&gt;0)),ROWS($T$5:T18))),"")</f>
        <v/>
      </c>
      <c r="AE18" s="1078" t="str">
        <f>IFERROR(INDEX($N$4:$N$56,_xlfn.AGGREGATE(15,6,(ROW($B$4:$B$56)-ROW($B$4)+1)/((ISNUMBER($B$4:$B$56))*((($H$4:$H$56&gt;=0.5)+($L$4:$L$56&gt;=0.5))&gt;0)),ROWS($T$5:T18))),"")</f>
        <v/>
      </c>
      <c r="AF18" s="1085" t="str">
        <f>IFERROR(INDEX($O$4:$O$56,_xlfn.AGGREGATE(15,6,(ROW($B$4:$B$56)-ROW($B$4)+1)/((ISNUMBER($B$4:$B$56))*((($H$4:$H$56&gt;=0.5)+($L$4:$L$56&gt;=0.5))&gt;0)),ROWS($T$5:T18))),"")</f>
        <v/>
      </c>
      <c r="AG18" s="1086" t="str">
        <f>IFERROR(INDEX($P$4:$P$56,_xlfn.AGGREGATE(15,6,(ROW($B$4:$B$56)-ROW($B$4)+1)/((ISNUMBER($B$4:$B$56))*((($H$4:$H$56&gt;=0.5)+($L$4:$L$56&gt;=0.5))&gt;0)),ROWS($T$5:T18))),"")</f>
        <v/>
      </c>
      <c r="AH18" s="1079" t="str">
        <f t="shared" si="2"/>
        <v/>
      </c>
    </row>
    <row r="19" spans="2:34" s="17" customFormat="1" ht="36" thickBot="1">
      <c r="B19" s="64">
        <f>+'EM-TUN'!B21</f>
        <v>16</v>
      </c>
      <c r="C19" s="25" t="str">
        <f>+'EM-TUN'!C21</f>
        <v>FILETE C/M C/T TRES PIELES 2.0-4.0 kg/pza</v>
      </c>
      <c r="D19" s="195">
        <f>+'RES-EN'!R21</f>
        <v>0</v>
      </c>
      <c r="E19" s="68">
        <f>+'ENV. PLACAS'!AD21</f>
        <v>0</v>
      </c>
      <c r="F19" s="368">
        <f>+'EM-TUN'!CC21</f>
        <v>0</v>
      </c>
      <c r="G19" s="69">
        <f>+'EM-PLA'!BC21</f>
        <v>0</v>
      </c>
      <c r="H19" s="1493">
        <f>+Tabla3[[#This Row],[TOTAL DE BULTOS ENVASADO TUNEL]]-(Tabla3[[#This Row],[TOTAL DE BULTOS EMPAQUE TUNEL]])</f>
        <v>0</v>
      </c>
      <c r="I19" s="1058" t="str">
        <f t="shared" si="0"/>
        <v>CUADRADO</v>
      </c>
      <c r="J19" s="1061">
        <f t="shared" si="3"/>
        <v>0</v>
      </c>
      <c r="K19" s="1618" t="str">
        <f>IF($C19="","",IFERROR(IF(INDEX(COLORES!$D:$D,MATCH($C19,COLORES!$C:$C,0))=0,"",INDEX(COLORES!$D:$D,MATCH($C19,COLORES!$C:$C,0))),IFERROR(IF(INDEX(COLORES!$D:$D,MATCH($C19&amp;"S",COLORES!$C:$C,0))=0,"",INDEX(COLORES!$D:$D,MATCH($C19&amp;"S",COLORES!$C:$C,0))),"")))</f>
        <v>BLANCO</v>
      </c>
      <c r="L19" s="1059">
        <f>Tabla3[[#This Row],[TOTAL DE BULTOS ENVASADO PLACAS]]-Tabla3[[#This Row],[TOTAL DE BULTOS EMPAQUE PLACAS]]</f>
        <v>0</v>
      </c>
      <c r="M19" s="1058" t="str">
        <f t="shared" si="1"/>
        <v>CUADRADO</v>
      </c>
      <c r="N19" s="1060">
        <f t="shared" si="4"/>
        <v>0</v>
      </c>
      <c r="O19" s="195">
        <f>+Tabla3[[#This Row],[TOTAL DE BULTOS ENVASADO TUNEL]]+Tabla3[[#This Row],[TOTAL DE BULTOS ENVASADO PLACAS]]</f>
        <v>0</v>
      </c>
      <c r="P19" s="194">
        <f>+Tabla3[[#This Row],[TOTAL DE BULTOS EMPAQUE TUNEL]]+Tabla3[[#This Row],[TOTAL DE BULTOS EMPAQUE PLACAS]]</f>
        <v>0</v>
      </c>
      <c r="Q19" s="2027"/>
      <c r="R19" s="2027"/>
      <c r="S19" s="2027"/>
      <c r="T19" s="1073" t="str">
        <f>IFERROR(INDEX($B$4:$B$56,_xlfn.AGGREGATE(15,6,(ROW($B$4:$B$56)-ROW($B$4)+1)/((ISNUMBER($B$4:$B$56))*((($H$4:$H$56&gt;=0.5)+($L$4:$L$56&gt;=0.5))&gt;0)),ROWS($T$5:T19))),"")</f>
        <v/>
      </c>
      <c r="U19" s="1076" t="str">
        <f>IFERROR(INDEX($C$4:$C$56,_xlfn.AGGREGATE(15,6,(ROW($B$4:$B$56)-ROW($B$4)+1)/((ISNUMBER($B$4:$B$56))*((($H$4:$H$56&gt;=0.5)+($L$4:$L$56&gt;=0.5))&gt;0)),ROWS($T$5:T19))),"")</f>
        <v/>
      </c>
      <c r="V19" s="1080" t="str">
        <f>IFERROR(INDEX($D$4:$D$56,_xlfn.AGGREGATE(15,6,(ROW($B$4:$B$56)-ROW($B$4)+1)/((ISNUMBER($B$4:$B$56))*((($H$4:$H$56&gt;=0.5)+($L$4:$L$56&gt;=0.5))&gt;0)),ROWS($T$5:T19))),"")</f>
        <v/>
      </c>
      <c r="W19" s="1081" t="str">
        <f>IFERROR(INDEX($E$4:$E$56,_xlfn.AGGREGATE(15,6,(ROW($B$4:$B$56)-ROW($B$4)+1)/((ISNUMBER($B$4:$B$56))*((($H$4:$H$56&gt;=0.5)+($L$4:$L$56&gt;=0.5))&gt;0)),ROWS($T$5:T19))),"")</f>
        <v/>
      </c>
      <c r="X19" s="1081" t="str">
        <f>IFERROR(INDEX($F$4:$F$56,_xlfn.AGGREGATE(15,6,(ROW($B$4:$B$56)-ROW($B$4)+1)/((ISNUMBER($B$4:$B$56))*((($H$4:$H$56&gt;=0.5)+($L$4:$L$56&gt;=0.5))&gt;0)),ROWS($T$5:T19))),"")</f>
        <v/>
      </c>
      <c r="Y19" s="1082" t="str">
        <f>IFERROR(INDEX($G$4:$G$56,_xlfn.AGGREGATE(15,6,(ROW($B$4:$B$56)-ROW($B$4)+1)/((ISNUMBER($B$4:$B$56))*((($H$4:$H$56&gt;=0.5)+($L$4:$L$56&gt;=0.5))&gt;0)),ROWS($T$5:T19))),"")</f>
        <v/>
      </c>
      <c r="Z19" s="1083" t="str">
        <f>IFERROR(INDEX($H$4:$H$56,_xlfn.AGGREGATE(15,6,(ROW($B$4:$B$56)-ROW($B$4)+1)/((ISNUMBER($B$4:$B$56))*((($H$4:$H$56&gt;=0.5)+($L$4:$L$56&gt;=0.5))&gt;0)),ROWS($T$5:T19))),"")</f>
        <v/>
      </c>
      <c r="AA19" s="1074" t="str">
        <f>IFERROR(INDEX($I$4:$I$56,_xlfn.AGGREGATE(15,6,(ROW($B$4:$B$56)-ROW($B$4)+1)/((ISNUMBER($B$4:$B$56))*((($H$4:$H$56&gt;=0.5)+($L$4:$L$56&gt;=0.5))&gt;0)),ROWS($T$5:T19))),"")</f>
        <v/>
      </c>
      <c r="AB19" s="1077" t="str">
        <f>IFERROR(INDEX($J$4:$J$56,_xlfn.AGGREGATE(15,6,(ROW($B$4:$B$56)-ROW($B$4)+1)/((ISNUMBER($B$4:$B$56))*((($H$4:$H$56&gt;=0.5)+($L$4:$L$56&gt;=0.5))&gt;0)),ROWS($T$5:T19))),"")</f>
        <v/>
      </c>
      <c r="AC19" s="1084" t="str">
        <f>IFERROR(INDEX($L$4:$L$56,_xlfn.AGGREGATE(15,6,(ROW($B$4:$B$56)-ROW($B$4)+1)/((ISNUMBER($B$4:$B$56))*((($H$4:$H$56&gt;=0.5)+($L$4:$L$56&gt;=0.5))&gt;0)),ROWS($T$5:T19))),"")</f>
        <v/>
      </c>
      <c r="AD19" s="1075" t="str">
        <f>IFERROR(INDEX($M$4:$M$56,_xlfn.AGGREGATE(15,6,(ROW($B$4:$B$56)-ROW($B$4)+1)/((ISNUMBER($B$4:$B$56))*((($H$4:$H$56&gt;=0.5)+($L$4:$L$56&gt;=0.5))&gt;0)),ROWS($T$5:T19))),"")</f>
        <v/>
      </c>
      <c r="AE19" s="1078" t="str">
        <f>IFERROR(INDEX($N$4:$N$56,_xlfn.AGGREGATE(15,6,(ROW($B$4:$B$56)-ROW($B$4)+1)/((ISNUMBER($B$4:$B$56))*((($H$4:$H$56&gt;=0.5)+($L$4:$L$56&gt;=0.5))&gt;0)),ROWS($T$5:T19))),"")</f>
        <v/>
      </c>
      <c r="AF19" s="1085" t="str">
        <f>IFERROR(INDEX($O$4:$O$56,_xlfn.AGGREGATE(15,6,(ROW($B$4:$B$56)-ROW($B$4)+1)/((ISNUMBER($B$4:$B$56))*((($H$4:$H$56&gt;=0.5)+($L$4:$L$56&gt;=0.5))&gt;0)),ROWS($T$5:T19))),"")</f>
        <v/>
      </c>
      <c r="AG19" s="1086" t="str">
        <f>IFERROR(INDEX($P$4:$P$56,_xlfn.AGGREGATE(15,6,(ROW($B$4:$B$56)-ROW($B$4)+1)/((ISNUMBER($B$4:$B$56))*((($H$4:$H$56&gt;=0.5)+($L$4:$L$56&gt;=0.5))&gt;0)),ROWS($T$5:T19))),"")</f>
        <v/>
      </c>
      <c r="AH19" s="1079" t="str">
        <f t="shared" si="2"/>
        <v/>
      </c>
    </row>
    <row r="20" spans="2:34" s="17" customFormat="1" ht="36" thickBot="1">
      <c r="B20" s="64">
        <f>+'EM-TUN'!B22</f>
        <v>17</v>
      </c>
      <c r="C20" s="25" t="str">
        <f>+'EM-TUN'!C22</f>
        <v>FILETE C/M C/T ENTERO BLANCO 1.0-2.0 kg/pza</v>
      </c>
      <c r="D20" s="195">
        <f>+'RES-EN'!R22</f>
        <v>0</v>
      </c>
      <c r="E20" s="68">
        <f>+'ENV. PLACAS'!AD22</f>
        <v>0</v>
      </c>
      <c r="F20" s="368">
        <f>+'EM-TUN'!CC22</f>
        <v>0</v>
      </c>
      <c r="G20" s="69">
        <f>+'EM-PLA'!BC22</f>
        <v>0</v>
      </c>
      <c r="H20" s="1493">
        <f>+Tabla3[[#This Row],[TOTAL DE BULTOS ENVASADO TUNEL]]-(Tabla3[[#This Row],[TOTAL DE BULTOS EMPAQUE TUNEL]])</f>
        <v>0</v>
      </c>
      <c r="I20" s="1058" t="str">
        <f t="shared" si="0"/>
        <v>CUADRADO</v>
      </c>
      <c r="J20" s="1061">
        <f t="shared" si="3"/>
        <v>0</v>
      </c>
      <c r="K20" s="1625" t="str">
        <f>IF($C20="","",IFERROR(IF(INDEX(COLORES!$D:$D,MATCH($C20,COLORES!$C:$C,0))=0,"",INDEX(COLORES!$D:$D,MATCH($C20,COLORES!$C:$C,0))),IFERROR(IF(INDEX(COLORES!$D:$D,MATCH($C20&amp;"S",COLORES!$C:$C,0))=0,"",INDEX(COLORES!$D:$D,MATCH($C20&amp;"S",COLORES!$C:$C,0))),"")))</f>
        <v>ROJO</v>
      </c>
      <c r="L20" s="1059">
        <f>Tabla3[[#This Row],[TOTAL DE BULTOS ENVASADO PLACAS]]-Tabla3[[#This Row],[TOTAL DE BULTOS EMPAQUE PLACAS]]</f>
        <v>0</v>
      </c>
      <c r="M20" s="1058" t="str">
        <f t="shared" si="1"/>
        <v>CUADRADO</v>
      </c>
      <c r="N20" s="1060">
        <f t="shared" si="4"/>
        <v>0</v>
      </c>
      <c r="O20" s="195">
        <f>+Tabla3[[#This Row],[TOTAL DE BULTOS ENVASADO TUNEL]]+Tabla3[[#This Row],[TOTAL DE BULTOS ENVASADO PLACAS]]</f>
        <v>0</v>
      </c>
      <c r="P20" s="68">
        <f>+Tabla3[[#This Row],[TOTAL DE BULTOS EMPAQUE TUNEL]]+Tabla3[[#This Row],[TOTAL DE BULTOS EMPAQUE PLACAS]]</f>
        <v>0</v>
      </c>
      <c r="Q20" s="2027"/>
      <c r="R20" s="2027"/>
      <c r="S20" s="2027"/>
      <c r="T20" s="1073" t="str">
        <f>IFERROR(INDEX($B$4:$B$56,_xlfn.AGGREGATE(15,6,(ROW($B$4:$B$56)-ROW($B$4)+1)/((ISNUMBER($B$4:$B$56))*((($H$4:$H$56&gt;=0.5)+($L$4:$L$56&gt;=0.5))&gt;0)),ROWS($T$5:T20))),"")</f>
        <v/>
      </c>
      <c r="U20" s="1076" t="str">
        <f>IFERROR(INDEX($C$4:$C$56,_xlfn.AGGREGATE(15,6,(ROW($B$4:$B$56)-ROW($B$4)+1)/((ISNUMBER($B$4:$B$56))*((($H$4:$H$56&gt;=0.5)+($L$4:$L$56&gt;=0.5))&gt;0)),ROWS($T$5:T20))),"")</f>
        <v/>
      </c>
      <c r="V20" s="1080" t="str">
        <f>IFERROR(INDEX($D$4:$D$56,_xlfn.AGGREGATE(15,6,(ROW($B$4:$B$56)-ROW($B$4)+1)/((ISNUMBER($B$4:$B$56))*((($H$4:$H$56&gt;=0.5)+($L$4:$L$56&gt;=0.5))&gt;0)),ROWS($T$5:T20))),"")</f>
        <v/>
      </c>
      <c r="W20" s="1081" t="str">
        <f>IFERROR(INDEX($E$4:$E$56,_xlfn.AGGREGATE(15,6,(ROW($B$4:$B$56)-ROW($B$4)+1)/((ISNUMBER($B$4:$B$56))*((($H$4:$H$56&gt;=0.5)+($L$4:$L$56&gt;=0.5))&gt;0)),ROWS($T$5:T20))),"")</f>
        <v/>
      </c>
      <c r="X20" s="1081" t="str">
        <f>IFERROR(INDEX($F$4:$F$56,_xlfn.AGGREGATE(15,6,(ROW($B$4:$B$56)-ROW($B$4)+1)/((ISNUMBER($B$4:$B$56))*((($H$4:$H$56&gt;=0.5)+($L$4:$L$56&gt;=0.5))&gt;0)),ROWS($T$5:T20))),"")</f>
        <v/>
      </c>
      <c r="Y20" s="1082" t="str">
        <f>IFERROR(INDEX($G$4:$G$56,_xlfn.AGGREGATE(15,6,(ROW($B$4:$B$56)-ROW($B$4)+1)/((ISNUMBER($B$4:$B$56))*((($H$4:$H$56&gt;=0.5)+($L$4:$L$56&gt;=0.5))&gt;0)),ROWS($T$5:T20))),"")</f>
        <v/>
      </c>
      <c r="Z20" s="1083" t="str">
        <f>IFERROR(INDEX($H$4:$H$56,_xlfn.AGGREGATE(15,6,(ROW($B$4:$B$56)-ROW($B$4)+1)/((ISNUMBER($B$4:$B$56))*((($H$4:$H$56&gt;=0.5)+($L$4:$L$56&gt;=0.5))&gt;0)),ROWS($T$5:T20))),"")</f>
        <v/>
      </c>
      <c r="AA20" s="1074" t="str">
        <f>IFERROR(INDEX($I$4:$I$56,_xlfn.AGGREGATE(15,6,(ROW($B$4:$B$56)-ROW($B$4)+1)/((ISNUMBER($B$4:$B$56))*((($H$4:$H$56&gt;=0.5)+($L$4:$L$56&gt;=0.5))&gt;0)),ROWS($T$5:T20))),"")</f>
        <v/>
      </c>
      <c r="AB20" s="1077" t="str">
        <f>IFERROR(INDEX($J$4:$J$56,_xlfn.AGGREGATE(15,6,(ROW($B$4:$B$56)-ROW($B$4)+1)/((ISNUMBER($B$4:$B$56))*((($H$4:$H$56&gt;=0.5)+($L$4:$L$56&gt;=0.5))&gt;0)),ROWS($T$5:T20))),"")</f>
        <v/>
      </c>
      <c r="AC20" s="1084" t="str">
        <f>IFERROR(INDEX($L$4:$L$56,_xlfn.AGGREGATE(15,6,(ROW($B$4:$B$56)-ROW($B$4)+1)/((ISNUMBER($B$4:$B$56))*((($H$4:$H$56&gt;=0.5)+($L$4:$L$56&gt;=0.5))&gt;0)),ROWS($T$5:T20))),"")</f>
        <v/>
      </c>
      <c r="AD20" s="1075" t="str">
        <f>IFERROR(INDEX($M$4:$M$56,_xlfn.AGGREGATE(15,6,(ROW($B$4:$B$56)-ROW($B$4)+1)/((ISNUMBER($B$4:$B$56))*((($H$4:$H$56&gt;=0.5)+($L$4:$L$56&gt;=0.5))&gt;0)),ROWS($T$5:T20))),"")</f>
        <v/>
      </c>
      <c r="AE20" s="1078" t="str">
        <f>IFERROR(INDEX($N$4:$N$56,_xlfn.AGGREGATE(15,6,(ROW($B$4:$B$56)-ROW($B$4)+1)/((ISNUMBER($B$4:$B$56))*((($H$4:$H$56&gt;=0.5)+($L$4:$L$56&gt;=0.5))&gt;0)),ROWS($T$5:T20))),"")</f>
        <v/>
      </c>
      <c r="AF20" s="1085" t="str">
        <f>IFERROR(INDEX($O$4:$O$56,_xlfn.AGGREGATE(15,6,(ROW($B$4:$B$56)-ROW($B$4)+1)/((ISNUMBER($B$4:$B$56))*((($H$4:$H$56&gt;=0.5)+($L$4:$L$56&gt;=0.5))&gt;0)),ROWS($T$5:T20))),"")</f>
        <v/>
      </c>
      <c r="AG20" s="1086" t="str">
        <f>IFERROR(INDEX($P$4:$P$56,_xlfn.AGGREGATE(15,6,(ROW($B$4:$B$56)-ROW($B$4)+1)/((ISNUMBER($B$4:$B$56))*((($H$4:$H$56&gt;=0.5)+($L$4:$L$56&gt;=0.5))&gt;0)),ROWS($T$5:T20))),"")</f>
        <v/>
      </c>
      <c r="AH20" s="1079" t="str">
        <f t="shared" si="2"/>
        <v/>
      </c>
    </row>
    <row r="21" spans="2:34" s="17" customFormat="1" ht="36" thickBot="1">
      <c r="B21" s="64">
        <f>+'EM-TUN'!B23</f>
        <v>18</v>
      </c>
      <c r="C21" s="25" t="str">
        <f>+'EM-TUN'!C23</f>
        <v>FILETE C/M C/T ENTERO BLANCO 2.0-4.0 kg/pza</v>
      </c>
      <c r="D21" s="195">
        <f>+'RES-EN'!R23</f>
        <v>0</v>
      </c>
      <c r="E21" s="68">
        <f>+'ENV. PLACAS'!AD23</f>
        <v>0</v>
      </c>
      <c r="F21" s="368">
        <f>+'EM-TUN'!CC23</f>
        <v>0</v>
      </c>
      <c r="G21" s="69">
        <f>+'EM-PLA'!BC23</f>
        <v>0</v>
      </c>
      <c r="H21" s="1493">
        <f>+Tabla3[[#This Row],[TOTAL DE BULTOS ENVASADO TUNEL]]-(Tabla3[[#This Row],[TOTAL DE BULTOS EMPAQUE TUNEL]])</f>
        <v>0</v>
      </c>
      <c r="I21" s="1058" t="str">
        <f t="shared" si="0"/>
        <v>CUADRADO</v>
      </c>
      <c r="J21" s="1061">
        <f t="shared" si="3"/>
        <v>0</v>
      </c>
      <c r="K21" s="1623" t="str">
        <f>IF($C21="","",IFERROR(IF(INDEX(COLORES!$D:$D,MATCH($C21,COLORES!$C:$C,0))=0,"",INDEX(COLORES!$D:$D,MATCH($C21,COLORES!$C:$C,0))),IFERROR(IF(INDEX(COLORES!$D:$D,MATCH($C21&amp;"S",COLORES!$C:$C,0))=0,"",INDEX(COLORES!$D:$D,MATCH($C21&amp;"S",COLORES!$C:$C,0))),"")))</f>
        <v>BLANCO</v>
      </c>
      <c r="L21" s="1059">
        <f>Tabla3[[#This Row],[TOTAL DE BULTOS ENVASADO PLACAS]]-Tabla3[[#This Row],[TOTAL DE BULTOS EMPAQUE PLACAS]]</f>
        <v>0</v>
      </c>
      <c r="M21" s="1058" t="str">
        <f t="shared" si="1"/>
        <v>CUADRADO</v>
      </c>
      <c r="N21" s="1060">
        <f t="shared" si="4"/>
        <v>0</v>
      </c>
      <c r="O21" s="195">
        <f>+Tabla3[[#This Row],[TOTAL DE BULTOS ENVASADO TUNEL]]+Tabla3[[#This Row],[TOTAL DE BULTOS ENVASADO PLACAS]]</f>
        <v>0</v>
      </c>
      <c r="P21" s="68">
        <f>+Tabla3[[#This Row],[TOTAL DE BULTOS EMPAQUE TUNEL]]+Tabla3[[#This Row],[TOTAL DE BULTOS EMPAQUE PLACAS]]</f>
        <v>0</v>
      </c>
      <c r="Q21" s="2027"/>
      <c r="R21" s="2027"/>
      <c r="S21" s="2027"/>
      <c r="T21" s="1073" t="str">
        <f>IFERROR(INDEX($B$4:$B$56,_xlfn.AGGREGATE(15,6,(ROW($B$4:$B$56)-ROW($B$4)+1)/((ISNUMBER($B$4:$B$56))*((($H$4:$H$56&gt;=0.5)+($L$4:$L$56&gt;=0.5))&gt;0)),ROWS($T$5:T21))),"")</f>
        <v/>
      </c>
      <c r="U21" s="1076" t="str">
        <f>IFERROR(INDEX($C$4:$C$56,_xlfn.AGGREGATE(15,6,(ROW($B$4:$B$56)-ROW($B$4)+1)/((ISNUMBER($B$4:$B$56))*((($H$4:$H$56&gt;=0.5)+($L$4:$L$56&gt;=0.5))&gt;0)),ROWS($T$5:T21))),"")</f>
        <v/>
      </c>
      <c r="V21" s="1080" t="str">
        <f>IFERROR(INDEX($D$4:$D$56,_xlfn.AGGREGATE(15,6,(ROW($B$4:$B$56)-ROW($B$4)+1)/((ISNUMBER($B$4:$B$56))*((($H$4:$H$56&gt;=0.5)+($L$4:$L$56&gt;=0.5))&gt;0)),ROWS($T$5:T21))),"")</f>
        <v/>
      </c>
      <c r="W21" s="1081" t="str">
        <f>IFERROR(INDEX($E$4:$E$56,_xlfn.AGGREGATE(15,6,(ROW($B$4:$B$56)-ROW($B$4)+1)/((ISNUMBER($B$4:$B$56))*((($H$4:$H$56&gt;=0.5)+($L$4:$L$56&gt;=0.5))&gt;0)),ROWS($T$5:T21))),"")</f>
        <v/>
      </c>
      <c r="X21" s="1081" t="str">
        <f>IFERROR(INDEX($F$4:$F$56,_xlfn.AGGREGATE(15,6,(ROW($B$4:$B$56)-ROW($B$4)+1)/((ISNUMBER($B$4:$B$56))*((($H$4:$H$56&gt;=0.5)+($L$4:$L$56&gt;=0.5))&gt;0)),ROWS($T$5:T21))),"")</f>
        <v/>
      </c>
      <c r="Y21" s="1082" t="str">
        <f>IFERROR(INDEX($G$4:$G$56,_xlfn.AGGREGATE(15,6,(ROW($B$4:$B$56)-ROW($B$4)+1)/((ISNUMBER($B$4:$B$56))*((($H$4:$H$56&gt;=0.5)+($L$4:$L$56&gt;=0.5))&gt;0)),ROWS($T$5:T21))),"")</f>
        <v/>
      </c>
      <c r="Z21" s="1083" t="str">
        <f>IFERROR(INDEX($H$4:$H$56,_xlfn.AGGREGATE(15,6,(ROW($B$4:$B$56)-ROW($B$4)+1)/((ISNUMBER($B$4:$B$56))*((($H$4:$H$56&gt;=0.5)+($L$4:$L$56&gt;=0.5))&gt;0)),ROWS($T$5:T21))),"")</f>
        <v/>
      </c>
      <c r="AA21" s="1074" t="str">
        <f>IFERROR(INDEX($I$4:$I$56,_xlfn.AGGREGATE(15,6,(ROW($B$4:$B$56)-ROW($B$4)+1)/((ISNUMBER($B$4:$B$56))*((($H$4:$H$56&gt;=0.5)+($L$4:$L$56&gt;=0.5))&gt;0)),ROWS($T$5:T21))),"")</f>
        <v/>
      </c>
      <c r="AB21" s="1077" t="str">
        <f>IFERROR(INDEX($J$4:$J$56,_xlfn.AGGREGATE(15,6,(ROW($B$4:$B$56)-ROW($B$4)+1)/((ISNUMBER($B$4:$B$56))*((($H$4:$H$56&gt;=0.5)+($L$4:$L$56&gt;=0.5))&gt;0)),ROWS($T$5:T21))),"")</f>
        <v/>
      </c>
      <c r="AC21" s="1084" t="str">
        <f>IFERROR(INDEX($L$4:$L$56,_xlfn.AGGREGATE(15,6,(ROW($B$4:$B$56)-ROW($B$4)+1)/((ISNUMBER($B$4:$B$56))*((($H$4:$H$56&gt;=0.5)+($L$4:$L$56&gt;=0.5))&gt;0)),ROWS($T$5:T21))),"")</f>
        <v/>
      </c>
      <c r="AD21" s="1075" t="str">
        <f>IFERROR(INDEX($M$4:$M$56,_xlfn.AGGREGATE(15,6,(ROW($B$4:$B$56)-ROW($B$4)+1)/((ISNUMBER($B$4:$B$56))*((($H$4:$H$56&gt;=0.5)+($L$4:$L$56&gt;=0.5))&gt;0)),ROWS($T$5:T21))),"")</f>
        <v/>
      </c>
      <c r="AE21" s="1078" t="str">
        <f>IFERROR(INDEX($N$4:$N$56,_xlfn.AGGREGATE(15,6,(ROW($B$4:$B$56)-ROW($B$4)+1)/((ISNUMBER($B$4:$B$56))*((($H$4:$H$56&gt;=0.5)+($L$4:$L$56&gt;=0.5))&gt;0)),ROWS($T$5:T21))),"")</f>
        <v/>
      </c>
      <c r="AF21" s="1085" t="str">
        <f>IFERROR(INDEX($O$4:$O$56,_xlfn.AGGREGATE(15,6,(ROW($B$4:$B$56)-ROW($B$4)+1)/((ISNUMBER($B$4:$B$56))*((($H$4:$H$56&gt;=0.5)+($L$4:$L$56&gt;=0.5))&gt;0)),ROWS($T$5:T21))),"")</f>
        <v/>
      </c>
      <c r="AG21" s="1086" t="str">
        <f>IFERROR(INDEX($P$4:$P$56,_xlfn.AGGREGATE(15,6,(ROW($B$4:$B$56)-ROW($B$4)+1)/((ISNUMBER($B$4:$B$56))*((($H$4:$H$56&gt;=0.5)+($L$4:$L$56&gt;=0.5))&gt;0)),ROWS($T$5:T21))),"")</f>
        <v/>
      </c>
      <c r="AH21" s="1079" t="str">
        <f t="shared" si="2"/>
        <v/>
      </c>
    </row>
    <row r="22" spans="2:34" s="17" customFormat="1" ht="36" thickBot="1">
      <c r="B22" s="64">
        <f>+'EM-TUN'!B24</f>
        <v>19</v>
      </c>
      <c r="C22" s="25" t="str">
        <f>+'EM-TUN'!C24</f>
        <v>FILETE LP C/M C/T ENTERO 2.0-4.0 kg/pza</v>
      </c>
      <c r="D22" s="195">
        <f>+'RES-EN'!R24</f>
        <v>0</v>
      </c>
      <c r="E22" s="68">
        <f>+'ENV. PLACAS'!AD24</f>
        <v>0</v>
      </c>
      <c r="F22" s="368">
        <f>+'EM-TUN'!CC24</f>
        <v>0</v>
      </c>
      <c r="G22" s="69">
        <f>+'EM-PLA'!BC24</f>
        <v>0</v>
      </c>
      <c r="H22" s="1493">
        <f>+Tabla3[[#This Row],[TOTAL DE BULTOS ENVASADO TUNEL]]-(Tabla3[[#This Row],[TOTAL DE BULTOS EMPAQUE TUNEL]])</f>
        <v>0</v>
      </c>
      <c r="I22" s="1058" t="str">
        <f t="shared" si="0"/>
        <v>CUADRADO</v>
      </c>
      <c r="J22" s="1061">
        <f t="shared" si="3"/>
        <v>0</v>
      </c>
      <c r="K22" s="1620" t="str">
        <f>IF($C22="","",IFERROR(IF(INDEX(COLORES!$D:$D,MATCH($C22,COLORES!$C:$C,0))=0,"",INDEX(COLORES!$D:$D,MATCH($C22,COLORES!$C:$C,0))),IFERROR(IF(INDEX(COLORES!$D:$D,MATCH($C22&amp;"S",COLORES!$C:$C,0))=0,"",INDEX(COLORES!$D:$D,MATCH($C22&amp;"S",COLORES!$C:$C,0))),"")))</f>
        <v>BLANCO</v>
      </c>
      <c r="L22" s="1059">
        <f>Tabla3[[#This Row],[TOTAL DE BULTOS ENVASADO PLACAS]]-Tabla3[[#This Row],[TOTAL DE BULTOS EMPAQUE PLACAS]]</f>
        <v>0</v>
      </c>
      <c r="M22" s="1058" t="str">
        <f t="shared" si="1"/>
        <v>CUADRADO</v>
      </c>
      <c r="N22" s="1060">
        <f t="shared" si="4"/>
        <v>0</v>
      </c>
      <c r="O22" s="195">
        <f>+Tabla3[[#This Row],[TOTAL DE BULTOS ENVASADO TUNEL]]+Tabla3[[#This Row],[TOTAL DE BULTOS ENVASADO PLACAS]]</f>
        <v>0</v>
      </c>
      <c r="P22" s="68">
        <f>+Tabla3[[#This Row],[TOTAL DE BULTOS EMPAQUE TUNEL]]+Tabla3[[#This Row],[TOTAL DE BULTOS EMPAQUE PLACAS]]</f>
        <v>0</v>
      </c>
      <c r="Q22" s="2027"/>
      <c r="R22" s="2027"/>
      <c r="S22" s="2027"/>
      <c r="T22" s="1073" t="str">
        <f>IFERROR(INDEX($B$4:$B$56,_xlfn.AGGREGATE(15,6,(ROW($B$4:$B$56)-ROW($B$4)+1)/((ISNUMBER($B$4:$B$56))*((($H$4:$H$56&gt;=0.5)+($L$4:$L$56&gt;=0.5))&gt;0)),ROWS($T$5:T22))),"")</f>
        <v/>
      </c>
      <c r="U22" s="1076" t="str">
        <f>IFERROR(INDEX($C$4:$C$56,_xlfn.AGGREGATE(15,6,(ROW($B$4:$B$56)-ROW($B$4)+1)/((ISNUMBER($B$4:$B$56))*((($H$4:$H$56&gt;=0.5)+($L$4:$L$56&gt;=0.5))&gt;0)),ROWS($T$5:T22))),"")</f>
        <v/>
      </c>
      <c r="V22" s="1080" t="str">
        <f>IFERROR(INDEX($D$4:$D$56,_xlfn.AGGREGATE(15,6,(ROW($B$4:$B$56)-ROW($B$4)+1)/((ISNUMBER($B$4:$B$56))*((($H$4:$H$56&gt;=0.5)+($L$4:$L$56&gt;=0.5))&gt;0)),ROWS($T$5:T22))),"")</f>
        <v/>
      </c>
      <c r="W22" s="1081" t="str">
        <f>IFERROR(INDEX($E$4:$E$56,_xlfn.AGGREGATE(15,6,(ROW($B$4:$B$56)-ROW($B$4)+1)/((ISNUMBER($B$4:$B$56))*((($H$4:$H$56&gt;=0.5)+($L$4:$L$56&gt;=0.5))&gt;0)),ROWS($T$5:T22))),"")</f>
        <v/>
      </c>
      <c r="X22" s="1081" t="str">
        <f>IFERROR(INDEX($F$4:$F$56,_xlfn.AGGREGATE(15,6,(ROW($B$4:$B$56)-ROW($B$4)+1)/((ISNUMBER($B$4:$B$56))*((($H$4:$H$56&gt;=0.5)+($L$4:$L$56&gt;=0.5))&gt;0)),ROWS($T$5:T22))),"")</f>
        <v/>
      </c>
      <c r="Y22" s="1082" t="str">
        <f>IFERROR(INDEX($G$4:$G$56,_xlfn.AGGREGATE(15,6,(ROW($B$4:$B$56)-ROW($B$4)+1)/((ISNUMBER($B$4:$B$56))*((($H$4:$H$56&gt;=0.5)+($L$4:$L$56&gt;=0.5))&gt;0)),ROWS($T$5:T22))),"")</f>
        <v/>
      </c>
      <c r="Z22" s="1083" t="str">
        <f>IFERROR(INDEX($H$4:$H$56,_xlfn.AGGREGATE(15,6,(ROW($B$4:$B$56)-ROW($B$4)+1)/((ISNUMBER($B$4:$B$56))*((($H$4:$H$56&gt;=0.5)+($L$4:$L$56&gt;=0.5))&gt;0)),ROWS($T$5:T22))),"")</f>
        <v/>
      </c>
      <c r="AA22" s="1074" t="str">
        <f>IFERROR(INDEX($I$4:$I$56,_xlfn.AGGREGATE(15,6,(ROW($B$4:$B$56)-ROW($B$4)+1)/((ISNUMBER($B$4:$B$56))*((($H$4:$H$56&gt;=0.5)+($L$4:$L$56&gt;=0.5))&gt;0)),ROWS($T$5:T22))),"")</f>
        <v/>
      </c>
      <c r="AB22" s="1077" t="str">
        <f>IFERROR(INDEX($J$4:$J$56,_xlfn.AGGREGATE(15,6,(ROW($B$4:$B$56)-ROW($B$4)+1)/((ISNUMBER($B$4:$B$56))*((($H$4:$H$56&gt;=0.5)+($L$4:$L$56&gt;=0.5))&gt;0)),ROWS($T$5:T22))),"")</f>
        <v/>
      </c>
      <c r="AC22" s="1084" t="str">
        <f>IFERROR(INDEX($L$4:$L$56,_xlfn.AGGREGATE(15,6,(ROW($B$4:$B$56)-ROW($B$4)+1)/((ISNUMBER($B$4:$B$56))*((($H$4:$H$56&gt;=0.5)+($L$4:$L$56&gt;=0.5))&gt;0)),ROWS($T$5:T22))),"")</f>
        <v/>
      </c>
      <c r="AD22" s="1075" t="str">
        <f>IFERROR(INDEX($M$4:$M$56,_xlfn.AGGREGATE(15,6,(ROW($B$4:$B$56)-ROW($B$4)+1)/((ISNUMBER($B$4:$B$56))*((($H$4:$H$56&gt;=0.5)+($L$4:$L$56&gt;=0.5))&gt;0)),ROWS($T$5:T22))),"")</f>
        <v/>
      </c>
      <c r="AE22" s="1078" t="str">
        <f>IFERROR(INDEX($N$4:$N$56,_xlfn.AGGREGATE(15,6,(ROW($B$4:$B$56)-ROW($B$4)+1)/((ISNUMBER($B$4:$B$56))*((($H$4:$H$56&gt;=0.5)+($L$4:$L$56&gt;=0.5))&gt;0)),ROWS($T$5:T22))),"")</f>
        <v/>
      </c>
      <c r="AF22" s="1085" t="str">
        <f>IFERROR(INDEX($O$4:$O$56,_xlfn.AGGREGATE(15,6,(ROW($B$4:$B$56)-ROW($B$4)+1)/((ISNUMBER($B$4:$B$56))*((($H$4:$H$56&gt;=0.5)+($L$4:$L$56&gt;=0.5))&gt;0)),ROWS($T$5:T22))),"")</f>
        <v/>
      </c>
      <c r="AG22" s="1086" t="str">
        <f>IFERROR(INDEX($P$4:$P$56,_xlfn.AGGREGATE(15,6,(ROW($B$4:$B$56)-ROW($B$4)+1)/((ISNUMBER($B$4:$B$56))*((($H$4:$H$56&gt;=0.5)+($L$4:$L$56&gt;=0.5))&gt;0)),ROWS($T$5:T22))),"")</f>
        <v/>
      </c>
      <c r="AH22" s="1079" t="str">
        <f t="shared" si="2"/>
        <v/>
      </c>
    </row>
    <row r="23" spans="2:34" s="17" customFormat="1" ht="36" thickBot="1">
      <c r="B23" s="64">
        <f>+'EM-TUN'!B25</f>
        <v>20</v>
      </c>
      <c r="C23" s="25" t="str">
        <f>+'EM-TUN'!C25</f>
        <v>MANTO BLANCO C/M C/T 500-1000 g/pza</v>
      </c>
      <c r="D23" s="195">
        <f>+'RES-EN'!R25</f>
        <v>0</v>
      </c>
      <c r="E23" s="68">
        <f>+'ENV. PLACAS'!AD25</f>
        <v>0</v>
      </c>
      <c r="F23" s="368">
        <f>+'EM-TUN'!CC25</f>
        <v>0</v>
      </c>
      <c r="G23" s="69">
        <f>+'EM-PLA'!BC25</f>
        <v>0</v>
      </c>
      <c r="H23" s="1493">
        <f>+Tabla3[[#This Row],[TOTAL DE BULTOS ENVASADO TUNEL]]-(Tabla3[[#This Row],[TOTAL DE BULTOS EMPAQUE TUNEL]])</f>
        <v>0</v>
      </c>
      <c r="I23" s="1058" t="str">
        <f t="shared" si="0"/>
        <v>CUADRADO</v>
      </c>
      <c r="J23" s="1061">
        <f t="shared" si="3"/>
        <v>0</v>
      </c>
      <c r="K23" s="1624" t="str">
        <f>IF($C23="","",IFERROR(IF(INDEX(COLORES!$D:$D,MATCH($C23,COLORES!$C:$C,0))=0,"",INDEX(COLORES!$D:$D,MATCH($C23,COLORES!$C:$C,0))),IFERROR(IF(INDEX(COLORES!$D:$D,MATCH($C23&amp;"S",COLORES!$C:$C,0))=0,"",INDEX(COLORES!$D:$D,MATCH($C23&amp;"S",COLORES!$C:$C,0))),"")))</f>
        <v>NARANJA</v>
      </c>
      <c r="L23" s="1059">
        <f>Tabla3[[#This Row],[TOTAL DE BULTOS ENVASADO PLACAS]]-Tabla3[[#This Row],[TOTAL DE BULTOS EMPAQUE PLACAS]]</f>
        <v>0</v>
      </c>
      <c r="M23" s="1058" t="str">
        <f t="shared" si="1"/>
        <v>CUADRADO</v>
      </c>
      <c r="N23" s="1060">
        <f t="shared" si="4"/>
        <v>0</v>
      </c>
      <c r="O23" s="195">
        <f>+Tabla3[[#This Row],[TOTAL DE BULTOS ENVASADO TUNEL]]+Tabla3[[#This Row],[TOTAL DE BULTOS ENVASADO PLACAS]]</f>
        <v>0</v>
      </c>
      <c r="P23" s="68">
        <f>+Tabla3[[#This Row],[TOTAL DE BULTOS EMPAQUE TUNEL]]+Tabla3[[#This Row],[TOTAL DE BULTOS EMPAQUE PLACAS]]</f>
        <v>0</v>
      </c>
      <c r="Q23" s="2027"/>
      <c r="R23" s="2027"/>
      <c r="S23" s="2027"/>
      <c r="T23" s="1073" t="str">
        <f>IFERROR(INDEX($B$4:$B$56,_xlfn.AGGREGATE(15,6,(ROW($B$4:$B$56)-ROW($B$4)+1)/((ISNUMBER($B$4:$B$56))*((($H$4:$H$56&gt;=0.5)+($L$4:$L$56&gt;=0.5))&gt;0)),ROWS($T$5:T23))),"")</f>
        <v/>
      </c>
      <c r="U23" s="1076" t="str">
        <f>IFERROR(INDEX($C$4:$C$56,_xlfn.AGGREGATE(15,6,(ROW($B$4:$B$56)-ROW($B$4)+1)/((ISNUMBER($B$4:$B$56))*((($H$4:$H$56&gt;=0.5)+($L$4:$L$56&gt;=0.5))&gt;0)),ROWS($T$5:T23))),"")</f>
        <v/>
      </c>
      <c r="V23" s="1080" t="str">
        <f>IFERROR(INDEX($D$4:$D$56,_xlfn.AGGREGATE(15,6,(ROW($B$4:$B$56)-ROW($B$4)+1)/((ISNUMBER($B$4:$B$56))*((($H$4:$H$56&gt;=0.5)+($L$4:$L$56&gt;=0.5))&gt;0)),ROWS($T$5:T23))),"")</f>
        <v/>
      </c>
      <c r="W23" s="1081" t="str">
        <f>IFERROR(INDEX($E$4:$E$56,_xlfn.AGGREGATE(15,6,(ROW($B$4:$B$56)-ROW($B$4)+1)/((ISNUMBER($B$4:$B$56))*((($H$4:$H$56&gt;=0.5)+($L$4:$L$56&gt;=0.5))&gt;0)),ROWS($T$5:T23))),"")</f>
        <v/>
      </c>
      <c r="X23" s="1081" t="str">
        <f>IFERROR(INDEX($F$4:$F$56,_xlfn.AGGREGATE(15,6,(ROW($B$4:$B$56)-ROW($B$4)+1)/((ISNUMBER($B$4:$B$56))*((($H$4:$H$56&gt;=0.5)+($L$4:$L$56&gt;=0.5))&gt;0)),ROWS($T$5:T23))),"")</f>
        <v/>
      </c>
      <c r="Y23" s="1082" t="str">
        <f>IFERROR(INDEX($G$4:$G$56,_xlfn.AGGREGATE(15,6,(ROW($B$4:$B$56)-ROW($B$4)+1)/((ISNUMBER($B$4:$B$56))*((($H$4:$H$56&gt;=0.5)+($L$4:$L$56&gt;=0.5))&gt;0)),ROWS($T$5:T23))),"")</f>
        <v/>
      </c>
      <c r="Z23" s="1083" t="str">
        <f>IFERROR(INDEX($H$4:$H$56,_xlfn.AGGREGATE(15,6,(ROW($B$4:$B$56)-ROW($B$4)+1)/((ISNUMBER($B$4:$B$56))*((($H$4:$H$56&gt;=0.5)+($L$4:$L$56&gt;=0.5))&gt;0)),ROWS($T$5:T23))),"")</f>
        <v/>
      </c>
      <c r="AA23" s="1074" t="str">
        <f>IFERROR(INDEX($I$4:$I$56,_xlfn.AGGREGATE(15,6,(ROW($B$4:$B$56)-ROW($B$4)+1)/((ISNUMBER($B$4:$B$56))*((($H$4:$H$56&gt;=0.5)+($L$4:$L$56&gt;=0.5))&gt;0)),ROWS($T$5:T23))),"")</f>
        <v/>
      </c>
      <c r="AB23" s="1077" t="str">
        <f>IFERROR(INDEX($J$4:$J$56,_xlfn.AGGREGATE(15,6,(ROW($B$4:$B$56)-ROW($B$4)+1)/((ISNUMBER($B$4:$B$56))*((($H$4:$H$56&gt;=0.5)+($L$4:$L$56&gt;=0.5))&gt;0)),ROWS($T$5:T23))),"")</f>
        <v/>
      </c>
      <c r="AC23" s="1084" t="str">
        <f>IFERROR(INDEX($L$4:$L$56,_xlfn.AGGREGATE(15,6,(ROW($B$4:$B$56)-ROW($B$4)+1)/((ISNUMBER($B$4:$B$56))*((($H$4:$H$56&gt;=0.5)+($L$4:$L$56&gt;=0.5))&gt;0)),ROWS($T$5:T23))),"")</f>
        <v/>
      </c>
      <c r="AD23" s="1075" t="str">
        <f>IFERROR(INDEX($M$4:$M$56,_xlfn.AGGREGATE(15,6,(ROW($B$4:$B$56)-ROW($B$4)+1)/((ISNUMBER($B$4:$B$56))*((($H$4:$H$56&gt;=0.5)+($L$4:$L$56&gt;=0.5))&gt;0)),ROWS($T$5:T23))),"")</f>
        <v/>
      </c>
      <c r="AE23" s="1078" t="str">
        <f>IFERROR(INDEX($N$4:$N$56,_xlfn.AGGREGATE(15,6,(ROW($B$4:$B$56)-ROW($B$4)+1)/((ISNUMBER($B$4:$B$56))*((($H$4:$H$56&gt;=0.5)+($L$4:$L$56&gt;=0.5))&gt;0)),ROWS($T$5:T23))),"")</f>
        <v/>
      </c>
      <c r="AF23" s="1085" t="str">
        <f>IFERROR(INDEX($O$4:$O$56,_xlfn.AGGREGATE(15,6,(ROW($B$4:$B$56)-ROW($B$4)+1)/((ISNUMBER($B$4:$B$56))*((($H$4:$H$56&gt;=0.5)+($L$4:$L$56&gt;=0.5))&gt;0)),ROWS($T$5:T23))),"")</f>
        <v/>
      </c>
      <c r="AG23" s="1086" t="str">
        <f>IFERROR(INDEX($P$4:$P$56,_xlfn.AGGREGATE(15,6,(ROW($B$4:$B$56)-ROW($B$4)+1)/((ISNUMBER($B$4:$B$56))*((($H$4:$H$56&gt;=0.5)+($L$4:$L$56&gt;=0.5))&gt;0)),ROWS($T$5:T23))),"")</f>
        <v/>
      </c>
      <c r="AH23" s="1079" t="str">
        <f t="shared" si="2"/>
        <v/>
      </c>
    </row>
    <row r="24" spans="2:34" s="17" customFormat="1" ht="36" thickBot="1">
      <c r="B24" s="64">
        <f>+'EM-TUN'!B26</f>
        <v>21</v>
      </c>
      <c r="C24" s="25" t="str">
        <f>+'EM-TUN'!C26</f>
        <v>MANTO BLANCO C/M C/T 1.0-2.0 kg/pza</v>
      </c>
      <c r="D24" s="195">
        <f>+'RES-EN'!R26</f>
        <v>0</v>
      </c>
      <c r="E24" s="68">
        <f>+'ENV. PLACAS'!AD26</f>
        <v>0</v>
      </c>
      <c r="F24" s="368">
        <f>+'EM-TUN'!CC26</f>
        <v>0</v>
      </c>
      <c r="G24" s="69">
        <f>+'EM-PLA'!BC26</f>
        <v>0</v>
      </c>
      <c r="H24" s="1493">
        <f>+Tabla3[[#This Row],[TOTAL DE BULTOS ENVASADO TUNEL]]-(Tabla3[[#This Row],[TOTAL DE BULTOS EMPAQUE TUNEL]])</f>
        <v>0</v>
      </c>
      <c r="I24" s="1057" t="str">
        <f t="shared" si="0"/>
        <v>CUADRADO</v>
      </c>
      <c r="J24" s="1061">
        <f t="shared" si="3"/>
        <v>0</v>
      </c>
      <c r="K24" s="1619" t="str">
        <f>IF($C24="","",IFERROR(IF(INDEX(COLORES!$D:$D,MATCH($C24,COLORES!$C:$C,0))=0,"",INDEX(COLORES!$D:$D,MATCH($C24,COLORES!$C:$C,0))),IFERROR(IF(INDEX(COLORES!$D:$D,MATCH($C24&amp;"S",COLORES!$C:$C,0))=0,"",INDEX(COLORES!$D:$D,MATCH($C24&amp;"S",COLORES!$C:$C,0))),"")))</f>
        <v>LILA</v>
      </c>
      <c r="L24" s="1059">
        <f>Tabla3[[#This Row],[TOTAL DE BULTOS ENVASADO PLACAS]]-Tabla3[[#This Row],[TOTAL DE BULTOS EMPAQUE PLACAS]]</f>
        <v>0</v>
      </c>
      <c r="M24" s="1057" t="str">
        <f t="shared" si="1"/>
        <v>CUADRADO</v>
      </c>
      <c r="N24" s="1060">
        <f t="shared" si="4"/>
        <v>0</v>
      </c>
      <c r="O24" s="195">
        <f>+Tabla3[[#This Row],[TOTAL DE BULTOS ENVASADO TUNEL]]+Tabla3[[#This Row],[TOTAL DE BULTOS ENVASADO PLACAS]]</f>
        <v>0</v>
      </c>
      <c r="P24" s="68">
        <f>+Tabla3[[#This Row],[TOTAL DE BULTOS EMPAQUE TUNEL]]+Tabla3[[#This Row],[TOTAL DE BULTOS EMPAQUE PLACAS]]</f>
        <v>0</v>
      </c>
      <c r="Q24" s="2027"/>
      <c r="R24" s="2027"/>
      <c r="S24" s="2027"/>
      <c r="T24" s="1073" t="str">
        <f>IFERROR(INDEX($B$4:$B$56,_xlfn.AGGREGATE(15,6,(ROW($B$4:$B$56)-ROW($B$4)+1)/((ISNUMBER($B$4:$B$56))*((($H$4:$H$56&gt;=0.5)+($L$4:$L$56&gt;=0.5))&gt;0)),ROWS($T$5:T24))),"")</f>
        <v/>
      </c>
      <c r="U24" s="1076" t="str">
        <f>IFERROR(INDEX($C$4:$C$56,_xlfn.AGGREGATE(15,6,(ROW($B$4:$B$56)-ROW($B$4)+1)/((ISNUMBER($B$4:$B$56))*((($H$4:$H$56&gt;=0.5)+($L$4:$L$56&gt;=0.5))&gt;0)),ROWS($T$5:T24))),"")</f>
        <v/>
      </c>
      <c r="V24" s="1080" t="str">
        <f>IFERROR(INDEX($D$4:$D$56,_xlfn.AGGREGATE(15,6,(ROW($B$4:$B$56)-ROW($B$4)+1)/((ISNUMBER($B$4:$B$56))*((($H$4:$H$56&gt;=0.5)+($L$4:$L$56&gt;=0.5))&gt;0)),ROWS($T$5:T24))),"")</f>
        <v/>
      </c>
      <c r="W24" s="1081" t="str">
        <f>IFERROR(INDEX($E$4:$E$56,_xlfn.AGGREGATE(15,6,(ROW($B$4:$B$56)-ROW($B$4)+1)/((ISNUMBER($B$4:$B$56))*((($H$4:$H$56&gt;=0.5)+($L$4:$L$56&gt;=0.5))&gt;0)),ROWS($T$5:T24))),"")</f>
        <v/>
      </c>
      <c r="X24" s="1081" t="str">
        <f>IFERROR(INDEX($F$4:$F$56,_xlfn.AGGREGATE(15,6,(ROW($B$4:$B$56)-ROW($B$4)+1)/((ISNUMBER($B$4:$B$56))*((($H$4:$H$56&gt;=0.5)+($L$4:$L$56&gt;=0.5))&gt;0)),ROWS($T$5:T24))),"")</f>
        <v/>
      </c>
      <c r="Y24" s="1082" t="str">
        <f>IFERROR(INDEX($G$4:$G$56,_xlfn.AGGREGATE(15,6,(ROW($B$4:$B$56)-ROW($B$4)+1)/((ISNUMBER($B$4:$B$56))*((($H$4:$H$56&gt;=0.5)+($L$4:$L$56&gt;=0.5))&gt;0)),ROWS($T$5:T24))),"")</f>
        <v/>
      </c>
      <c r="Z24" s="1083" t="str">
        <f>IFERROR(INDEX($H$4:$H$56,_xlfn.AGGREGATE(15,6,(ROW($B$4:$B$56)-ROW($B$4)+1)/((ISNUMBER($B$4:$B$56))*((($H$4:$H$56&gt;=0.5)+($L$4:$L$56&gt;=0.5))&gt;0)),ROWS($T$5:T24))),"")</f>
        <v/>
      </c>
      <c r="AA24" s="1074" t="str">
        <f>IFERROR(INDEX($I$4:$I$56,_xlfn.AGGREGATE(15,6,(ROW($B$4:$B$56)-ROW($B$4)+1)/((ISNUMBER($B$4:$B$56))*((($H$4:$H$56&gt;=0.5)+($L$4:$L$56&gt;=0.5))&gt;0)),ROWS($T$5:T24))),"")</f>
        <v/>
      </c>
      <c r="AB24" s="1077" t="str">
        <f>IFERROR(INDEX($J$4:$J$56,_xlfn.AGGREGATE(15,6,(ROW($B$4:$B$56)-ROW($B$4)+1)/((ISNUMBER($B$4:$B$56))*((($H$4:$H$56&gt;=0.5)+($L$4:$L$56&gt;=0.5))&gt;0)),ROWS($T$5:T24))),"")</f>
        <v/>
      </c>
      <c r="AC24" s="1084" t="str">
        <f>IFERROR(INDEX($L$4:$L$56,_xlfn.AGGREGATE(15,6,(ROW($B$4:$B$56)-ROW($B$4)+1)/((ISNUMBER($B$4:$B$56))*((($H$4:$H$56&gt;=0.5)+($L$4:$L$56&gt;=0.5))&gt;0)),ROWS($T$5:T24))),"")</f>
        <v/>
      </c>
      <c r="AD24" s="1075" t="str">
        <f>IFERROR(INDEX($M$4:$M$56,_xlfn.AGGREGATE(15,6,(ROW($B$4:$B$56)-ROW($B$4)+1)/((ISNUMBER($B$4:$B$56))*((($H$4:$H$56&gt;=0.5)+($L$4:$L$56&gt;=0.5))&gt;0)),ROWS($T$5:T24))),"")</f>
        <v/>
      </c>
      <c r="AE24" s="1078" t="str">
        <f>IFERROR(INDEX($N$4:$N$56,_xlfn.AGGREGATE(15,6,(ROW($B$4:$B$56)-ROW($B$4)+1)/((ISNUMBER($B$4:$B$56))*((($H$4:$H$56&gt;=0.5)+($L$4:$L$56&gt;=0.5))&gt;0)),ROWS($T$5:T24))),"")</f>
        <v/>
      </c>
      <c r="AF24" s="1085" t="str">
        <f>IFERROR(INDEX($O$4:$O$56,_xlfn.AGGREGATE(15,6,(ROW($B$4:$B$56)-ROW($B$4)+1)/((ISNUMBER($B$4:$B$56))*((($H$4:$H$56&gt;=0.5)+($L$4:$L$56&gt;=0.5))&gt;0)),ROWS($T$5:T24))),"")</f>
        <v/>
      </c>
      <c r="AG24" s="1086" t="str">
        <f>IFERROR(INDEX($P$4:$P$56,_xlfn.AGGREGATE(15,6,(ROW($B$4:$B$56)-ROW($B$4)+1)/((ISNUMBER($B$4:$B$56))*((($H$4:$H$56&gt;=0.5)+($L$4:$L$56&gt;=0.5))&gt;0)),ROWS($T$5:T24))),"")</f>
        <v/>
      </c>
      <c r="AH24" s="1079" t="str">
        <f t="shared" si="2"/>
        <v/>
      </c>
    </row>
    <row r="25" spans="2:34" s="17" customFormat="1" ht="36" thickBot="1">
      <c r="B25" s="64">
        <f>+'EM-TUN'!B27</f>
        <v>22</v>
      </c>
      <c r="C25" s="25" t="str">
        <f>+'EM-TUN'!C27</f>
        <v>MANTO BLANCO C/M C/T 2.0-4.0 kg/pza</v>
      </c>
      <c r="D25" s="195">
        <f>+'RES-EN'!R27</f>
        <v>0</v>
      </c>
      <c r="E25" s="68">
        <f>+'ENV. PLACAS'!AD27</f>
        <v>0</v>
      </c>
      <c r="F25" s="368">
        <f>+'EM-TUN'!CC27</f>
        <v>0</v>
      </c>
      <c r="G25" s="69">
        <f>+'EM-PLA'!BC27</f>
        <v>0</v>
      </c>
      <c r="H25" s="1493">
        <f>+Tabla3[[#This Row],[TOTAL DE BULTOS ENVASADO TUNEL]]-(Tabla3[[#This Row],[TOTAL DE BULTOS EMPAQUE TUNEL]])</f>
        <v>0</v>
      </c>
      <c r="I25" s="1057" t="str">
        <f t="shared" si="0"/>
        <v>CUADRADO</v>
      </c>
      <c r="J25" s="1061">
        <f t="shared" si="3"/>
        <v>0</v>
      </c>
      <c r="K25" s="1626" t="str">
        <f>IF($C25="","",IFERROR(IF(INDEX(COLORES!$D:$D,MATCH($C25,COLORES!$C:$C,0))=0,"",INDEX(COLORES!$D:$D,MATCH($C25,COLORES!$C:$C,0))),IFERROR(IF(INDEX(COLORES!$D:$D,MATCH($C25&amp;"S",COLORES!$C:$C,0))=0,"",INDEX(COLORES!$D:$D,MATCH($C25&amp;"S",COLORES!$C:$C,0))),"")))</f>
        <v>AZUL</v>
      </c>
      <c r="L25" s="1059">
        <f>Tabla3[[#This Row],[TOTAL DE BULTOS ENVASADO PLACAS]]-Tabla3[[#This Row],[TOTAL DE BULTOS EMPAQUE PLACAS]]</f>
        <v>0</v>
      </c>
      <c r="M25" s="1058" t="str">
        <f t="shared" si="1"/>
        <v>CUADRADO</v>
      </c>
      <c r="N25" s="1060">
        <f t="shared" si="4"/>
        <v>0</v>
      </c>
      <c r="O25" s="195">
        <f>+Tabla3[[#This Row],[TOTAL DE BULTOS ENVASADO TUNEL]]+Tabla3[[#This Row],[TOTAL DE BULTOS ENVASADO PLACAS]]</f>
        <v>0</v>
      </c>
      <c r="P25" s="68">
        <f>+Tabla3[[#This Row],[TOTAL DE BULTOS EMPAQUE TUNEL]]+Tabla3[[#This Row],[TOTAL DE BULTOS EMPAQUE PLACAS]]</f>
        <v>0</v>
      </c>
      <c r="Q25" s="2027"/>
      <c r="R25" s="2027"/>
      <c r="S25" s="2027"/>
      <c r="T25" s="1073" t="str">
        <f>IFERROR(INDEX($B$4:$B$56,_xlfn.AGGREGATE(15,6,(ROW($B$4:$B$56)-ROW($B$4)+1)/((ISNUMBER($B$4:$B$56))*((($H$4:$H$56&gt;=0.5)+($L$4:$L$56&gt;=0.5))&gt;0)),ROWS($T$5:T25))),"")</f>
        <v/>
      </c>
      <c r="U25" s="1076" t="str">
        <f>IFERROR(INDEX($C$4:$C$56,_xlfn.AGGREGATE(15,6,(ROW($B$4:$B$56)-ROW($B$4)+1)/((ISNUMBER($B$4:$B$56))*((($H$4:$H$56&gt;=0.5)+($L$4:$L$56&gt;=0.5))&gt;0)),ROWS($T$5:T25))),"")</f>
        <v/>
      </c>
      <c r="V25" s="1080" t="str">
        <f>IFERROR(INDEX($D$4:$D$56,_xlfn.AGGREGATE(15,6,(ROW($B$4:$B$56)-ROW($B$4)+1)/((ISNUMBER($B$4:$B$56))*((($H$4:$H$56&gt;=0.5)+($L$4:$L$56&gt;=0.5))&gt;0)),ROWS($T$5:T25))),"")</f>
        <v/>
      </c>
      <c r="W25" s="1081" t="str">
        <f>IFERROR(INDEX($E$4:$E$56,_xlfn.AGGREGATE(15,6,(ROW($B$4:$B$56)-ROW($B$4)+1)/((ISNUMBER($B$4:$B$56))*((($H$4:$H$56&gt;=0.5)+($L$4:$L$56&gt;=0.5))&gt;0)),ROWS($T$5:T25))),"")</f>
        <v/>
      </c>
      <c r="X25" s="1081" t="str">
        <f>IFERROR(INDEX($F$4:$F$56,_xlfn.AGGREGATE(15,6,(ROW($B$4:$B$56)-ROW($B$4)+1)/((ISNUMBER($B$4:$B$56))*((($H$4:$H$56&gt;=0.5)+($L$4:$L$56&gt;=0.5))&gt;0)),ROWS($T$5:T25))),"")</f>
        <v/>
      </c>
      <c r="Y25" s="1082" t="str">
        <f>IFERROR(INDEX($G$4:$G$56,_xlfn.AGGREGATE(15,6,(ROW($B$4:$B$56)-ROW($B$4)+1)/((ISNUMBER($B$4:$B$56))*((($H$4:$H$56&gt;=0.5)+($L$4:$L$56&gt;=0.5))&gt;0)),ROWS($T$5:T25))),"")</f>
        <v/>
      </c>
      <c r="Z25" s="1083" t="str">
        <f>IFERROR(INDEX($H$4:$H$56,_xlfn.AGGREGATE(15,6,(ROW($B$4:$B$56)-ROW($B$4)+1)/((ISNUMBER($B$4:$B$56))*((($H$4:$H$56&gt;=0.5)+($L$4:$L$56&gt;=0.5))&gt;0)),ROWS($T$5:T25))),"")</f>
        <v/>
      </c>
      <c r="AA25" s="1074" t="str">
        <f>IFERROR(INDEX($I$4:$I$56,_xlfn.AGGREGATE(15,6,(ROW($B$4:$B$56)-ROW($B$4)+1)/((ISNUMBER($B$4:$B$56))*((($H$4:$H$56&gt;=0.5)+($L$4:$L$56&gt;=0.5))&gt;0)),ROWS($T$5:T25))),"")</f>
        <v/>
      </c>
      <c r="AB25" s="1077" t="str">
        <f>IFERROR(INDEX($J$4:$J$56,_xlfn.AGGREGATE(15,6,(ROW($B$4:$B$56)-ROW($B$4)+1)/((ISNUMBER($B$4:$B$56))*((($H$4:$H$56&gt;=0.5)+($L$4:$L$56&gt;=0.5))&gt;0)),ROWS($T$5:T25))),"")</f>
        <v/>
      </c>
      <c r="AC25" s="1084" t="str">
        <f>IFERROR(INDEX($L$4:$L$56,_xlfn.AGGREGATE(15,6,(ROW($B$4:$B$56)-ROW($B$4)+1)/((ISNUMBER($B$4:$B$56))*((($H$4:$H$56&gt;=0.5)+($L$4:$L$56&gt;=0.5))&gt;0)),ROWS($T$5:T25))),"")</f>
        <v/>
      </c>
      <c r="AD25" s="1075" t="str">
        <f>IFERROR(INDEX($M$4:$M$56,_xlfn.AGGREGATE(15,6,(ROW($B$4:$B$56)-ROW($B$4)+1)/((ISNUMBER($B$4:$B$56))*((($H$4:$H$56&gt;=0.5)+($L$4:$L$56&gt;=0.5))&gt;0)),ROWS($T$5:T25))),"")</f>
        <v/>
      </c>
      <c r="AE25" s="1078" t="str">
        <f>IFERROR(INDEX($N$4:$N$56,_xlfn.AGGREGATE(15,6,(ROW($B$4:$B$56)-ROW($B$4)+1)/((ISNUMBER($B$4:$B$56))*((($H$4:$H$56&gt;=0.5)+($L$4:$L$56&gt;=0.5))&gt;0)),ROWS($T$5:T25))),"")</f>
        <v/>
      </c>
      <c r="AF25" s="1085" t="str">
        <f>IFERROR(INDEX($O$4:$O$56,_xlfn.AGGREGATE(15,6,(ROW($B$4:$B$56)-ROW($B$4)+1)/((ISNUMBER($B$4:$B$56))*((($H$4:$H$56&gt;=0.5)+($L$4:$L$56&gt;=0.5))&gt;0)),ROWS($T$5:T25))),"")</f>
        <v/>
      </c>
      <c r="AG25" s="1086" t="str">
        <f>IFERROR(INDEX($P$4:$P$56,_xlfn.AGGREGATE(15,6,(ROW($B$4:$B$56)-ROW($B$4)+1)/((ISNUMBER($B$4:$B$56))*((($H$4:$H$56&gt;=0.5)+($L$4:$L$56&gt;=0.5))&gt;0)),ROWS($T$5:T25))),"")</f>
        <v/>
      </c>
      <c r="AH25" s="1079" t="str">
        <f t="shared" si="2"/>
        <v/>
      </c>
    </row>
    <row r="26" spans="2:34" s="17" customFormat="1" ht="27" thickBot="1">
      <c r="B26" s="64">
        <f>+'EM-TUN'!B28</f>
        <v>23</v>
      </c>
      <c r="C26" s="25" t="str">
        <f>+'EM-TUN'!C28</f>
        <v>MANTO LP C/M C/T 500-1000 g/pza</v>
      </c>
      <c r="D26" s="195">
        <f>+'RES-EN'!R28</f>
        <v>0</v>
      </c>
      <c r="E26" s="68">
        <f>+'ENV. PLACAS'!AD28</f>
        <v>0</v>
      </c>
      <c r="F26" s="368">
        <f>+'EM-TUN'!CC28</f>
        <v>0</v>
      </c>
      <c r="G26" s="69">
        <f>+'EM-PLA'!BC28</f>
        <v>0</v>
      </c>
      <c r="H26" s="1493">
        <f>+Tabla3[[#This Row],[TOTAL DE BULTOS ENVASADO TUNEL]]-(Tabla3[[#This Row],[TOTAL DE BULTOS EMPAQUE TUNEL]])</f>
        <v>0</v>
      </c>
      <c r="I26" s="1057" t="str">
        <f t="shared" si="0"/>
        <v>CUADRADO</v>
      </c>
      <c r="J26" s="1061">
        <f t="shared" si="3"/>
        <v>0</v>
      </c>
      <c r="K26" s="1618" t="str">
        <f>IF($C26="","",IFERROR(IF(INDEX(COLORES!$D:$D,MATCH($C26,COLORES!$C:$C,0))=0,"",INDEX(COLORES!$D:$D,MATCH($C26,COLORES!$C:$C,0))),IFERROR(IF(INDEX(COLORES!$D:$D,MATCH($C26&amp;"S",COLORES!$C:$C,0))=0,"",INDEX(COLORES!$D:$D,MATCH($C26&amp;"S",COLORES!$C:$C,0))),"")))</f>
        <v>NARANJA</v>
      </c>
      <c r="L26" s="1059">
        <f>Tabla3[[#This Row],[TOTAL DE BULTOS ENVASADO PLACAS]]-Tabla3[[#This Row],[TOTAL DE BULTOS EMPAQUE PLACAS]]</f>
        <v>0</v>
      </c>
      <c r="M26" s="1057" t="str">
        <f t="shared" si="1"/>
        <v>CUADRADO</v>
      </c>
      <c r="N26" s="1060">
        <f t="shared" si="4"/>
        <v>0</v>
      </c>
      <c r="O26" s="195">
        <f>+Tabla3[[#This Row],[TOTAL DE BULTOS ENVASADO TUNEL]]+Tabla3[[#This Row],[TOTAL DE BULTOS ENVASADO PLACAS]]</f>
        <v>0</v>
      </c>
      <c r="P26" s="68">
        <f>+Tabla3[[#This Row],[TOTAL DE BULTOS EMPAQUE TUNEL]]+Tabla3[[#This Row],[TOTAL DE BULTOS EMPAQUE PLACAS]]</f>
        <v>0</v>
      </c>
      <c r="Q26" s="192"/>
      <c r="R26" s="26"/>
      <c r="S26" s="26"/>
      <c r="T26" s="1073" t="str">
        <f>IFERROR(INDEX($B$4:$B$56,_xlfn.AGGREGATE(15,6,(ROW($B$4:$B$56)-ROW($B$4)+1)/((ISNUMBER($B$4:$B$56))*((($H$4:$H$56&gt;=0.5)+($L$4:$L$56&gt;=0.5))&gt;0)),ROWS($T$5:T26))),"")</f>
        <v/>
      </c>
      <c r="U26" s="1076" t="str">
        <f>IFERROR(INDEX($C$4:$C$56,_xlfn.AGGREGATE(15,6,(ROW($B$4:$B$56)-ROW($B$4)+1)/((ISNUMBER($B$4:$B$56))*((($H$4:$H$56&gt;=0.5)+($L$4:$L$56&gt;=0.5))&gt;0)),ROWS($T$5:T26))),"")</f>
        <v/>
      </c>
      <c r="V26" s="1080" t="str">
        <f>IFERROR(INDEX($D$4:$D$56,_xlfn.AGGREGATE(15,6,(ROW($B$4:$B$56)-ROW($B$4)+1)/((ISNUMBER($B$4:$B$56))*((($H$4:$H$56&gt;=0.5)+($L$4:$L$56&gt;=0.5))&gt;0)),ROWS($T$5:T26))),"")</f>
        <v/>
      </c>
      <c r="W26" s="1081" t="str">
        <f>IFERROR(INDEX($E$4:$E$56,_xlfn.AGGREGATE(15,6,(ROW($B$4:$B$56)-ROW($B$4)+1)/((ISNUMBER($B$4:$B$56))*((($H$4:$H$56&gt;=0.5)+($L$4:$L$56&gt;=0.5))&gt;0)),ROWS($T$5:T26))),"")</f>
        <v/>
      </c>
      <c r="X26" s="1081" t="str">
        <f>IFERROR(INDEX($F$4:$F$56,_xlfn.AGGREGATE(15,6,(ROW($B$4:$B$56)-ROW($B$4)+1)/((ISNUMBER($B$4:$B$56))*((($H$4:$H$56&gt;=0.5)+($L$4:$L$56&gt;=0.5))&gt;0)),ROWS($T$5:T26))),"")</f>
        <v/>
      </c>
      <c r="Y26" s="1082" t="str">
        <f>IFERROR(INDEX($G$4:$G$56,_xlfn.AGGREGATE(15,6,(ROW($B$4:$B$56)-ROW($B$4)+1)/((ISNUMBER($B$4:$B$56))*((($H$4:$H$56&gt;=0.5)+($L$4:$L$56&gt;=0.5))&gt;0)),ROWS($T$5:T26))),"")</f>
        <v/>
      </c>
      <c r="Z26" s="1083" t="str">
        <f>IFERROR(INDEX($H$4:$H$56,_xlfn.AGGREGATE(15,6,(ROW($B$4:$B$56)-ROW($B$4)+1)/((ISNUMBER($B$4:$B$56))*((($H$4:$H$56&gt;=0.5)+($L$4:$L$56&gt;=0.5))&gt;0)),ROWS($T$5:T26))),"")</f>
        <v/>
      </c>
      <c r="AA26" s="1074" t="str">
        <f>IFERROR(INDEX($I$4:$I$56,_xlfn.AGGREGATE(15,6,(ROW($B$4:$B$56)-ROW($B$4)+1)/((ISNUMBER($B$4:$B$56))*((($H$4:$H$56&gt;=0.5)+($L$4:$L$56&gt;=0.5))&gt;0)),ROWS($T$5:T26))),"")</f>
        <v/>
      </c>
      <c r="AB26" s="1077" t="str">
        <f>IFERROR(INDEX($J$4:$J$56,_xlfn.AGGREGATE(15,6,(ROW($B$4:$B$56)-ROW($B$4)+1)/((ISNUMBER($B$4:$B$56))*((($H$4:$H$56&gt;=0.5)+($L$4:$L$56&gt;=0.5))&gt;0)),ROWS($T$5:T26))),"")</f>
        <v/>
      </c>
      <c r="AC26" s="1084" t="str">
        <f>IFERROR(INDEX($L$4:$L$56,_xlfn.AGGREGATE(15,6,(ROW($B$4:$B$56)-ROW($B$4)+1)/((ISNUMBER($B$4:$B$56))*((($H$4:$H$56&gt;=0.5)+($L$4:$L$56&gt;=0.5))&gt;0)),ROWS($T$5:T26))),"")</f>
        <v/>
      </c>
      <c r="AD26" s="1075" t="str">
        <f>IFERROR(INDEX($M$4:$M$56,_xlfn.AGGREGATE(15,6,(ROW($B$4:$B$56)-ROW($B$4)+1)/((ISNUMBER($B$4:$B$56))*((($H$4:$H$56&gt;=0.5)+($L$4:$L$56&gt;=0.5))&gt;0)),ROWS($T$5:T26))),"")</f>
        <v/>
      </c>
      <c r="AE26" s="1078" t="str">
        <f>IFERROR(INDEX($N$4:$N$56,_xlfn.AGGREGATE(15,6,(ROW($B$4:$B$56)-ROW($B$4)+1)/((ISNUMBER($B$4:$B$56))*((($H$4:$H$56&gt;=0.5)+($L$4:$L$56&gt;=0.5))&gt;0)),ROWS($T$5:T26))),"")</f>
        <v/>
      </c>
      <c r="AF26" s="1085" t="str">
        <f>IFERROR(INDEX($O$4:$O$56,_xlfn.AGGREGATE(15,6,(ROW($B$4:$B$56)-ROW($B$4)+1)/((ISNUMBER($B$4:$B$56))*((($H$4:$H$56&gt;=0.5)+($L$4:$L$56&gt;=0.5))&gt;0)),ROWS($T$5:T26))),"")</f>
        <v/>
      </c>
      <c r="AG26" s="1086" t="str">
        <f>IFERROR(INDEX($P$4:$P$56,_xlfn.AGGREGATE(15,6,(ROW($B$4:$B$56)-ROW($B$4)+1)/((ISNUMBER($B$4:$B$56))*((($H$4:$H$56&gt;=0.5)+($L$4:$L$56&gt;=0.5))&gt;0)),ROWS($T$5:T26))),"")</f>
        <v/>
      </c>
      <c r="AH26" s="1079" t="str">
        <f t="shared" si="2"/>
        <v/>
      </c>
    </row>
    <row r="27" spans="2:34" s="17" customFormat="1" ht="27" thickBot="1">
      <c r="B27" s="64">
        <f>+'EM-TUN'!B29</f>
        <v>24</v>
      </c>
      <c r="C27" s="25" t="str">
        <f>+'EM-TUN'!C29</f>
        <v>MANTO LP C/M C/T 1.0-2.0 Kg/pza</v>
      </c>
      <c r="D27" s="195">
        <f>+'RES-EN'!R29</f>
        <v>0</v>
      </c>
      <c r="E27" s="68">
        <f>+'ENV. PLACAS'!AD29</f>
        <v>0</v>
      </c>
      <c r="F27" s="368">
        <f>+'EM-TUN'!CC29</f>
        <v>0</v>
      </c>
      <c r="G27" s="69">
        <f>+'EM-PLA'!BC29</f>
        <v>0</v>
      </c>
      <c r="H27" s="1493">
        <f>+Tabla3[[#This Row],[TOTAL DE BULTOS ENVASADO TUNEL]]-(Tabla3[[#This Row],[TOTAL DE BULTOS EMPAQUE TUNEL]])</f>
        <v>0</v>
      </c>
      <c r="I27" s="1057" t="str">
        <f t="shared" si="0"/>
        <v>CUADRADO</v>
      </c>
      <c r="J27" s="1061">
        <f t="shared" si="3"/>
        <v>0</v>
      </c>
      <c r="K27" s="1627" t="str">
        <f>IF($C27="","",IFERROR(IF(INDEX(COLORES!$D:$D,MATCH($C27,COLORES!$C:$C,0))=0,"",INDEX(COLORES!$D:$D,MATCH($C27,COLORES!$C:$C,0))),IFERROR(IF(INDEX(COLORES!$D:$D,MATCH($C27&amp;"S",COLORES!$C:$C,0))=0,"",INDEX(COLORES!$D:$D,MATCH($C27&amp;"S",COLORES!$C:$C,0))),"")))</f>
        <v>LILA</v>
      </c>
      <c r="L27" s="1059">
        <f>Tabla3[[#This Row],[TOTAL DE BULTOS ENVASADO PLACAS]]-Tabla3[[#This Row],[TOTAL DE BULTOS EMPAQUE PLACAS]]</f>
        <v>0</v>
      </c>
      <c r="M27" s="1057" t="str">
        <f t="shared" si="1"/>
        <v>CUADRADO</v>
      </c>
      <c r="N27" s="1060">
        <f t="shared" si="4"/>
        <v>0</v>
      </c>
      <c r="O27" s="195">
        <f>+Tabla3[[#This Row],[TOTAL DE BULTOS ENVASADO TUNEL]]+Tabla3[[#This Row],[TOTAL DE BULTOS ENVASADO PLACAS]]</f>
        <v>0</v>
      </c>
      <c r="P27" s="68">
        <f>+Tabla3[[#This Row],[TOTAL DE BULTOS EMPAQUE TUNEL]]+Tabla3[[#This Row],[TOTAL DE BULTOS EMPAQUE PLACAS]]</f>
        <v>0</v>
      </c>
      <c r="Q27" s="192"/>
      <c r="R27" s="26"/>
      <c r="S27" s="26"/>
      <c r="T27" s="1073" t="str">
        <f>IFERROR(INDEX($B$4:$B$56,_xlfn.AGGREGATE(15,6,(ROW($B$4:$B$56)-ROW($B$4)+1)/((ISNUMBER($B$4:$B$56))*((($H$4:$H$56&gt;=0.5)+($L$4:$L$56&gt;=0.5))&gt;0)),ROWS($T$5:T27))),"")</f>
        <v/>
      </c>
      <c r="U27" s="1076" t="str">
        <f>IFERROR(INDEX($C$4:$C$56,_xlfn.AGGREGATE(15,6,(ROW($B$4:$B$56)-ROW($B$4)+1)/((ISNUMBER($B$4:$B$56))*((($H$4:$H$56&gt;=0.5)+($L$4:$L$56&gt;=0.5))&gt;0)),ROWS($T$5:T27))),"")</f>
        <v/>
      </c>
      <c r="V27" s="1080" t="str">
        <f>IFERROR(INDEX($D$4:$D$56,_xlfn.AGGREGATE(15,6,(ROW($B$4:$B$56)-ROW($B$4)+1)/((ISNUMBER($B$4:$B$56))*((($H$4:$H$56&gt;=0.5)+($L$4:$L$56&gt;=0.5))&gt;0)),ROWS($T$5:T27))),"")</f>
        <v/>
      </c>
      <c r="W27" s="1081" t="str">
        <f>IFERROR(INDEX($E$4:$E$56,_xlfn.AGGREGATE(15,6,(ROW($B$4:$B$56)-ROW($B$4)+1)/((ISNUMBER($B$4:$B$56))*((($H$4:$H$56&gt;=0.5)+($L$4:$L$56&gt;=0.5))&gt;0)),ROWS($T$5:T27))),"")</f>
        <v/>
      </c>
      <c r="X27" s="1081" t="str">
        <f>IFERROR(INDEX($F$4:$F$56,_xlfn.AGGREGATE(15,6,(ROW($B$4:$B$56)-ROW($B$4)+1)/((ISNUMBER($B$4:$B$56))*((($H$4:$H$56&gt;=0.5)+($L$4:$L$56&gt;=0.5))&gt;0)),ROWS($T$5:T27))),"")</f>
        <v/>
      </c>
      <c r="Y27" s="1082" t="str">
        <f>IFERROR(INDEX($G$4:$G$56,_xlfn.AGGREGATE(15,6,(ROW($B$4:$B$56)-ROW($B$4)+1)/((ISNUMBER($B$4:$B$56))*((($H$4:$H$56&gt;=0.5)+($L$4:$L$56&gt;=0.5))&gt;0)),ROWS($T$5:T27))),"")</f>
        <v/>
      </c>
      <c r="Z27" s="1083" t="str">
        <f>IFERROR(INDEX($H$4:$H$56,_xlfn.AGGREGATE(15,6,(ROW($B$4:$B$56)-ROW($B$4)+1)/((ISNUMBER($B$4:$B$56))*((($H$4:$H$56&gt;=0.5)+($L$4:$L$56&gt;=0.5))&gt;0)),ROWS($T$5:T27))),"")</f>
        <v/>
      </c>
      <c r="AA27" s="1074" t="str">
        <f>IFERROR(INDEX($I$4:$I$56,_xlfn.AGGREGATE(15,6,(ROW($B$4:$B$56)-ROW($B$4)+1)/((ISNUMBER($B$4:$B$56))*((($H$4:$H$56&gt;=0.5)+($L$4:$L$56&gt;=0.5))&gt;0)),ROWS($T$5:T27))),"")</f>
        <v/>
      </c>
      <c r="AB27" s="1077" t="str">
        <f>IFERROR(INDEX($J$4:$J$56,_xlfn.AGGREGATE(15,6,(ROW($B$4:$B$56)-ROW($B$4)+1)/((ISNUMBER($B$4:$B$56))*((($H$4:$H$56&gt;=0.5)+($L$4:$L$56&gt;=0.5))&gt;0)),ROWS($T$5:T27))),"")</f>
        <v/>
      </c>
      <c r="AC27" s="1084" t="str">
        <f>IFERROR(INDEX($L$4:$L$56,_xlfn.AGGREGATE(15,6,(ROW($B$4:$B$56)-ROW($B$4)+1)/((ISNUMBER($B$4:$B$56))*((($H$4:$H$56&gt;=0.5)+($L$4:$L$56&gt;=0.5))&gt;0)),ROWS($T$5:T27))),"")</f>
        <v/>
      </c>
      <c r="AD27" s="1075" t="str">
        <f>IFERROR(INDEX($M$4:$M$56,_xlfn.AGGREGATE(15,6,(ROW($B$4:$B$56)-ROW($B$4)+1)/((ISNUMBER($B$4:$B$56))*((($H$4:$H$56&gt;=0.5)+($L$4:$L$56&gt;=0.5))&gt;0)),ROWS($T$5:T27))),"")</f>
        <v/>
      </c>
      <c r="AE27" s="1078" t="str">
        <f>IFERROR(INDEX($N$4:$N$56,_xlfn.AGGREGATE(15,6,(ROW($B$4:$B$56)-ROW($B$4)+1)/((ISNUMBER($B$4:$B$56))*((($H$4:$H$56&gt;=0.5)+($L$4:$L$56&gt;=0.5))&gt;0)),ROWS($T$5:T27))),"")</f>
        <v/>
      </c>
      <c r="AF27" s="1085" t="str">
        <f>IFERROR(INDEX($O$4:$O$56,_xlfn.AGGREGATE(15,6,(ROW($B$4:$B$56)-ROW($B$4)+1)/((ISNUMBER($B$4:$B$56))*((($H$4:$H$56&gt;=0.5)+($L$4:$L$56&gt;=0.5))&gt;0)),ROWS($T$5:T27))),"")</f>
        <v/>
      </c>
      <c r="AG27" s="1086" t="str">
        <f>IFERROR(INDEX($P$4:$P$56,_xlfn.AGGREGATE(15,6,(ROW($B$4:$B$56)-ROW($B$4)+1)/((ISNUMBER($B$4:$B$56))*((($H$4:$H$56&gt;=0.5)+($L$4:$L$56&gt;=0.5))&gt;0)),ROWS($T$5:T27))),"")</f>
        <v/>
      </c>
      <c r="AH27" s="1079" t="str">
        <f t="shared" si="2"/>
        <v/>
      </c>
    </row>
    <row r="28" spans="2:34" s="17" customFormat="1" ht="27" thickBot="1">
      <c r="B28" s="64">
        <f>+'EM-TUN'!B30</f>
        <v>25</v>
      </c>
      <c r="C28" s="25" t="str">
        <f>+'EM-TUN'!C30</f>
        <v>MANTO LP C/M C/T 2.0-4.0 Kg/pza</v>
      </c>
      <c r="D28" s="195">
        <f>+'RES-EN'!R30</f>
        <v>0</v>
      </c>
      <c r="E28" s="68">
        <f>+'ENV. PLACAS'!AD30</f>
        <v>0</v>
      </c>
      <c r="F28" s="368">
        <f>+'EM-TUN'!CC30</f>
        <v>0</v>
      </c>
      <c r="G28" s="69">
        <f>+'EM-PLA'!BC30</f>
        <v>0</v>
      </c>
      <c r="H28" s="1493">
        <f>+Tabla3[[#This Row],[TOTAL DE BULTOS ENVASADO TUNEL]]-(Tabla3[[#This Row],[TOTAL DE BULTOS EMPAQUE TUNEL]])</f>
        <v>0</v>
      </c>
      <c r="I28" s="1057" t="str">
        <f t="shared" si="0"/>
        <v>CUADRADO</v>
      </c>
      <c r="J28" s="1061">
        <f t="shared" si="3"/>
        <v>0</v>
      </c>
      <c r="K28" s="1621" t="str">
        <f>IF($C28="","",IFERROR(IF(INDEX(COLORES!$D:$D,MATCH($C28,COLORES!$C:$C,0))=0,"",INDEX(COLORES!$D:$D,MATCH($C28,COLORES!$C:$C,0))),IFERROR(IF(INDEX(COLORES!$D:$D,MATCH($C28&amp;"S",COLORES!$C:$C,0))=0,"",INDEX(COLORES!$D:$D,MATCH($C28&amp;"S",COLORES!$C:$C,0))),"")))</f>
        <v>AZUL</v>
      </c>
      <c r="L28" s="1059">
        <f>Tabla3[[#This Row],[TOTAL DE BULTOS ENVASADO PLACAS]]-Tabla3[[#This Row],[TOTAL DE BULTOS EMPAQUE PLACAS]]</f>
        <v>0</v>
      </c>
      <c r="M28" s="1058" t="str">
        <f t="shared" si="1"/>
        <v>CUADRADO</v>
      </c>
      <c r="N28" s="1060">
        <f t="shared" si="4"/>
        <v>0</v>
      </c>
      <c r="O28" s="195">
        <f>+Tabla3[[#This Row],[TOTAL DE BULTOS ENVASADO TUNEL]]+Tabla3[[#This Row],[TOTAL DE BULTOS ENVASADO PLACAS]]</f>
        <v>0</v>
      </c>
      <c r="P28" s="68">
        <f>+Tabla3[[#This Row],[TOTAL DE BULTOS EMPAQUE TUNEL]]+Tabla3[[#This Row],[TOTAL DE BULTOS EMPAQUE PLACAS]]</f>
        <v>0</v>
      </c>
      <c r="Q28" s="192"/>
      <c r="R28" s="26"/>
      <c r="S28" s="26"/>
      <c r="T28" s="1073" t="str">
        <f>IFERROR(INDEX($B$4:$B$56,_xlfn.AGGREGATE(15,6,(ROW($B$4:$B$56)-ROW($B$4)+1)/((ISNUMBER($B$4:$B$56))*((($H$4:$H$56&gt;=0.5)+($L$4:$L$56&gt;=0.5))&gt;0)),ROWS($T$5:T28))),"")</f>
        <v/>
      </c>
      <c r="U28" s="1076" t="str">
        <f>IFERROR(INDEX($C$4:$C$56,_xlfn.AGGREGATE(15,6,(ROW($B$4:$B$56)-ROW($B$4)+1)/((ISNUMBER($B$4:$B$56))*((($H$4:$H$56&gt;=0.5)+($L$4:$L$56&gt;=0.5))&gt;0)),ROWS($T$5:T28))),"")</f>
        <v/>
      </c>
      <c r="V28" s="1080" t="str">
        <f>IFERROR(INDEX($D$4:$D$56,_xlfn.AGGREGATE(15,6,(ROW($B$4:$B$56)-ROW($B$4)+1)/((ISNUMBER($B$4:$B$56))*((($H$4:$H$56&gt;=0.5)+($L$4:$L$56&gt;=0.5))&gt;0)),ROWS($T$5:T28))),"")</f>
        <v/>
      </c>
      <c r="W28" s="1081" t="str">
        <f>IFERROR(INDEX($E$4:$E$56,_xlfn.AGGREGATE(15,6,(ROW($B$4:$B$56)-ROW($B$4)+1)/((ISNUMBER($B$4:$B$56))*((($H$4:$H$56&gt;=0.5)+($L$4:$L$56&gt;=0.5))&gt;0)),ROWS($T$5:T28))),"")</f>
        <v/>
      </c>
      <c r="X28" s="1081" t="str">
        <f>IFERROR(INDEX($F$4:$F$56,_xlfn.AGGREGATE(15,6,(ROW($B$4:$B$56)-ROW($B$4)+1)/((ISNUMBER($B$4:$B$56))*((($H$4:$H$56&gt;=0.5)+($L$4:$L$56&gt;=0.5))&gt;0)),ROWS($T$5:T28))),"")</f>
        <v/>
      </c>
      <c r="Y28" s="1082" t="str">
        <f>IFERROR(INDEX($G$4:$G$56,_xlfn.AGGREGATE(15,6,(ROW($B$4:$B$56)-ROW($B$4)+1)/((ISNUMBER($B$4:$B$56))*((($H$4:$H$56&gt;=0.5)+($L$4:$L$56&gt;=0.5))&gt;0)),ROWS($T$5:T28))),"")</f>
        <v/>
      </c>
      <c r="Z28" s="1083" t="str">
        <f>IFERROR(INDEX($H$4:$H$56,_xlfn.AGGREGATE(15,6,(ROW($B$4:$B$56)-ROW($B$4)+1)/((ISNUMBER($B$4:$B$56))*((($H$4:$H$56&gt;=0.5)+($L$4:$L$56&gt;=0.5))&gt;0)),ROWS($T$5:T28))),"")</f>
        <v/>
      </c>
      <c r="AA28" s="1074" t="str">
        <f>IFERROR(INDEX($I$4:$I$56,_xlfn.AGGREGATE(15,6,(ROW($B$4:$B$56)-ROW($B$4)+1)/((ISNUMBER($B$4:$B$56))*((($H$4:$H$56&gt;=0.5)+($L$4:$L$56&gt;=0.5))&gt;0)),ROWS($T$5:T28))),"")</f>
        <v/>
      </c>
      <c r="AB28" s="1077" t="str">
        <f>IFERROR(INDEX($J$4:$J$56,_xlfn.AGGREGATE(15,6,(ROW($B$4:$B$56)-ROW($B$4)+1)/((ISNUMBER($B$4:$B$56))*((($H$4:$H$56&gt;=0.5)+($L$4:$L$56&gt;=0.5))&gt;0)),ROWS($T$5:T28))),"")</f>
        <v/>
      </c>
      <c r="AC28" s="1084" t="str">
        <f>IFERROR(INDEX($L$4:$L$56,_xlfn.AGGREGATE(15,6,(ROW($B$4:$B$56)-ROW($B$4)+1)/((ISNUMBER($B$4:$B$56))*((($H$4:$H$56&gt;=0.5)+($L$4:$L$56&gt;=0.5))&gt;0)),ROWS($T$5:T28))),"")</f>
        <v/>
      </c>
      <c r="AD28" s="1075" t="str">
        <f>IFERROR(INDEX($M$4:$M$56,_xlfn.AGGREGATE(15,6,(ROW($B$4:$B$56)-ROW($B$4)+1)/((ISNUMBER($B$4:$B$56))*((($H$4:$H$56&gt;=0.5)+($L$4:$L$56&gt;=0.5))&gt;0)),ROWS($T$5:T28))),"")</f>
        <v/>
      </c>
      <c r="AE28" s="1078" t="str">
        <f>IFERROR(INDEX($N$4:$N$56,_xlfn.AGGREGATE(15,6,(ROW($B$4:$B$56)-ROW($B$4)+1)/((ISNUMBER($B$4:$B$56))*((($H$4:$H$56&gt;=0.5)+($L$4:$L$56&gt;=0.5))&gt;0)),ROWS($T$5:T28))),"")</f>
        <v/>
      </c>
      <c r="AF28" s="1085" t="str">
        <f>IFERROR(INDEX($O$4:$O$56,_xlfn.AGGREGATE(15,6,(ROW($B$4:$B$56)-ROW($B$4)+1)/((ISNUMBER($B$4:$B$56))*((($H$4:$H$56&gt;=0.5)+($L$4:$L$56&gt;=0.5))&gt;0)),ROWS($T$5:T28))),"")</f>
        <v/>
      </c>
      <c r="AG28" s="1086" t="str">
        <f>IFERROR(INDEX($P$4:$P$56,_xlfn.AGGREGATE(15,6,(ROW($B$4:$B$56)-ROW($B$4)+1)/((ISNUMBER($B$4:$B$56))*((($H$4:$H$56&gt;=0.5)+($L$4:$L$56&gt;=0.5))&gt;0)),ROWS($T$5:T28))),"")</f>
        <v/>
      </c>
      <c r="AH28" s="1079" t="str">
        <f t="shared" si="2"/>
        <v/>
      </c>
    </row>
    <row r="29" spans="2:34" s="17" customFormat="1" ht="27" thickBot="1">
      <c r="B29" s="64">
        <f>+'EM-TUN'!B31</f>
        <v>26</v>
      </c>
      <c r="C29" s="25" t="str">
        <f>+'EM-TUN'!C31</f>
        <v>NUCA C/C CERRADO 0-100 g/pza</v>
      </c>
      <c r="D29" s="195">
        <f>+'RES-EN'!R31</f>
        <v>0</v>
      </c>
      <c r="E29" s="68">
        <f>+'ENV. PLACAS'!AD31</f>
        <v>0</v>
      </c>
      <c r="F29" s="368">
        <f>+'EM-TUN'!CC31</f>
        <v>0</v>
      </c>
      <c r="G29" s="69">
        <f>+'EM-PLA'!BC31</f>
        <v>0</v>
      </c>
      <c r="H29" s="1493">
        <f>+Tabla3[[#This Row],[TOTAL DE BULTOS ENVASADO TUNEL]]-(Tabla3[[#This Row],[TOTAL DE BULTOS EMPAQUE TUNEL]])</f>
        <v>0</v>
      </c>
      <c r="I29" s="1058" t="str">
        <f t="shared" si="0"/>
        <v>CUADRADO</v>
      </c>
      <c r="J29" s="1061">
        <f t="shared" si="3"/>
        <v>0</v>
      </c>
      <c r="K29" s="1627" t="str">
        <f>IF($C29="","",IFERROR(IF(INDEX(COLORES!$D:$D,MATCH($C29,COLORES!$C:$C,0))=0,"",INDEX(COLORES!$D:$D,MATCH($C29,COLORES!$C:$C,0))),IFERROR(IF(INDEX(COLORES!$D:$D,MATCH($C29&amp;"S",COLORES!$C:$C,0))=0,"",INDEX(COLORES!$D:$D,MATCH($C29&amp;"S",COLORES!$C:$C,0))),"")))</f>
        <v>ROJO</v>
      </c>
      <c r="L29" s="1059">
        <f>Tabla3[[#This Row],[TOTAL DE BULTOS ENVASADO PLACAS]]-Tabla3[[#This Row],[TOTAL DE BULTOS EMPAQUE PLACAS]]</f>
        <v>0</v>
      </c>
      <c r="M29" s="1058" t="str">
        <f t="shared" si="1"/>
        <v>CUADRADO</v>
      </c>
      <c r="N29" s="1060">
        <f t="shared" si="4"/>
        <v>0</v>
      </c>
      <c r="O29" s="195">
        <f>+Tabla3[[#This Row],[TOTAL DE BULTOS ENVASADO TUNEL]]+Tabla3[[#This Row],[TOTAL DE BULTOS ENVASADO PLACAS]]</f>
        <v>0</v>
      </c>
      <c r="P29" s="68">
        <f>+Tabla3[[#This Row],[TOTAL DE BULTOS EMPAQUE TUNEL]]+Tabla3[[#This Row],[TOTAL DE BULTOS EMPAQUE PLACAS]]</f>
        <v>0</v>
      </c>
      <c r="Q29" s="208">
        <f>SUM(P29:P32)</f>
        <v>0</v>
      </c>
      <c r="R29" s="26"/>
      <c r="S29" s="26"/>
      <c r="T29" s="1073" t="str">
        <f>IFERROR(INDEX($B$4:$B$56,_xlfn.AGGREGATE(15,6,(ROW($B$4:$B$56)-ROW($B$4)+1)/((ISNUMBER($B$4:$B$56))*((($H$4:$H$56&gt;=0.5)+($L$4:$L$56&gt;=0.5))&gt;0)),ROWS($T$5:T29))),"")</f>
        <v/>
      </c>
      <c r="U29" s="1076" t="str">
        <f>IFERROR(INDEX($C$4:$C$56,_xlfn.AGGREGATE(15,6,(ROW($B$4:$B$56)-ROW($B$4)+1)/((ISNUMBER($B$4:$B$56))*((($H$4:$H$56&gt;=0.5)+($L$4:$L$56&gt;=0.5))&gt;0)),ROWS($T$5:T29))),"")</f>
        <v/>
      </c>
      <c r="V29" s="1080" t="str">
        <f>IFERROR(INDEX($D$4:$D$56,_xlfn.AGGREGATE(15,6,(ROW($B$4:$B$56)-ROW($B$4)+1)/((ISNUMBER($B$4:$B$56))*((($H$4:$H$56&gt;=0.5)+($L$4:$L$56&gt;=0.5))&gt;0)),ROWS($T$5:T29))),"")</f>
        <v/>
      </c>
      <c r="W29" s="1081" t="str">
        <f>IFERROR(INDEX($E$4:$E$56,_xlfn.AGGREGATE(15,6,(ROW($B$4:$B$56)-ROW($B$4)+1)/((ISNUMBER($B$4:$B$56))*((($H$4:$H$56&gt;=0.5)+($L$4:$L$56&gt;=0.5))&gt;0)),ROWS($T$5:T29))),"")</f>
        <v/>
      </c>
      <c r="X29" s="1081" t="str">
        <f>IFERROR(INDEX($F$4:$F$56,_xlfn.AGGREGATE(15,6,(ROW($B$4:$B$56)-ROW($B$4)+1)/((ISNUMBER($B$4:$B$56))*((($H$4:$H$56&gt;=0.5)+($L$4:$L$56&gt;=0.5))&gt;0)),ROWS($T$5:T29))),"")</f>
        <v/>
      </c>
      <c r="Y29" s="1082" t="str">
        <f>IFERROR(INDEX($G$4:$G$56,_xlfn.AGGREGATE(15,6,(ROW($B$4:$B$56)-ROW($B$4)+1)/((ISNUMBER($B$4:$B$56))*((($H$4:$H$56&gt;=0.5)+($L$4:$L$56&gt;=0.5))&gt;0)),ROWS($T$5:T29))),"")</f>
        <v/>
      </c>
      <c r="Z29" s="1083" t="str">
        <f>IFERROR(INDEX($H$4:$H$56,_xlfn.AGGREGATE(15,6,(ROW($B$4:$B$56)-ROW($B$4)+1)/((ISNUMBER($B$4:$B$56))*((($H$4:$H$56&gt;=0.5)+($L$4:$L$56&gt;=0.5))&gt;0)),ROWS($T$5:T29))),"")</f>
        <v/>
      </c>
      <c r="AA29" s="1074" t="str">
        <f>IFERROR(INDEX($I$4:$I$56,_xlfn.AGGREGATE(15,6,(ROW($B$4:$B$56)-ROW($B$4)+1)/((ISNUMBER($B$4:$B$56))*((($H$4:$H$56&gt;=0.5)+($L$4:$L$56&gt;=0.5))&gt;0)),ROWS($T$5:T29))),"")</f>
        <v/>
      </c>
      <c r="AB29" s="1077" t="str">
        <f>IFERROR(INDEX($J$4:$J$56,_xlfn.AGGREGATE(15,6,(ROW($B$4:$B$56)-ROW($B$4)+1)/((ISNUMBER($B$4:$B$56))*((($H$4:$H$56&gt;=0.5)+($L$4:$L$56&gt;=0.5))&gt;0)),ROWS($T$5:T29))),"")</f>
        <v/>
      </c>
      <c r="AC29" s="1084" t="str">
        <f>IFERROR(INDEX($L$4:$L$56,_xlfn.AGGREGATE(15,6,(ROW($B$4:$B$56)-ROW($B$4)+1)/((ISNUMBER($B$4:$B$56))*((($H$4:$H$56&gt;=0.5)+($L$4:$L$56&gt;=0.5))&gt;0)),ROWS($T$5:T29))),"")</f>
        <v/>
      </c>
      <c r="AD29" s="1075" t="str">
        <f>IFERROR(INDEX($M$4:$M$56,_xlfn.AGGREGATE(15,6,(ROW($B$4:$B$56)-ROW($B$4)+1)/((ISNUMBER($B$4:$B$56))*((($H$4:$H$56&gt;=0.5)+($L$4:$L$56&gt;=0.5))&gt;0)),ROWS($T$5:T29))),"")</f>
        <v/>
      </c>
      <c r="AE29" s="1078" t="str">
        <f>IFERROR(INDEX($N$4:$N$56,_xlfn.AGGREGATE(15,6,(ROW($B$4:$B$56)-ROW($B$4)+1)/((ISNUMBER($B$4:$B$56))*((($H$4:$H$56&gt;=0.5)+($L$4:$L$56&gt;=0.5))&gt;0)),ROWS($T$5:T29))),"")</f>
        <v/>
      </c>
      <c r="AF29" s="1085" t="str">
        <f>IFERROR(INDEX($O$4:$O$56,_xlfn.AGGREGATE(15,6,(ROW($B$4:$B$56)-ROW($B$4)+1)/((ISNUMBER($B$4:$B$56))*((($H$4:$H$56&gt;=0.5)+($L$4:$L$56&gt;=0.5))&gt;0)),ROWS($T$5:T29))),"")</f>
        <v/>
      </c>
      <c r="AG29" s="1086" t="str">
        <f>IFERROR(INDEX($P$4:$P$56,_xlfn.AGGREGATE(15,6,(ROW($B$4:$B$56)-ROW($B$4)+1)/((ISNUMBER($B$4:$B$56))*((($H$4:$H$56&gt;=0.5)+($L$4:$L$56&gt;=0.5))&gt;0)),ROWS($T$5:T29))),"")</f>
        <v/>
      </c>
      <c r="AH29" s="1079" t="str">
        <f t="shared" si="2"/>
        <v/>
      </c>
    </row>
    <row r="30" spans="2:34" s="17" customFormat="1" ht="27" thickBot="1">
      <c r="B30" s="64">
        <f>+'EM-TUN'!B32</f>
        <v>27</v>
      </c>
      <c r="C30" s="25" t="str">
        <f>+'EM-TUN'!C32</f>
        <v>NUCA C/C ABIERTO 100-300 g/pza</v>
      </c>
      <c r="D30" s="195">
        <f>+'RES-EN'!R32</f>
        <v>0</v>
      </c>
      <c r="E30" s="68">
        <f>+'ENV. PLACAS'!AD32</f>
        <v>0</v>
      </c>
      <c r="F30" s="368">
        <f>+'EM-TUN'!CC32</f>
        <v>0</v>
      </c>
      <c r="G30" s="69">
        <f>+'EM-PLA'!BC32</f>
        <v>0</v>
      </c>
      <c r="H30" s="1493">
        <f>+Tabla3[[#This Row],[TOTAL DE BULTOS ENVASADO TUNEL]]-(Tabla3[[#This Row],[TOTAL DE BULTOS EMPAQUE TUNEL]])</f>
        <v>0</v>
      </c>
      <c r="I30" s="1057" t="str">
        <f t="shared" si="0"/>
        <v>CUADRADO</v>
      </c>
      <c r="J30" s="1061">
        <f t="shared" si="3"/>
        <v>0</v>
      </c>
      <c r="K30" s="1622" t="str">
        <f>IF($C30="","",IFERROR(IF(INDEX(COLORES!$D:$D,MATCH($C30,COLORES!$C:$C,0))=0,"",INDEX(COLORES!$D:$D,MATCH($C30,COLORES!$C:$C,0))),IFERROR(IF(INDEX(COLORES!$D:$D,MATCH($C30&amp;"S",COLORES!$C:$C,0))=0,"",INDEX(COLORES!$D:$D,MATCH($C30&amp;"S",COLORES!$C:$C,0))),"")))</f>
        <v>LILA</v>
      </c>
      <c r="L30" s="1059">
        <f>Tabla3[[#This Row],[TOTAL DE BULTOS ENVASADO PLACAS]]-Tabla3[[#This Row],[TOTAL DE BULTOS EMPAQUE PLACAS]]</f>
        <v>0</v>
      </c>
      <c r="M30" s="1058" t="str">
        <f t="shared" si="1"/>
        <v>CUADRADO</v>
      </c>
      <c r="N30" s="1060">
        <f t="shared" si="4"/>
        <v>0</v>
      </c>
      <c r="O30" s="195">
        <f>+Tabla3[[#This Row],[TOTAL DE BULTOS ENVASADO TUNEL]]+Tabla3[[#This Row],[TOTAL DE BULTOS ENVASADO PLACAS]]</f>
        <v>0</v>
      </c>
      <c r="P30" s="68">
        <f>+Tabla3[[#This Row],[TOTAL DE BULTOS EMPAQUE TUNEL]]+Tabla3[[#This Row],[TOTAL DE BULTOS EMPAQUE PLACAS]]</f>
        <v>0</v>
      </c>
      <c r="Q30" s="192"/>
      <c r="R30" s="26"/>
      <c r="S30" s="26"/>
      <c r="T30" s="1073" t="str">
        <f>IFERROR(INDEX($B$4:$B$56,_xlfn.AGGREGATE(15,6,(ROW($B$4:$B$56)-ROW($B$4)+1)/((ISNUMBER($B$4:$B$56))*((($H$4:$H$56&gt;=0.5)+($L$4:$L$56&gt;=0.5))&gt;0)),ROWS($T$5:T30))),"")</f>
        <v/>
      </c>
      <c r="U30" s="1076" t="str">
        <f>IFERROR(INDEX($C$4:$C$56,_xlfn.AGGREGATE(15,6,(ROW($B$4:$B$56)-ROW($B$4)+1)/((ISNUMBER($B$4:$B$56))*((($H$4:$H$56&gt;=0.5)+($L$4:$L$56&gt;=0.5))&gt;0)),ROWS($T$5:T30))),"")</f>
        <v/>
      </c>
      <c r="V30" s="1080" t="str">
        <f>IFERROR(INDEX($D$4:$D$56,_xlfn.AGGREGATE(15,6,(ROW($B$4:$B$56)-ROW($B$4)+1)/((ISNUMBER($B$4:$B$56))*((($H$4:$H$56&gt;=0.5)+($L$4:$L$56&gt;=0.5))&gt;0)),ROWS($T$5:T30))),"")</f>
        <v/>
      </c>
      <c r="W30" s="1081" t="str">
        <f>IFERROR(INDEX($E$4:$E$56,_xlfn.AGGREGATE(15,6,(ROW($B$4:$B$56)-ROW($B$4)+1)/((ISNUMBER($B$4:$B$56))*((($H$4:$H$56&gt;=0.5)+($L$4:$L$56&gt;=0.5))&gt;0)),ROWS($T$5:T30))),"")</f>
        <v/>
      </c>
      <c r="X30" s="1081" t="str">
        <f>IFERROR(INDEX($F$4:$F$56,_xlfn.AGGREGATE(15,6,(ROW($B$4:$B$56)-ROW($B$4)+1)/((ISNUMBER($B$4:$B$56))*((($H$4:$H$56&gt;=0.5)+($L$4:$L$56&gt;=0.5))&gt;0)),ROWS($T$5:T30))),"")</f>
        <v/>
      </c>
      <c r="Y30" s="1082" t="str">
        <f>IFERROR(INDEX($G$4:$G$56,_xlfn.AGGREGATE(15,6,(ROW($B$4:$B$56)-ROW($B$4)+1)/((ISNUMBER($B$4:$B$56))*((($H$4:$H$56&gt;=0.5)+($L$4:$L$56&gt;=0.5))&gt;0)),ROWS($T$5:T30))),"")</f>
        <v/>
      </c>
      <c r="Z30" s="1083" t="str">
        <f>IFERROR(INDEX($H$4:$H$56,_xlfn.AGGREGATE(15,6,(ROW($B$4:$B$56)-ROW($B$4)+1)/((ISNUMBER($B$4:$B$56))*((($H$4:$H$56&gt;=0.5)+($L$4:$L$56&gt;=0.5))&gt;0)),ROWS($T$5:T30))),"")</f>
        <v/>
      </c>
      <c r="AA30" s="1074" t="str">
        <f>IFERROR(INDEX($I$4:$I$56,_xlfn.AGGREGATE(15,6,(ROW($B$4:$B$56)-ROW($B$4)+1)/((ISNUMBER($B$4:$B$56))*((($H$4:$H$56&gt;=0.5)+($L$4:$L$56&gt;=0.5))&gt;0)),ROWS($T$5:T30))),"")</f>
        <v/>
      </c>
      <c r="AB30" s="1077" t="str">
        <f>IFERROR(INDEX($J$4:$J$56,_xlfn.AGGREGATE(15,6,(ROW($B$4:$B$56)-ROW($B$4)+1)/((ISNUMBER($B$4:$B$56))*((($H$4:$H$56&gt;=0.5)+($L$4:$L$56&gt;=0.5))&gt;0)),ROWS($T$5:T30))),"")</f>
        <v/>
      </c>
      <c r="AC30" s="1084" t="str">
        <f>IFERROR(INDEX($L$4:$L$56,_xlfn.AGGREGATE(15,6,(ROW($B$4:$B$56)-ROW($B$4)+1)/((ISNUMBER($B$4:$B$56))*((($H$4:$H$56&gt;=0.5)+($L$4:$L$56&gt;=0.5))&gt;0)),ROWS($T$5:T30))),"")</f>
        <v/>
      </c>
      <c r="AD30" s="1075" t="str">
        <f>IFERROR(INDEX($M$4:$M$56,_xlfn.AGGREGATE(15,6,(ROW($B$4:$B$56)-ROW($B$4)+1)/((ISNUMBER($B$4:$B$56))*((($H$4:$H$56&gt;=0.5)+($L$4:$L$56&gt;=0.5))&gt;0)),ROWS($T$5:T30))),"")</f>
        <v/>
      </c>
      <c r="AE30" s="1078" t="str">
        <f>IFERROR(INDEX($N$4:$N$56,_xlfn.AGGREGATE(15,6,(ROW($B$4:$B$56)-ROW($B$4)+1)/((ISNUMBER($B$4:$B$56))*((($H$4:$H$56&gt;=0.5)+($L$4:$L$56&gt;=0.5))&gt;0)),ROWS($T$5:T30))),"")</f>
        <v/>
      </c>
      <c r="AF30" s="1085" t="str">
        <f>IFERROR(INDEX($O$4:$O$56,_xlfn.AGGREGATE(15,6,(ROW($B$4:$B$56)-ROW($B$4)+1)/((ISNUMBER($B$4:$B$56))*((($H$4:$H$56&gt;=0.5)+($L$4:$L$56&gt;=0.5))&gt;0)),ROWS($T$5:T30))),"")</f>
        <v/>
      </c>
      <c r="AG30" s="1086" t="str">
        <f>IFERROR(INDEX($P$4:$P$56,_xlfn.AGGREGATE(15,6,(ROW($B$4:$B$56)-ROW($B$4)+1)/((ISNUMBER($B$4:$B$56))*((($H$4:$H$56&gt;=0.5)+($L$4:$L$56&gt;=0.5))&gt;0)),ROWS($T$5:T30))),"")</f>
        <v/>
      </c>
      <c r="AH30" s="1079" t="str">
        <f t="shared" si="2"/>
        <v/>
      </c>
    </row>
    <row r="31" spans="2:34" s="17" customFormat="1" ht="27" thickBot="1">
      <c r="B31" s="64">
        <f>+'EM-TUN'!B33</f>
        <v>28</v>
      </c>
      <c r="C31" s="25" t="str">
        <f>+'EM-TUN'!C33</f>
        <v>NUCA C/C ABIERTO 300-500 g/pza</v>
      </c>
      <c r="D31" s="195">
        <f>+'RES-EN'!R33</f>
        <v>0</v>
      </c>
      <c r="E31" s="68">
        <f>+'ENV. PLACAS'!AD33</f>
        <v>0</v>
      </c>
      <c r="F31" s="368">
        <f>+'EM-TUN'!CC33</f>
        <v>0</v>
      </c>
      <c r="G31" s="69">
        <f>+'EM-PLA'!BC33</f>
        <v>0</v>
      </c>
      <c r="H31" s="1493">
        <f>+Tabla3[[#This Row],[TOTAL DE BULTOS ENVASADO TUNEL]]-(Tabla3[[#This Row],[TOTAL DE BULTOS EMPAQUE TUNEL]])</f>
        <v>0</v>
      </c>
      <c r="I31" s="1057" t="str">
        <f t="shared" si="0"/>
        <v>CUADRADO</v>
      </c>
      <c r="J31" s="1061">
        <f t="shared" si="3"/>
        <v>0</v>
      </c>
      <c r="K31" s="1618" t="str">
        <f>IF($C31="","",IFERROR(IF(INDEX(COLORES!$D:$D,MATCH($C31,COLORES!$C:$C,0))=0,"",INDEX(COLORES!$D:$D,MATCH($C31,COLORES!$C:$C,0))),IFERROR(IF(INDEX(COLORES!$D:$D,MATCH($C31&amp;"S",COLORES!$C:$C,0))=0,"",INDEX(COLORES!$D:$D,MATCH($C31&amp;"S",COLORES!$C:$C,0))),"")))</f>
        <v>VERDE</v>
      </c>
      <c r="L31" s="1059">
        <f>Tabla3[[#This Row],[TOTAL DE BULTOS ENVASADO PLACAS]]-Tabla3[[#This Row],[TOTAL DE BULTOS EMPAQUE PLACAS]]</f>
        <v>0</v>
      </c>
      <c r="M31" s="1058" t="str">
        <f t="shared" si="1"/>
        <v>CUADRADO</v>
      </c>
      <c r="N31" s="1060">
        <f t="shared" si="4"/>
        <v>0</v>
      </c>
      <c r="O31" s="195">
        <f>+Tabla3[[#This Row],[TOTAL DE BULTOS ENVASADO TUNEL]]+Tabla3[[#This Row],[TOTAL DE BULTOS ENVASADO PLACAS]]</f>
        <v>0</v>
      </c>
      <c r="P31" s="68">
        <f>+Tabla3[[#This Row],[TOTAL DE BULTOS EMPAQUE TUNEL]]+Tabla3[[#This Row],[TOTAL DE BULTOS EMPAQUE PLACAS]]</f>
        <v>0</v>
      </c>
      <c r="Q31" s="192"/>
      <c r="R31" s="26">
        <f>54+37+54+50</f>
        <v>195</v>
      </c>
      <c r="S31" s="26"/>
      <c r="T31" s="1073" t="str">
        <f>IFERROR(INDEX($B$4:$B$56,_xlfn.AGGREGATE(15,6,(ROW($B$4:$B$56)-ROW($B$4)+1)/((ISNUMBER($B$4:$B$56))*((($H$4:$H$56&gt;=0.5)+($L$4:$L$56&gt;=0.5))&gt;0)),ROWS($T$5:T31))),"")</f>
        <v/>
      </c>
      <c r="U31" s="1076" t="str">
        <f>IFERROR(INDEX($C$4:$C$56,_xlfn.AGGREGATE(15,6,(ROW($B$4:$B$56)-ROW($B$4)+1)/((ISNUMBER($B$4:$B$56))*((($H$4:$H$56&gt;=0.5)+($L$4:$L$56&gt;=0.5))&gt;0)),ROWS($T$5:T31))),"")</f>
        <v/>
      </c>
      <c r="V31" s="1080" t="str">
        <f>IFERROR(INDEX($D$4:$D$56,_xlfn.AGGREGATE(15,6,(ROW($B$4:$B$56)-ROW($B$4)+1)/((ISNUMBER($B$4:$B$56))*((($H$4:$H$56&gt;=0.5)+($L$4:$L$56&gt;=0.5))&gt;0)),ROWS($T$5:T31))),"")</f>
        <v/>
      </c>
      <c r="W31" s="1081" t="str">
        <f>IFERROR(INDEX($E$4:$E$56,_xlfn.AGGREGATE(15,6,(ROW($B$4:$B$56)-ROW($B$4)+1)/((ISNUMBER($B$4:$B$56))*((($H$4:$H$56&gt;=0.5)+($L$4:$L$56&gt;=0.5))&gt;0)),ROWS($T$5:T31))),"")</f>
        <v/>
      </c>
      <c r="X31" s="1081" t="str">
        <f>IFERROR(INDEX($F$4:$F$56,_xlfn.AGGREGATE(15,6,(ROW($B$4:$B$56)-ROW($B$4)+1)/((ISNUMBER($B$4:$B$56))*((($H$4:$H$56&gt;=0.5)+($L$4:$L$56&gt;=0.5))&gt;0)),ROWS($T$5:T31))),"")</f>
        <v/>
      </c>
      <c r="Y31" s="1082" t="str">
        <f>IFERROR(INDEX($G$4:$G$56,_xlfn.AGGREGATE(15,6,(ROW($B$4:$B$56)-ROW($B$4)+1)/((ISNUMBER($B$4:$B$56))*((($H$4:$H$56&gt;=0.5)+($L$4:$L$56&gt;=0.5))&gt;0)),ROWS($T$5:T31))),"")</f>
        <v/>
      </c>
      <c r="Z31" s="1083" t="str">
        <f>IFERROR(INDEX($H$4:$H$56,_xlfn.AGGREGATE(15,6,(ROW($B$4:$B$56)-ROW($B$4)+1)/((ISNUMBER($B$4:$B$56))*((($H$4:$H$56&gt;=0.5)+($L$4:$L$56&gt;=0.5))&gt;0)),ROWS($T$5:T31))),"")</f>
        <v/>
      </c>
      <c r="AA31" s="1074" t="str">
        <f>IFERROR(INDEX($I$4:$I$56,_xlfn.AGGREGATE(15,6,(ROW($B$4:$B$56)-ROW($B$4)+1)/((ISNUMBER($B$4:$B$56))*((($H$4:$H$56&gt;=0.5)+($L$4:$L$56&gt;=0.5))&gt;0)),ROWS($T$5:T31))),"")</f>
        <v/>
      </c>
      <c r="AB31" s="1077" t="str">
        <f>IFERROR(INDEX($J$4:$J$56,_xlfn.AGGREGATE(15,6,(ROW($B$4:$B$56)-ROW($B$4)+1)/((ISNUMBER($B$4:$B$56))*((($H$4:$H$56&gt;=0.5)+($L$4:$L$56&gt;=0.5))&gt;0)),ROWS($T$5:T31))),"")</f>
        <v/>
      </c>
      <c r="AC31" s="1084" t="str">
        <f>IFERROR(INDEX($L$4:$L$56,_xlfn.AGGREGATE(15,6,(ROW($B$4:$B$56)-ROW($B$4)+1)/((ISNUMBER($B$4:$B$56))*((($H$4:$H$56&gt;=0.5)+($L$4:$L$56&gt;=0.5))&gt;0)),ROWS($T$5:T31))),"")</f>
        <v/>
      </c>
      <c r="AD31" s="1075" t="str">
        <f>IFERROR(INDEX($M$4:$M$56,_xlfn.AGGREGATE(15,6,(ROW($B$4:$B$56)-ROW($B$4)+1)/((ISNUMBER($B$4:$B$56))*((($H$4:$H$56&gt;=0.5)+($L$4:$L$56&gt;=0.5))&gt;0)),ROWS($T$5:T31))),"")</f>
        <v/>
      </c>
      <c r="AE31" s="1078" t="str">
        <f>IFERROR(INDEX($N$4:$N$56,_xlfn.AGGREGATE(15,6,(ROW($B$4:$B$56)-ROW($B$4)+1)/((ISNUMBER($B$4:$B$56))*((($H$4:$H$56&gt;=0.5)+($L$4:$L$56&gt;=0.5))&gt;0)),ROWS($T$5:T31))),"")</f>
        <v/>
      </c>
      <c r="AF31" s="1085" t="str">
        <f>IFERROR(INDEX($O$4:$O$56,_xlfn.AGGREGATE(15,6,(ROW($B$4:$B$56)-ROW($B$4)+1)/((ISNUMBER($B$4:$B$56))*((($H$4:$H$56&gt;=0.5)+($L$4:$L$56&gt;=0.5))&gt;0)),ROWS($T$5:T31))),"")</f>
        <v/>
      </c>
      <c r="AG31" s="1086" t="str">
        <f>IFERROR(INDEX($P$4:$P$56,_xlfn.AGGREGATE(15,6,(ROW($B$4:$B$56)-ROW($B$4)+1)/((ISNUMBER($B$4:$B$56))*((($H$4:$H$56&gt;=0.5)+($L$4:$L$56&gt;=0.5))&gt;0)),ROWS($T$5:T31))),"")</f>
        <v/>
      </c>
      <c r="AH31" s="1079" t="str">
        <f t="shared" si="2"/>
        <v/>
      </c>
    </row>
    <row r="32" spans="2:34" s="17" customFormat="1" ht="27" thickBot="1">
      <c r="B32" s="64">
        <f>+'EM-TUN'!B34</f>
        <v>29</v>
      </c>
      <c r="C32" s="25" t="str">
        <f>+'EM-TUN'!C34</f>
        <v>NUCA C/C ABIERTO 500-1000 g/pza</v>
      </c>
      <c r="D32" s="195">
        <f>+'RES-EN'!R34</f>
        <v>0</v>
      </c>
      <c r="E32" s="68">
        <f>+'ENV. PLACAS'!AD34</f>
        <v>0</v>
      </c>
      <c r="F32" s="368">
        <f>+'EM-TUN'!CC34</f>
        <v>0</v>
      </c>
      <c r="G32" s="69">
        <f>+'EM-PLA'!BC34</f>
        <v>0</v>
      </c>
      <c r="H32" s="1493">
        <f>+Tabla3[[#This Row],[TOTAL DE BULTOS ENVASADO TUNEL]]-(Tabla3[[#This Row],[TOTAL DE BULTOS EMPAQUE TUNEL]])</f>
        <v>0</v>
      </c>
      <c r="I32" s="1057" t="str">
        <f t="shared" si="0"/>
        <v>CUADRADO</v>
      </c>
      <c r="J32" s="1061">
        <f t="shared" si="3"/>
        <v>0</v>
      </c>
      <c r="K32" s="1623" t="str">
        <f>IF($C32="","",IFERROR(IF(INDEX(COLORES!$D:$D,MATCH($C32,COLORES!$C:$C,0))=0,"",INDEX(COLORES!$D:$D,MATCH($C32,COLORES!$C:$C,0))),IFERROR(IF(INDEX(COLORES!$D:$D,MATCH($C32&amp;"S",COLORES!$C:$C,0))=0,"",INDEX(COLORES!$D:$D,MATCH($C32&amp;"S",COLORES!$C:$C,0))),"")))</f>
        <v>NARANJA</v>
      </c>
      <c r="L32" s="1059">
        <f>Tabla3[[#This Row],[TOTAL DE BULTOS ENVASADO PLACAS]]-Tabla3[[#This Row],[TOTAL DE BULTOS EMPAQUE PLACAS]]</f>
        <v>0</v>
      </c>
      <c r="M32" s="1057" t="str">
        <f t="shared" si="1"/>
        <v>CUADRADO</v>
      </c>
      <c r="N32" s="1060">
        <f t="shared" si="4"/>
        <v>0</v>
      </c>
      <c r="O32" s="195">
        <f>+Tabla3[[#This Row],[TOTAL DE BULTOS ENVASADO TUNEL]]+Tabla3[[#This Row],[TOTAL DE BULTOS ENVASADO PLACAS]]</f>
        <v>0</v>
      </c>
      <c r="P32" s="68">
        <f>+Tabla3[[#This Row],[TOTAL DE BULTOS EMPAQUE TUNEL]]+Tabla3[[#This Row],[TOTAL DE BULTOS EMPAQUE PLACAS]]</f>
        <v>0</v>
      </c>
      <c r="Q32" s="192"/>
      <c r="R32" s="26"/>
      <c r="S32" s="26"/>
      <c r="T32" s="1073" t="str">
        <f>IFERROR(INDEX($B$4:$B$56,_xlfn.AGGREGATE(15,6,(ROW($B$4:$B$56)-ROW($B$4)+1)/((ISNUMBER($B$4:$B$56))*((($H$4:$H$56&gt;=0.5)+($L$4:$L$56&gt;=0.5))&gt;0)),ROWS($T$5:T32))),"")</f>
        <v/>
      </c>
      <c r="U32" s="1076" t="str">
        <f>IFERROR(INDEX($C$4:$C$56,_xlfn.AGGREGATE(15,6,(ROW($B$4:$B$56)-ROW($B$4)+1)/((ISNUMBER($B$4:$B$56))*((($H$4:$H$56&gt;=0.5)+($L$4:$L$56&gt;=0.5))&gt;0)),ROWS($T$5:T32))),"")</f>
        <v/>
      </c>
      <c r="V32" s="1080" t="str">
        <f>IFERROR(INDEX($D$4:$D$56,_xlfn.AGGREGATE(15,6,(ROW($B$4:$B$56)-ROW($B$4)+1)/((ISNUMBER($B$4:$B$56))*((($H$4:$H$56&gt;=0.5)+($L$4:$L$56&gt;=0.5))&gt;0)),ROWS($T$5:T32))),"")</f>
        <v/>
      </c>
      <c r="W32" s="1081" t="str">
        <f>IFERROR(INDEX($E$4:$E$56,_xlfn.AGGREGATE(15,6,(ROW($B$4:$B$56)-ROW($B$4)+1)/((ISNUMBER($B$4:$B$56))*((($H$4:$H$56&gt;=0.5)+($L$4:$L$56&gt;=0.5))&gt;0)),ROWS($T$5:T32))),"")</f>
        <v/>
      </c>
      <c r="X32" s="1081" t="str">
        <f>IFERROR(INDEX($F$4:$F$56,_xlfn.AGGREGATE(15,6,(ROW($B$4:$B$56)-ROW($B$4)+1)/((ISNUMBER($B$4:$B$56))*((($H$4:$H$56&gt;=0.5)+($L$4:$L$56&gt;=0.5))&gt;0)),ROWS($T$5:T32))),"")</f>
        <v/>
      </c>
      <c r="Y32" s="1082" t="str">
        <f>IFERROR(INDEX($G$4:$G$56,_xlfn.AGGREGATE(15,6,(ROW($B$4:$B$56)-ROW($B$4)+1)/((ISNUMBER($B$4:$B$56))*((($H$4:$H$56&gt;=0.5)+($L$4:$L$56&gt;=0.5))&gt;0)),ROWS($T$5:T32))),"")</f>
        <v/>
      </c>
      <c r="Z32" s="1083" t="str">
        <f>IFERROR(INDEX($H$4:$H$56,_xlfn.AGGREGATE(15,6,(ROW($B$4:$B$56)-ROW($B$4)+1)/((ISNUMBER($B$4:$B$56))*((($H$4:$H$56&gt;=0.5)+($L$4:$L$56&gt;=0.5))&gt;0)),ROWS($T$5:T32))),"")</f>
        <v/>
      </c>
      <c r="AA32" s="1074" t="str">
        <f>IFERROR(INDEX($I$4:$I$56,_xlfn.AGGREGATE(15,6,(ROW($B$4:$B$56)-ROW($B$4)+1)/((ISNUMBER($B$4:$B$56))*((($H$4:$H$56&gt;=0.5)+($L$4:$L$56&gt;=0.5))&gt;0)),ROWS($T$5:T32))),"")</f>
        <v/>
      </c>
      <c r="AB32" s="1077" t="str">
        <f>IFERROR(INDEX($J$4:$J$56,_xlfn.AGGREGATE(15,6,(ROW($B$4:$B$56)-ROW($B$4)+1)/((ISNUMBER($B$4:$B$56))*((($H$4:$H$56&gt;=0.5)+($L$4:$L$56&gt;=0.5))&gt;0)),ROWS($T$5:T32))),"")</f>
        <v/>
      </c>
      <c r="AC32" s="1084" t="str">
        <f>IFERROR(INDEX($L$4:$L$56,_xlfn.AGGREGATE(15,6,(ROW($B$4:$B$56)-ROW($B$4)+1)/((ISNUMBER($B$4:$B$56))*((($H$4:$H$56&gt;=0.5)+($L$4:$L$56&gt;=0.5))&gt;0)),ROWS($T$5:T32))),"")</f>
        <v/>
      </c>
      <c r="AD32" s="1075" t="str">
        <f>IFERROR(INDEX($M$4:$M$56,_xlfn.AGGREGATE(15,6,(ROW($B$4:$B$56)-ROW($B$4)+1)/((ISNUMBER($B$4:$B$56))*((($H$4:$H$56&gt;=0.5)+($L$4:$L$56&gt;=0.5))&gt;0)),ROWS($T$5:T32))),"")</f>
        <v/>
      </c>
      <c r="AE32" s="1078" t="str">
        <f>IFERROR(INDEX($N$4:$N$56,_xlfn.AGGREGATE(15,6,(ROW($B$4:$B$56)-ROW($B$4)+1)/((ISNUMBER($B$4:$B$56))*((($H$4:$H$56&gt;=0.5)+($L$4:$L$56&gt;=0.5))&gt;0)),ROWS($T$5:T32))),"")</f>
        <v/>
      </c>
      <c r="AF32" s="1085" t="str">
        <f>IFERROR(INDEX($O$4:$O$56,_xlfn.AGGREGATE(15,6,(ROW($B$4:$B$56)-ROW($B$4)+1)/((ISNUMBER($B$4:$B$56))*((($H$4:$H$56&gt;=0.5)+($L$4:$L$56&gt;=0.5))&gt;0)),ROWS($T$5:T32))),"")</f>
        <v/>
      </c>
      <c r="AG32" s="1086" t="str">
        <f>IFERROR(INDEX($P$4:$P$56,_xlfn.AGGREGATE(15,6,(ROW($B$4:$B$56)-ROW($B$4)+1)/((ISNUMBER($B$4:$B$56))*((($H$4:$H$56&gt;=0.5)+($L$4:$L$56&gt;=0.5))&gt;0)),ROWS($T$5:T32))),"")</f>
        <v/>
      </c>
      <c r="AH32" s="1079" t="str">
        <f t="shared" si="2"/>
        <v/>
      </c>
    </row>
    <row r="33" spans="2:34" s="17" customFormat="1" ht="27" thickBot="1">
      <c r="B33" s="64">
        <f>+'EM-TUN'!B35</f>
        <v>30</v>
      </c>
      <c r="C33" s="25" t="str">
        <f>+'EM-TUN'!C35</f>
        <v>NUCA C/C ABIERTO 1.0 - UP kg/pza</v>
      </c>
      <c r="D33" s="195">
        <f>+'RES-EN'!R35</f>
        <v>0</v>
      </c>
      <c r="E33" s="68">
        <f>+'ENV. PLACAS'!AD35</f>
        <v>0</v>
      </c>
      <c r="F33" s="368">
        <f>+'EM-TUN'!CC35</f>
        <v>0</v>
      </c>
      <c r="G33" s="69">
        <f>+'EM-PLA'!BC35</f>
        <v>0</v>
      </c>
      <c r="H33" s="1493">
        <f>+Tabla3[[#This Row],[TOTAL DE BULTOS ENVASADO TUNEL]]-(Tabla3[[#This Row],[TOTAL DE BULTOS EMPAQUE TUNEL]])</f>
        <v>0</v>
      </c>
      <c r="I33" s="1057" t="str">
        <f t="shared" si="0"/>
        <v>CUADRADO</v>
      </c>
      <c r="J33" s="1061">
        <f t="shared" si="3"/>
        <v>0</v>
      </c>
      <c r="K33" s="1620" t="str">
        <f>IF($C33="","",IFERROR(IF(INDEX(COLORES!$D:$D,MATCH($C33,COLORES!$C:$C,0))=0,"",INDEX(COLORES!$D:$D,MATCH($C33,COLORES!$C:$C,0))),IFERROR(IF(INDEX(COLORES!$D:$D,MATCH($C33&amp;"S",COLORES!$C:$C,0))=0,"",INDEX(COLORES!$D:$D,MATCH($C33&amp;"S",COLORES!$C:$C,0))),"")))</f>
        <v>ROSADO</v>
      </c>
      <c r="L33" s="1059">
        <f>Tabla3[[#This Row],[TOTAL DE BULTOS ENVASADO PLACAS]]-Tabla3[[#This Row],[TOTAL DE BULTOS EMPAQUE PLACAS]]</f>
        <v>0</v>
      </c>
      <c r="M33" s="1058" t="str">
        <f t="shared" si="1"/>
        <v>CUADRADO</v>
      </c>
      <c r="N33" s="1060">
        <f t="shared" si="4"/>
        <v>0</v>
      </c>
      <c r="O33" s="195">
        <f>+Tabla3[[#This Row],[TOTAL DE BULTOS ENVASADO TUNEL]]+Tabla3[[#This Row],[TOTAL DE BULTOS ENVASADO PLACAS]]</f>
        <v>0</v>
      </c>
      <c r="P33" s="68">
        <f>+Tabla3[[#This Row],[TOTAL DE BULTOS EMPAQUE TUNEL]]+Tabla3[[#This Row],[TOTAL DE BULTOS EMPAQUE PLACAS]]</f>
        <v>0</v>
      </c>
      <c r="Q33" s="192"/>
      <c r="R33" s="26"/>
      <c r="S33" s="26"/>
      <c r="T33" s="1073" t="str">
        <f>IFERROR(INDEX($B$4:$B$56,_xlfn.AGGREGATE(15,6,(ROW($B$4:$B$56)-ROW($B$4)+1)/((ISNUMBER($B$4:$B$56))*((($H$4:$H$56&gt;=0.5)+($L$4:$L$56&gt;=0.5))&gt;0)),ROWS($T$5:T33))),"")</f>
        <v/>
      </c>
      <c r="U33" s="1076" t="str">
        <f>IFERROR(INDEX($C$4:$C$56,_xlfn.AGGREGATE(15,6,(ROW($B$4:$B$56)-ROW($B$4)+1)/((ISNUMBER($B$4:$B$56))*((($H$4:$H$56&gt;=0.5)+($L$4:$L$56&gt;=0.5))&gt;0)),ROWS($T$5:T33))),"")</f>
        <v/>
      </c>
      <c r="V33" s="1080" t="str">
        <f>IFERROR(INDEX($D$4:$D$56,_xlfn.AGGREGATE(15,6,(ROW($B$4:$B$56)-ROW($B$4)+1)/((ISNUMBER($B$4:$B$56))*((($H$4:$H$56&gt;=0.5)+($L$4:$L$56&gt;=0.5))&gt;0)),ROWS($T$5:T33))),"")</f>
        <v/>
      </c>
      <c r="W33" s="1081" t="str">
        <f>IFERROR(INDEX($E$4:$E$56,_xlfn.AGGREGATE(15,6,(ROW($B$4:$B$56)-ROW($B$4)+1)/((ISNUMBER($B$4:$B$56))*((($H$4:$H$56&gt;=0.5)+($L$4:$L$56&gt;=0.5))&gt;0)),ROWS($T$5:T33))),"")</f>
        <v/>
      </c>
      <c r="X33" s="1081" t="str">
        <f>IFERROR(INDEX($F$4:$F$56,_xlfn.AGGREGATE(15,6,(ROW($B$4:$B$56)-ROW($B$4)+1)/((ISNUMBER($B$4:$B$56))*((($H$4:$H$56&gt;=0.5)+($L$4:$L$56&gt;=0.5))&gt;0)),ROWS($T$5:T33))),"")</f>
        <v/>
      </c>
      <c r="Y33" s="1082" t="str">
        <f>IFERROR(INDEX($G$4:$G$56,_xlfn.AGGREGATE(15,6,(ROW($B$4:$B$56)-ROW($B$4)+1)/((ISNUMBER($B$4:$B$56))*((($H$4:$H$56&gt;=0.5)+($L$4:$L$56&gt;=0.5))&gt;0)),ROWS($T$5:T33))),"")</f>
        <v/>
      </c>
      <c r="Z33" s="1083" t="str">
        <f>IFERROR(INDEX($H$4:$H$56,_xlfn.AGGREGATE(15,6,(ROW($B$4:$B$56)-ROW($B$4)+1)/((ISNUMBER($B$4:$B$56))*((($H$4:$H$56&gt;=0.5)+($L$4:$L$56&gt;=0.5))&gt;0)),ROWS($T$5:T33))),"")</f>
        <v/>
      </c>
      <c r="AA33" s="1074" t="str">
        <f>IFERROR(INDEX($I$4:$I$56,_xlfn.AGGREGATE(15,6,(ROW($B$4:$B$56)-ROW($B$4)+1)/((ISNUMBER($B$4:$B$56))*((($H$4:$H$56&gt;=0.5)+($L$4:$L$56&gt;=0.5))&gt;0)),ROWS($T$5:T33))),"")</f>
        <v/>
      </c>
      <c r="AB33" s="1077" t="str">
        <f>IFERROR(INDEX($J$4:$J$56,_xlfn.AGGREGATE(15,6,(ROW($B$4:$B$56)-ROW($B$4)+1)/((ISNUMBER($B$4:$B$56))*((($H$4:$H$56&gt;=0.5)+($L$4:$L$56&gt;=0.5))&gt;0)),ROWS($T$5:T33))),"")</f>
        <v/>
      </c>
      <c r="AC33" s="1084" t="str">
        <f>IFERROR(INDEX($L$4:$L$56,_xlfn.AGGREGATE(15,6,(ROW($B$4:$B$56)-ROW($B$4)+1)/((ISNUMBER($B$4:$B$56))*((($H$4:$H$56&gt;=0.5)+($L$4:$L$56&gt;=0.5))&gt;0)),ROWS($T$5:T33))),"")</f>
        <v/>
      </c>
      <c r="AD33" s="1075" t="str">
        <f>IFERROR(INDEX($M$4:$M$56,_xlfn.AGGREGATE(15,6,(ROW($B$4:$B$56)-ROW($B$4)+1)/((ISNUMBER($B$4:$B$56))*((($H$4:$H$56&gt;=0.5)+($L$4:$L$56&gt;=0.5))&gt;0)),ROWS($T$5:T33))),"")</f>
        <v/>
      </c>
      <c r="AE33" s="1078" t="str">
        <f>IFERROR(INDEX($N$4:$N$56,_xlfn.AGGREGATE(15,6,(ROW($B$4:$B$56)-ROW($B$4)+1)/((ISNUMBER($B$4:$B$56))*((($H$4:$H$56&gt;=0.5)+($L$4:$L$56&gt;=0.5))&gt;0)),ROWS($T$5:T33))),"")</f>
        <v/>
      </c>
      <c r="AF33" s="1085" t="str">
        <f>IFERROR(INDEX($O$4:$O$56,_xlfn.AGGREGATE(15,6,(ROW($B$4:$B$56)-ROW($B$4)+1)/((ISNUMBER($B$4:$B$56))*((($H$4:$H$56&gt;=0.5)+($L$4:$L$56&gt;=0.5))&gt;0)),ROWS($T$5:T33))),"")</f>
        <v/>
      </c>
      <c r="AG33" s="1086" t="str">
        <f>IFERROR(INDEX($P$4:$P$56,_xlfn.AGGREGATE(15,6,(ROW($B$4:$B$56)-ROW($B$4)+1)/((ISNUMBER($B$4:$B$56))*((($H$4:$H$56&gt;=0.5)+($L$4:$L$56&gt;=0.5))&gt;0)),ROWS($T$5:T33))),"")</f>
        <v/>
      </c>
      <c r="AH33" s="1079" t="str">
        <f t="shared" si="2"/>
        <v/>
      </c>
    </row>
    <row r="34" spans="2:34" s="17" customFormat="1" ht="27" thickBot="1">
      <c r="B34" s="264">
        <f>+'EM-TUN'!B36</f>
        <v>31</v>
      </c>
      <c r="C34" s="25" t="str">
        <f>+'EM-TUN'!C36</f>
        <v>RECORTE BLANCO SM ST</v>
      </c>
      <c r="D34" s="195">
        <f>+'RES-EN'!R36</f>
        <v>0</v>
      </c>
      <c r="E34" s="68">
        <f>+'ENV. PLACAS'!AD36</f>
        <v>0</v>
      </c>
      <c r="F34" s="368">
        <f>+'EM-TUN'!CC36</f>
        <v>0</v>
      </c>
      <c r="G34" s="69">
        <f>+'EM-PLA'!BC36</f>
        <v>0</v>
      </c>
      <c r="H34" s="1493">
        <f>+Tabla3[[#This Row],[TOTAL DE BULTOS ENVASADO TUNEL]]-(Tabla3[[#This Row],[TOTAL DE BULTOS EMPAQUE TUNEL]])</f>
        <v>0</v>
      </c>
      <c r="I34" s="1057" t="str">
        <f t="shared" si="0"/>
        <v>CUADRADO</v>
      </c>
      <c r="J34" s="1061">
        <f t="shared" si="3"/>
        <v>0</v>
      </c>
      <c r="K34" s="1625" t="str">
        <f>IF($C34="","",IFERROR(IF(INDEX(COLORES!$D:$D,MATCH($C34,COLORES!$C:$C,0))=0,"",INDEX(COLORES!$D:$D,MATCH($C34,COLORES!$C:$C,0))),IFERROR(IF(INDEX(COLORES!$D:$D,MATCH($C34&amp;"S",COLORES!$C:$C,0))=0,"",INDEX(COLORES!$D:$D,MATCH($C34&amp;"S",COLORES!$C:$C,0))),"")))</f>
        <v>CRISTAL</v>
      </c>
      <c r="L34" s="1059">
        <f>Tabla3[[#This Row],[TOTAL DE BULTOS ENVASADO PLACAS]]-Tabla3[[#This Row],[TOTAL DE BULTOS EMPAQUE PLACAS]]</f>
        <v>0</v>
      </c>
      <c r="M34" s="1057" t="str">
        <f t="shared" si="1"/>
        <v>CUADRADO</v>
      </c>
      <c r="N34" s="1060">
        <f t="shared" si="4"/>
        <v>0</v>
      </c>
      <c r="O34" s="195">
        <f>+Tabla3[[#This Row],[TOTAL DE BULTOS ENVASADO TUNEL]]+Tabla3[[#This Row],[TOTAL DE BULTOS ENVASADO PLACAS]]</f>
        <v>0</v>
      </c>
      <c r="P34" s="194">
        <f>+Tabla3[[#This Row],[TOTAL DE BULTOS EMPAQUE TUNEL]]+Tabla3[[#This Row],[TOTAL DE BULTOS EMPAQUE PLACAS]]</f>
        <v>0</v>
      </c>
      <c r="Q34" s="192"/>
      <c r="R34" s="26"/>
      <c r="S34" s="26"/>
      <c r="T34" s="1073" t="str">
        <f>IFERROR(INDEX($B$4:$B$56,_xlfn.AGGREGATE(15,6,(ROW($B$4:$B$56)-ROW($B$4)+1)/((ISNUMBER($B$4:$B$56))*((($H$4:$H$56&gt;=0.5)+($L$4:$L$56&gt;=0.5))&gt;0)),ROWS($T$5:T34))),"")</f>
        <v/>
      </c>
      <c r="U34" s="1076" t="str">
        <f>IFERROR(INDEX($C$4:$C$56,_xlfn.AGGREGATE(15,6,(ROW($B$4:$B$56)-ROW($B$4)+1)/((ISNUMBER($B$4:$B$56))*((($H$4:$H$56&gt;=0.5)+($L$4:$L$56&gt;=0.5))&gt;0)),ROWS($T$5:T34))),"")</f>
        <v/>
      </c>
      <c r="V34" s="1080" t="str">
        <f>IFERROR(INDEX($D$4:$D$56,_xlfn.AGGREGATE(15,6,(ROW($B$4:$B$56)-ROW($B$4)+1)/((ISNUMBER($B$4:$B$56))*((($H$4:$H$56&gt;=0.5)+($L$4:$L$56&gt;=0.5))&gt;0)),ROWS($T$5:T34))),"")</f>
        <v/>
      </c>
      <c r="W34" s="1081" t="str">
        <f>IFERROR(INDEX($E$4:$E$56,_xlfn.AGGREGATE(15,6,(ROW($B$4:$B$56)-ROW($B$4)+1)/((ISNUMBER($B$4:$B$56))*((($H$4:$H$56&gt;=0.5)+($L$4:$L$56&gt;=0.5))&gt;0)),ROWS($T$5:T34))),"")</f>
        <v/>
      </c>
      <c r="X34" s="1081" t="str">
        <f>IFERROR(INDEX($F$4:$F$56,_xlfn.AGGREGATE(15,6,(ROW($B$4:$B$56)-ROW($B$4)+1)/((ISNUMBER($B$4:$B$56))*((($H$4:$H$56&gt;=0.5)+($L$4:$L$56&gt;=0.5))&gt;0)),ROWS($T$5:T34))),"")</f>
        <v/>
      </c>
      <c r="Y34" s="1082" t="str">
        <f>IFERROR(INDEX($G$4:$G$56,_xlfn.AGGREGATE(15,6,(ROW($B$4:$B$56)-ROW($B$4)+1)/((ISNUMBER($B$4:$B$56))*((($H$4:$H$56&gt;=0.5)+($L$4:$L$56&gt;=0.5))&gt;0)),ROWS($T$5:T34))),"")</f>
        <v/>
      </c>
      <c r="Z34" s="1083" t="str">
        <f>IFERROR(INDEX($H$4:$H$56,_xlfn.AGGREGATE(15,6,(ROW($B$4:$B$56)-ROW($B$4)+1)/((ISNUMBER($B$4:$B$56))*((($H$4:$H$56&gt;=0.5)+($L$4:$L$56&gt;=0.5))&gt;0)),ROWS($T$5:T34))),"")</f>
        <v/>
      </c>
      <c r="AA34" s="1074" t="str">
        <f>IFERROR(INDEX($I$4:$I$56,_xlfn.AGGREGATE(15,6,(ROW($B$4:$B$56)-ROW($B$4)+1)/((ISNUMBER($B$4:$B$56))*((($H$4:$H$56&gt;=0.5)+($L$4:$L$56&gt;=0.5))&gt;0)),ROWS($T$5:T34))),"")</f>
        <v/>
      </c>
      <c r="AB34" s="1077" t="str">
        <f>IFERROR(INDEX($J$4:$J$56,_xlfn.AGGREGATE(15,6,(ROW($B$4:$B$56)-ROW($B$4)+1)/((ISNUMBER($B$4:$B$56))*((($H$4:$H$56&gt;=0.5)+($L$4:$L$56&gt;=0.5))&gt;0)),ROWS($T$5:T34))),"")</f>
        <v/>
      </c>
      <c r="AC34" s="1084" t="str">
        <f>IFERROR(INDEX($L$4:$L$56,_xlfn.AGGREGATE(15,6,(ROW($B$4:$B$56)-ROW($B$4)+1)/((ISNUMBER($B$4:$B$56))*((($H$4:$H$56&gt;=0.5)+($L$4:$L$56&gt;=0.5))&gt;0)),ROWS($T$5:T34))),"")</f>
        <v/>
      </c>
      <c r="AD34" s="1075" t="str">
        <f>IFERROR(INDEX($M$4:$M$56,_xlfn.AGGREGATE(15,6,(ROW($B$4:$B$56)-ROW($B$4)+1)/((ISNUMBER($B$4:$B$56))*((($H$4:$H$56&gt;=0.5)+($L$4:$L$56&gt;=0.5))&gt;0)),ROWS($T$5:T34))),"")</f>
        <v/>
      </c>
      <c r="AE34" s="1078" t="str">
        <f>IFERROR(INDEX($N$4:$N$56,_xlfn.AGGREGATE(15,6,(ROW($B$4:$B$56)-ROW($B$4)+1)/((ISNUMBER($B$4:$B$56))*((($H$4:$H$56&gt;=0.5)+($L$4:$L$56&gt;=0.5))&gt;0)),ROWS($T$5:T34))),"")</f>
        <v/>
      </c>
      <c r="AF34" s="1085" t="str">
        <f>IFERROR(INDEX($O$4:$O$56,_xlfn.AGGREGATE(15,6,(ROW($B$4:$B$56)-ROW($B$4)+1)/((ISNUMBER($B$4:$B$56))*((($H$4:$H$56&gt;=0.5)+($L$4:$L$56&gt;=0.5))&gt;0)),ROWS($T$5:T34))),"")</f>
        <v/>
      </c>
      <c r="AG34" s="1086" t="str">
        <f>IFERROR(INDEX($P$4:$P$56,_xlfn.AGGREGATE(15,6,(ROW($B$4:$B$56)-ROW($B$4)+1)/((ISNUMBER($B$4:$B$56))*((($H$4:$H$56&gt;=0.5)+($L$4:$L$56&gt;=0.5))&gt;0)),ROWS($T$5:T34))),"")</f>
        <v/>
      </c>
      <c r="AH34" s="1079" t="str">
        <f t="shared" si="2"/>
        <v/>
      </c>
    </row>
    <row r="35" spans="2:34" s="17" customFormat="1" ht="27" thickBot="1">
      <c r="B35" s="64">
        <f>+'EM-TUN'!B37</f>
        <v>32</v>
      </c>
      <c r="C35" s="25" t="str">
        <f>+'EM-TUN'!C37</f>
        <v>RECORTE AMARILLO SM ST</v>
      </c>
      <c r="D35" s="195">
        <f>+'RES-EN'!R37</f>
        <v>0</v>
      </c>
      <c r="E35" s="68">
        <f>+'ENV. PLACAS'!AD37</f>
        <v>0</v>
      </c>
      <c r="F35" s="368">
        <f>+'EM-TUN'!CC37</f>
        <v>0</v>
      </c>
      <c r="G35" s="69">
        <f>+'EM-PLA'!BC37</f>
        <v>0</v>
      </c>
      <c r="H35" s="1493">
        <f>+Tabla3[[#This Row],[TOTAL DE BULTOS ENVASADO TUNEL]]-(Tabla3[[#This Row],[TOTAL DE BULTOS EMPAQUE TUNEL]])</f>
        <v>0</v>
      </c>
      <c r="I35" s="1057" t="str">
        <f t="shared" si="0"/>
        <v>CUADRADO</v>
      </c>
      <c r="J35" s="1061">
        <f t="shared" si="3"/>
        <v>0</v>
      </c>
      <c r="K35" s="1627" t="str">
        <f>IF($C35="","",IFERROR(IF(INDEX(COLORES!$D:$D,MATCH($C35,COLORES!$C:$C,0))=0,"",INDEX(COLORES!$D:$D,MATCH($C35,COLORES!$C:$C,0))),IFERROR(IF(INDEX(COLORES!$D:$D,MATCH($C35&amp;"S",COLORES!$C:$C,0))=0,"",INDEX(COLORES!$D:$D,MATCH($C35&amp;"S",COLORES!$C:$C,0))),"")))</f>
        <v>ROJO</v>
      </c>
      <c r="L35" s="1059">
        <f>Tabla3[[#This Row],[TOTAL DE BULTOS ENVASADO PLACAS]]-Tabla3[[#This Row],[TOTAL DE BULTOS EMPAQUE PLACAS]]</f>
        <v>0</v>
      </c>
      <c r="M35" s="1058" t="str">
        <f t="shared" si="1"/>
        <v>CUADRADO</v>
      </c>
      <c r="N35" s="1060">
        <f t="shared" si="4"/>
        <v>0</v>
      </c>
      <c r="O35" s="195">
        <f>+Tabla3[[#This Row],[TOTAL DE BULTOS ENVASADO TUNEL]]+Tabla3[[#This Row],[TOTAL DE BULTOS ENVASADO PLACAS]]</f>
        <v>0</v>
      </c>
      <c r="P35" s="68">
        <f>+Tabla3[[#This Row],[TOTAL DE BULTOS EMPAQUE TUNEL]]+Tabla3[[#This Row],[TOTAL DE BULTOS EMPAQUE PLACAS]]</f>
        <v>0</v>
      </c>
      <c r="Q35" s="192"/>
      <c r="R35" s="26"/>
      <c r="S35" s="26"/>
      <c r="T35" s="1073" t="str">
        <f>IFERROR(INDEX($B$4:$B$56,_xlfn.AGGREGATE(15,6,(ROW($B$4:$B$56)-ROW($B$4)+1)/((ISNUMBER($B$4:$B$56))*((($H$4:$H$56&gt;=0.5)+($L$4:$L$56&gt;=0.5))&gt;0)),ROWS($T$5:T35))),"")</f>
        <v/>
      </c>
      <c r="U35" s="1076" t="str">
        <f>IFERROR(INDEX($C$4:$C$56,_xlfn.AGGREGATE(15,6,(ROW($B$4:$B$56)-ROW($B$4)+1)/((ISNUMBER($B$4:$B$56))*((($H$4:$H$56&gt;=0.5)+($L$4:$L$56&gt;=0.5))&gt;0)),ROWS($T$5:T35))),"")</f>
        <v/>
      </c>
      <c r="V35" s="1080" t="str">
        <f>IFERROR(INDEX($D$4:$D$56,_xlfn.AGGREGATE(15,6,(ROW($B$4:$B$56)-ROW($B$4)+1)/((ISNUMBER($B$4:$B$56))*((($H$4:$H$56&gt;=0.5)+($L$4:$L$56&gt;=0.5))&gt;0)),ROWS($T$5:T35))),"")</f>
        <v/>
      </c>
      <c r="W35" s="1081" t="str">
        <f>IFERROR(INDEX($E$4:$E$56,_xlfn.AGGREGATE(15,6,(ROW($B$4:$B$56)-ROW($B$4)+1)/((ISNUMBER($B$4:$B$56))*((($H$4:$H$56&gt;=0.5)+($L$4:$L$56&gt;=0.5))&gt;0)),ROWS($T$5:T35))),"")</f>
        <v/>
      </c>
      <c r="X35" s="1081" t="str">
        <f>IFERROR(INDEX($F$4:$F$56,_xlfn.AGGREGATE(15,6,(ROW($B$4:$B$56)-ROW($B$4)+1)/((ISNUMBER($B$4:$B$56))*((($H$4:$H$56&gt;=0.5)+($L$4:$L$56&gt;=0.5))&gt;0)),ROWS($T$5:T35))),"")</f>
        <v/>
      </c>
      <c r="Y35" s="1082" t="str">
        <f>IFERROR(INDEX($G$4:$G$56,_xlfn.AGGREGATE(15,6,(ROW($B$4:$B$56)-ROW($B$4)+1)/((ISNUMBER($B$4:$B$56))*((($H$4:$H$56&gt;=0.5)+($L$4:$L$56&gt;=0.5))&gt;0)),ROWS($T$5:T35))),"")</f>
        <v/>
      </c>
      <c r="Z35" s="1083" t="str">
        <f>IFERROR(INDEX($H$4:$H$56,_xlfn.AGGREGATE(15,6,(ROW($B$4:$B$56)-ROW($B$4)+1)/((ISNUMBER($B$4:$B$56))*((($H$4:$H$56&gt;=0.5)+($L$4:$L$56&gt;=0.5))&gt;0)),ROWS($T$5:T35))),"")</f>
        <v/>
      </c>
      <c r="AA35" s="1074" t="str">
        <f>IFERROR(INDEX($I$4:$I$56,_xlfn.AGGREGATE(15,6,(ROW($B$4:$B$56)-ROW($B$4)+1)/((ISNUMBER($B$4:$B$56))*((($H$4:$H$56&gt;=0.5)+($L$4:$L$56&gt;=0.5))&gt;0)),ROWS($T$5:T35))),"")</f>
        <v/>
      </c>
      <c r="AB35" s="1077" t="str">
        <f>IFERROR(INDEX($J$4:$J$56,_xlfn.AGGREGATE(15,6,(ROW($B$4:$B$56)-ROW($B$4)+1)/((ISNUMBER($B$4:$B$56))*((($H$4:$H$56&gt;=0.5)+($L$4:$L$56&gt;=0.5))&gt;0)),ROWS($T$5:T35))),"")</f>
        <v/>
      </c>
      <c r="AC35" s="1084" t="str">
        <f>IFERROR(INDEX($L$4:$L$56,_xlfn.AGGREGATE(15,6,(ROW($B$4:$B$56)-ROW($B$4)+1)/((ISNUMBER($B$4:$B$56))*((($H$4:$H$56&gt;=0.5)+($L$4:$L$56&gt;=0.5))&gt;0)),ROWS($T$5:T35))),"")</f>
        <v/>
      </c>
      <c r="AD35" s="1075" t="str">
        <f>IFERROR(INDEX($M$4:$M$56,_xlfn.AGGREGATE(15,6,(ROW($B$4:$B$56)-ROW($B$4)+1)/((ISNUMBER($B$4:$B$56))*((($H$4:$H$56&gt;=0.5)+($L$4:$L$56&gt;=0.5))&gt;0)),ROWS($T$5:T35))),"")</f>
        <v/>
      </c>
      <c r="AE35" s="1078" t="str">
        <f>IFERROR(INDEX($N$4:$N$56,_xlfn.AGGREGATE(15,6,(ROW($B$4:$B$56)-ROW($B$4)+1)/((ISNUMBER($B$4:$B$56))*((($H$4:$H$56&gt;=0.5)+($L$4:$L$56&gt;=0.5))&gt;0)),ROWS($T$5:T35))),"")</f>
        <v/>
      </c>
      <c r="AF35" s="1085" t="str">
        <f>IFERROR(INDEX($O$4:$O$56,_xlfn.AGGREGATE(15,6,(ROW($B$4:$B$56)-ROW($B$4)+1)/((ISNUMBER($B$4:$B$56))*((($H$4:$H$56&gt;=0.5)+($L$4:$L$56&gt;=0.5))&gt;0)),ROWS($T$5:T35))),"")</f>
        <v/>
      </c>
      <c r="AG35" s="1086" t="str">
        <f>IFERROR(INDEX($P$4:$P$56,_xlfn.AGGREGATE(15,6,(ROW($B$4:$B$56)-ROW($B$4)+1)/((ISNUMBER($B$4:$B$56))*((($H$4:$H$56&gt;=0.5)+($L$4:$L$56&gt;=0.5))&gt;0)),ROWS($T$5:T35))),"")</f>
        <v/>
      </c>
      <c r="AH35" s="1079" t="str">
        <f t="shared" si="2"/>
        <v/>
      </c>
    </row>
    <row r="36" spans="2:34" s="17" customFormat="1" ht="27" thickBot="1">
      <c r="B36" s="64">
        <f>+'EM-TUN'!B38</f>
        <v>33</v>
      </c>
      <c r="C36" s="25" t="str">
        <f>+'EM-TUN'!C38</f>
        <v>RECORTE PRECOCIDO</v>
      </c>
      <c r="D36" s="195">
        <f>+'RES-EN'!R38</f>
        <v>0</v>
      </c>
      <c r="E36" s="68">
        <f>+'ENV. PLACAS'!AD38</f>
        <v>0</v>
      </c>
      <c r="F36" s="368">
        <f>+'EM-TUN'!CC38</f>
        <v>0</v>
      </c>
      <c r="G36" s="69">
        <f>+'EM-PLA'!BC38</f>
        <v>0</v>
      </c>
      <c r="H36" s="1493">
        <f>+Tabla3[[#This Row],[TOTAL DE BULTOS ENVASADO TUNEL]]-(Tabla3[[#This Row],[TOTAL DE BULTOS EMPAQUE TUNEL]])</f>
        <v>0</v>
      </c>
      <c r="I36" s="1058" t="str">
        <f t="shared" si="0"/>
        <v>CUADRADO</v>
      </c>
      <c r="J36" s="1061">
        <f t="shared" si="3"/>
        <v>0</v>
      </c>
      <c r="K36" s="1628" t="str">
        <f>IF($C36="","",IFERROR(IF(INDEX(COLORES!$D:$D,MATCH($C36,COLORES!$C:$C,0))=0,"",INDEX(COLORES!$D:$D,MATCH($C36,COLORES!$C:$C,0))),IFERROR(IF(INDEX(COLORES!$D:$D,MATCH($C36&amp;"S",COLORES!$C:$C,0))=0,"",INDEX(COLORES!$D:$D,MATCH($C36&amp;"S",COLORES!$C:$C,0))),"")))</f>
        <v>LILA</v>
      </c>
      <c r="L36" s="1059">
        <f>Tabla3[[#This Row],[TOTAL DE BULTOS ENVASADO PLACAS]]-Tabla3[[#This Row],[TOTAL DE BULTOS EMPAQUE PLACAS]]</f>
        <v>0</v>
      </c>
      <c r="M36" s="1058" t="str">
        <f t="shared" si="1"/>
        <v>CUADRADO</v>
      </c>
      <c r="N36" s="1060">
        <f t="shared" si="4"/>
        <v>0</v>
      </c>
      <c r="O36" s="195">
        <f>+Tabla3[[#This Row],[TOTAL DE BULTOS ENVASADO TUNEL]]+Tabla3[[#This Row],[TOTAL DE BULTOS ENVASADO PLACAS]]</f>
        <v>0</v>
      </c>
      <c r="P36" s="68">
        <f>+Tabla3[[#This Row],[TOTAL DE BULTOS EMPAQUE TUNEL]]+Tabla3[[#This Row],[TOTAL DE BULTOS EMPAQUE PLACAS]]</f>
        <v>0</v>
      </c>
      <c r="Q36" s="192"/>
      <c r="R36" s="26"/>
      <c r="S36" s="26"/>
      <c r="T36" s="1073" t="str">
        <f>IFERROR(INDEX($B$4:$B$56,_xlfn.AGGREGATE(15,6,(ROW($B$4:$B$56)-ROW($B$4)+1)/((ISNUMBER($B$4:$B$56))*((($H$4:$H$56&gt;=0.5)+($L$4:$L$56&gt;=0.5))&gt;0)),ROWS($T$5:T36))),"")</f>
        <v/>
      </c>
      <c r="U36" s="1076" t="str">
        <f>IFERROR(INDEX($C$4:$C$56,_xlfn.AGGREGATE(15,6,(ROW($B$4:$B$56)-ROW($B$4)+1)/((ISNUMBER($B$4:$B$56))*((($H$4:$H$56&gt;=0.5)+($L$4:$L$56&gt;=0.5))&gt;0)),ROWS($T$5:T36))),"")</f>
        <v/>
      </c>
      <c r="V36" s="1080" t="str">
        <f>IFERROR(INDEX($D$4:$D$56,_xlfn.AGGREGATE(15,6,(ROW($B$4:$B$56)-ROW($B$4)+1)/((ISNUMBER($B$4:$B$56))*((($H$4:$H$56&gt;=0.5)+($L$4:$L$56&gt;=0.5))&gt;0)),ROWS($T$5:T36))),"")</f>
        <v/>
      </c>
      <c r="W36" s="1081" t="str">
        <f>IFERROR(INDEX($E$4:$E$56,_xlfn.AGGREGATE(15,6,(ROW($B$4:$B$56)-ROW($B$4)+1)/((ISNUMBER($B$4:$B$56))*((($H$4:$H$56&gt;=0.5)+($L$4:$L$56&gt;=0.5))&gt;0)),ROWS($T$5:T36))),"")</f>
        <v/>
      </c>
      <c r="X36" s="1081" t="str">
        <f>IFERROR(INDEX($F$4:$F$56,_xlfn.AGGREGATE(15,6,(ROW($B$4:$B$56)-ROW($B$4)+1)/((ISNUMBER($B$4:$B$56))*((($H$4:$H$56&gt;=0.5)+($L$4:$L$56&gt;=0.5))&gt;0)),ROWS($T$5:T36))),"")</f>
        <v/>
      </c>
      <c r="Y36" s="1082" t="str">
        <f>IFERROR(INDEX($G$4:$G$56,_xlfn.AGGREGATE(15,6,(ROW($B$4:$B$56)-ROW($B$4)+1)/((ISNUMBER($B$4:$B$56))*((($H$4:$H$56&gt;=0.5)+($L$4:$L$56&gt;=0.5))&gt;0)),ROWS($T$5:T36))),"")</f>
        <v/>
      </c>
      <c r="Z36" s="1083" t="str">
        <f>IFERROR(INDEX($H$4:$H$56,_xlfn.AGGREGATE(15,6,(ROW($B$4:$B$56)-ROW($B$4)+1)/((ISNUMBER($B$4:$B$56))*((($H$4:$H$56&gt;=0.5)+($L$4:$L$56&gt;=0.5))&gt;0)),ROWS($T$5:T36))),"")</f>
        <v/>
      </c>
      <c r="AA36" s="1074" t="str">
        <f>IFERROR(INDEX($I$4:$I$56,_xlfn.AGGREGATE(15,6,(ROW($B$4:$B$56)-ROW($B$4)+1)/((ISNUMBER($B$4:$B$56))*((($H$4:$H$56&gt;=0.5)+($L$4:$L$56&gt;=0.5))&gt;0)),ROWS($T$5:T36))),"")</f>
        <v/>
      </c>
      <c r="AB36" s="1077" t="str">
        <f>IFERROR(INDEX($J$4:$J$56,_xlfn.AGGREGATE(15,6,(ROW($B$4:$B$56)-ROW($B$4)+1)/((ISNUMBER($B$4:$B$56))*((($H$4:$H$56&gt;=0.5)+($L$4:$L$56&gt;=0.5))&gt;0)),ROWS($T$5:T36))),"")</f>
        <v/>
      </c>
      <c r="AC36" s="1084" t="str">
        <f>IFERROR(INDEX($L$4:$L$56,_xlfn.AGGREGATE(15,6,(ROW($B$4:$B$56)-ROW($B$4)+1)/((ISNUMBER($B$4:$B$56))*((($H$4:$H$56&gt;=0.5)+($L$4:$L$56&gt;=0.5))&gt;0)),ROWS($T$5:T36))),"")</f>
        <v/>
      </c>
      <c r="AD36" s="1075" t="str">
        <f>IFERROR(INDEX($M$4:$M$56,_xlfn.AGGREGATE(15,6,(ROW($B$4:$B$56)-ROW($B$4)+1)/((ISNUMBER($B$4:$B$56))*((($H$4:$H$56&gt;=0.5)+($L$4:$L$56&gt;=0.5))&gt;0)),ROWS($T$5:T36))),"")</f>
        <v/>
      </c>
      <c r="AE36" s="1078" t="str">
        <f>IFERROR(INDEX($N$4:$N$56,_xlfn.AGGREGATE(15,6,(ROW($B$4:$B$56)-ROW($B$4)+1)/((ISNUMBER($B$4:$B$56))*((($H$4:$H$56&gt;=0.5)+($L$4:$L$56&gt;=0.5))&gt;0)),ROWS($T$5:T36))),"")</f>
        <v/>
      </c>
      <c r="AF36" s="1085" t="str">
        <f>IFERROR(INDEX($O$4:$O$56,_xlfn.AGGREGATE(15,6,(ROW($B$4:$B$56)-ROW($B$4)+1)/((ISNUMBER($B$4:$B$56))*((($H$4:$H$56&gt;=0.5)+($L$4:$L$56&gt;=0.5))&gt;0)),ROWS($T$5:T36))),"")</f>
        <v/>
      </c>
      <c r="AG36" s="1086" t="str">
        <f>IFERROR(INDEX($P$4:$P$56,_xlfn.AGGREGATE(15,6,(ROW($B$4:$B$56)-ROW($B$4)+1)/((ISNUMBER($B$4:$B$56))*((($H$4:$H$56&gt;=0.5)+($L$4:$L$56&gt;=0.5))&gt;0)),ROWS($T$5:T36))),"")</f>
        <v/>
      </c>
      <c r="AH36" s="1079" t="str">
        <f t="shared" si="2"/>
        <v/>
      </c>
    </row>
    <row r="37" spans="2:34" s="17" customFormat="1" ht="27" thickBot="1">
      <c r="B37" s="64">
        <f>+'EM-TUN'!B39</f>
        <v>34</v>
      </c>
      <c r="C37" s="25" t="str">
        <f>+'EM-TUN'!C39</f>
        <v>REPRODUCTORES SV, PEQUEÑO</v>
      </c>
      <c r="D37" s="195">
        <f>+'RES-EN'!R39</f>
        <v>0</v>
      </c>
      <c r="E37" s="68">
        <f>+'ENV. PLACAS'!AD39</f>
        <v>0</v>
      </c>
      <c r="F37" s="368">
        <f>+'EM-TUN'!CC39</f>
        <v>0</v>
      </c>
      <c r="G37" s="69">
        <f>+'EM-PLA'!BC39</f>
        <v>0</v>
      </c>
      <c r="H37" s="1493">
        <f>+Tabla3[[#This Row],[TOTAL DE BULTOS ENVASADO TUNEL]]-(Tabla3[[#This Row],[TOTAL DE BULTOS EMPAQUE TUNEL]])</f>
        <v>0</v>
      </c>
      <c r="I37" s="1057" t="str">
        <f t="shared" si="0"/>
        <v>CUADRADO</v>
      </c>
      <c r="J37" s="1061">
        <f t="shared" si="3"/>
        <v>0</v>
      </c>
      <c r="K37" s="1621" t="str">
        <f>IF($C37="","",IFERROR(IF(INDEX(COLORES!$D:$D,MATCH($C37,COLORES!$C:$C,0))=0,"",INDEX(COLORES!$D:$D,MATCH($C37,COLORES!$C:$C,0))),IFERROR(IF(INDEX(COLORES!$D:$D,MATCH($C37&amp;"S",COLORES!$C:$C,0))=0,"",INDEX(COLORES!$D:$D,MATCH($C37&amp;"S",COLORES!$C:$C,0))),"")))</f>
        <v>CREMA</v>
      </c>
      <c r="L37" s="1059">
        <f>Tabla3[[#This Row],[TOTAL DE BULTOS ENVASADO PLACAS]]-Tabla3[[#This Row],[TOTAL DE BULTOS EMPAQUE PLACAS]]</f>
        <v>0</v>
      </c>
      <c r="M37" s="1058" t="str">
        <f t="shared" si="1"/>
        <v>CUADRADO</v>
      </c>
      <c r="N37" s="1060">
        <f t="shared" si="4"/>
        <v>0</v>
      </c>
      <c r="O37" s="195">
        <f>+Tabla3[[#This Row],[TOTAL DE BULTOS ENVASADO TUNEL]]+Tabla3[[#This Row],[TOTAL DE BULTOS ENVASADO PLACAS]]</f>
        <v>0</v>
      </c>
      <c r="P37" s="68">
        <f>+Tabla3[[#This Row],[TOTAL DE BULTOS EMPAQUE TUNEL]]+Tabla3[[#This Row],[TOTAL DE BULTOS EMPAQUE PLACAS]]</f>
        <v>0</v>
      </c>
      <c r="Q37" s="192"/>
      <c r="R37" s="26"/>
      <c r="S37" s="26"/>
      <c r="T37" s="1073" t="str">
        <f>IFERROR(INDEX($B$4:$B$56,_xlfn.AGGREGATE(15,6,(ROW($B$4:$B$56)-ROW($B$4)+1)/((ISNUMBER($B$4:$B$56))*((($H$4:$H$56&gt;=0.5)+($L$4:$L$56&gt;=0.5))&gt;0)),ROWS($T$5:T37))),"")</f>
        <v/>
      </c>
      <c r="U37" s="1076" t="str">
        <f>IFERROR(INDEX($C$4:$C$56,_xlfn.AGGREGATE(15,6,(ROW($B$4:$B$56)-ROW($B$4)+1)/((ISNUMBER($B$4:$B$56))*((($H$4:$H$56&gt;=0.5)+($L$4:$L$56&gt;=0.5))&gt;0)),ROWS($T$5:T37))),"")</f>
        <v/>
      </c>
      <c r="V37" s="1080" t="str">
        <f>IFERROR(INDEX($D$4:$D$56,_xlfn.AGGREGATE(15,6,(ROW($B$4:$B$56)-ROW($B$4)+1)/((ISNUMBER($B$4:$B$56))*((($H$4:$H$56&gt;=0.5)+($L$4:$L$56&gt;=0.5))&gt;0)),ROWS($T$5:T37))),"")</f>
        <v/>
      </c>
      <c r="W37" s="1081" t="str">
        <f>IFERROR(INDEX($E$4:$E$56,_xlfn.AGGREGATE(15,6,(ROW($B$4:$B$56)-ROW($B$4)+1)/((ISNUMBER($B$4:$B$56))*((($H$4:$H$56&gt;=0.5)+($L$4:$L$56&gt;=0.5))&gt;0)),ROWS($T$5:T37))),"")</f>
        <v/>
      </c>
      <c r="X37" s="1081" t="str">
        <f>IFERROR(INDEX($F$4:$F$56,_xlfn.AGGREGATE(15,6,(ROW($B$4:$B$56)-ROW($B$4)+1)/((ISNUMBER($B$4:$B$56))*((($H$4:$H$56&gt;=0.5)+($L$4:$L$56&gt;=0.5))&gt;0)),ROWS($T$5:T37))),"")</f>
        <v/>
      </c>
      <c r="Y37" s="1082" t="str">
        <f>IFERROR(INDEX($G$4:$G$56,_xlfn.AGGREGATE(15,6,(ROW($B$4:$B$56)-ROW($B$4)+1)/((ISNUMBER($B$4:$B$56))*((($H$4:$H$56&gt;=0.5)+($L$4:$L$56&gt;=0.5))&gt;0)),ROWS($T$5:T37))),"")</f>
        <v/>
      </c>
      <c r="Z37" s="1083" t="str">
        <f>IFERROR(INDEX($H$4:$H$56,_xlfn.AGGREGATE(15,6,(ROW($B$4:$B$56)-ROW($B$4)+1)/((ISNUMBER($B$4:$B$56))*((($H$4:$H$56&gt;=0.5)+($L$4:$L$56&gt;=0.5))&gt;0)),ROWS($T$5:T37))),"")</f>
        <v/>
      </c>
      <c r="AA37" s="1074" t="str">
        <f>IFERROR(INDEX($I$4:$I$56,_xlfn.AGGREGATE(15,6,(ROW($B$4:$B$56)-ROW($B$4)+1)/((ISNUMBER($B$4:$B$56))*((($H$4:$H$56&gt;=0.5)+($L$4:$L$56&gt;=0.5))&gt;0)),ROWS($T$5:T37))),"")</f>
        <v/>
      </c>
      <c r="AB37" s="1077" t="str">
        <f>IFERROR(INDEX($J$4:$J$56,_xlfn.AGGREGATE(15,6,(ROW($B$4:$B$56)-ROW($B$4)+1)/((ISNUMBER($B$4:$B$56))*((($H$4:$H$56&gt;=0.5)+($L$4:$L$56&gt;=0.5))&gt;0)),ROWS($T$5:T37))),"")</f>
        <v/>
      </c>
      <c r="AC37" s="1084" t="str">
        <f>IFERROR(INDEX($L$4:$L$56,_xlfn.AGGREGATE(15,6,(ROW($B$4:$B$56)-ROW($B$4)+1)/((ISNUMBER($B$4:$B$56))*((($H$4:$H$56&gt;=0.5)+($L$4:$L$56&gt;=0.5))&gt;0)),ROWS($T$5:T37))),"")</f>
        <v/>
      </c>
      <c r="AD37" s="1075" t="str">
        <f>IFERROR(INDEX($M$4:$M$56,_xlfn.AGGREGATE(15,6,(ROW($B$4:$B$56)-ROW($B$4)+1)/((ISNUMBER($B$4:$B$56))*((($H$4:$H$56&gt;=0.5)+($L$4:$L$56&gt;=0.5))&gt;0)),ROWS($T$5:T37))),"")</f>
        <v/>
      </c>
      <c r="AE37" s="1078" t="str">
        <f>IFERROR(INDEX($N$4:$N$56,_xlfn.AGGREGATE(15,6,(ROW($B$4:$B$56)-ROW($B$4)+1)/((ISNUMBER($B$4:$B$56))*((($H$4:$H$56&gt;=0.5)+($L$4:$L$56&gt;=0.5))&gt;0)),ROWS($T$5:T37))),"")</f>
        <v/>
      </c>
      <c r="AF37" s="1085" t="str">
        <f>IFERROR(INDEX($O$4:$O$56,_xlfn.AGGREGATE(15,6,(ROW($B$4:$B$56)-ROW($B$4)+1)/((ISNUMBER($B$4:$B$56))*((($H$4:$H$56&gt;=0.5)+($L$4:$L$56&gt;=0.5))&gt;0)),ROWS($T$5:T37))),"")</f>
        <v/>
      </c>
      <c r="AG37" s="1086" t="str">
        <f>IFERROR(INDEX($P$4:$P$56,_xlfn.AGGREGATE(15,6,(ROW($B$4:$B$56)-ROW($B$4)+1)/((ISNUMBER($B$4:$B$56))*((($H$4:$H$56&gt;=0.5)+($L$4:$L$56&gt;=0.5))&gt;0)),ROWS($T$5:T37))),"")</f>
        <v/>
      </c>
      <c r="AH37" s="1079" t="str">
        <f t="shared" ref="AH37:AH56" si="5">IF($T37="","",IF(AND($AA37="CUADRADO",$AD37="CUADRADO"),"OK","REVISAR"))</f>
        <v/>
      </c>
    </row>
    <row r="38" spans="2:34" s="17" customFormat="1" ht="27" thickBot="1">
      <c r="B38" s="64">
        <f>+'EM-TUN'!B40</f>
        <v>35</v>
      </c>
      <c r="C38" s="25" t="str">
        <f>+'EM-TUN'!C40</f>
        <v>REPRODUCTOR SV GRANDE</v>
      </c>
      <c r="D38" s="195">
        <f>+'RES-EN'!R40</f>
        <v>0</v>
      </c>
      <c r="E38" s="68">
        <f>+'ENV. PLACAS'!AD40</f>
        <v>0</v>
      </c>
      <c r="F38" s="368">
        <f>+'EM-TUN'!CC40</f>
        <v>0</v>
      </c>
      <c r="G38" s="69">
        <f>+'EM-PLA'!BC40</f>
        <v>0</v>
      </c>
      <c r="H38" s="1493">
        <f>+Tabla3[[#This Row],[TOTAL DE BULTOS ENVASADO TUNEL]]-(Tabla3[[#This Row],[TOTAL DE BULTOS EMPAQUE TUNEL]])</f>
        <v>0</v>
      </c>
      <c r="I38" s="1057" t="str">
        <f t="shared" si="0"/>
        <v>CUADRADO</v>
      </c>
      <c r="J38" s="1061">
        <f t="shared" si="3"/>
        <v>0</v>
      </c>
      <c r="K38" s="1621" t="str">
        <f>IF($C38="","",IFERROR(IF(INDEX(COLORES!$D:$D,MATCH($C38,COLORES!$C:$C,0))=0,"",INDEX(COLORES!$D:$D,MATCH($C38,COLORES!$C:$C,0))),IFERROR(IF(INDEX(COLORES!$D:$D,MATCH($C38&amp;"S",COLORES!$C:$C,0))=0,"",INDEX(COLORES!$D:$D,MATCH($C38&amp;"S",COLORES!$C:$C,0))),"")))</f>
        <v>AZUL</v>
      </c>
      <c r="L38" s="1059">
        <f>Tabla3[[#This Row],[TOTAL DE BULTOS ENVASADO PLACAS]]-Tabla3[[#This Row],[TOTAL DE BULTOS EMPAQUE PLACAS]]</f>
        <v>0</v>
      </c>
      <c r="M38" s="1058" t="str">
        <f t="shared" si="1"/>
        <v>CUADRADO</v>
      </c>
      <c r="N38" s="1060">
        <f t="shared" si="4"/>
        <v>0</v>
      </c>
      <c r="O38" s="195">
        <f>+Tabla3[[#This Row],[TOTAL DE BULTOS ENVASADO TUNEL]]+Tabla3[[#This Row],[TOTAL DE BULTOS ENVASADO PLACAS]]</f>
        <v>0</v>
      </c>
      <c r="P38" s="68">
        <f>+Tabla3[[#This Row],[TOTAL DE BULTOS EMPAQUE TUNEL]]+Tabla3[[#This Row],[TOTAL DE BULTOS EMPAQUE PLACAS]]</f>
        <v>0</v>
      </c>
      <c r="Q38" s="192"/>
      <c r="R38" s="26"/>
      <c r="S38" s="26"/>
      <c r="T38" s="1073" t="str">
        <f>IFERROR(INDEX($B$4:$B$56,_xlfn.AGGREGATE(15,6,(ROW($B$4:$B$56)-ROW($B$4)+1)/((ISNUMBER($B$4:$B$56))*((($H$4:$H$56&gt;=0.5)+($L$4:$L$56&gt;=0.5))&gt;0)),ROWS($T$5:T38))),"")</f>
        <v/>
      </c>
      <c r="U38" s="1076" t="str">
        <f>IFERROR(INDEX($C$4:$C$56,_xlfn.AGGREGATE(15,6,(ROW($B$4:$B$56)-ROW($B$4)+1)/((ISNUMBER($B$4:$B$56))*((($H$4:$H$56&gt;=0.5)+($L$4:$L$56&gt;=0.5))&gt;0)),ROWS($T$5:T38))),"")</f>
        <v/>
      </c>
      <c r="V38" s="1080" t="str">
        <f>IFERROR(INDEX($D$4:$D$56,_xlfn.AGGREGATE(15,6,(ROW($B$4:$B$56)-ROW($B$4)+1)/((ISNUMBER($B$4:$B$56))*((($H$4:$H$56&gt;=0.5)+($L$4:$L$56&gt;=0.5))&gt;0)),ROWS($T$5:T38))),"")</f>
        <v/>
      </c>
      <c r="W38" s="1081" t="str">
        <f>IFERROR(INDEX($E$4:$E$56,_xlfn.AGGREGATE(15,6,(ROW($B$4:$B$56)-ROW($B$4)+1)/((ISNUMBER($B$4:$B$56))*((($H$4:$H$56&gt;=0.5)+($L$4:$L$56&gt;=0.5))&gt;0)),ROWS($T$5:T38))),"")</f>
        <v/>
      </c>
      <c r="X38" s="1081" t="str">
        <f>IFERROR(INDEX($F$4:$F$56,_xlfn.AGGREGATE(15,6,(ROW($B$4:$B$56)-ROW($B$4)+1)/((ISNUMBER($B$4:$B$56))*((($H$4:$H$56&gt;=0.5)+($L$4:$L$56&gt;=0.5))&gt;0)),ROWS($T$5:T38))),"")</f>
        <v/>
      </c>
      <c r="Y38" s="1082" t="str">
        <f>IFERROR(INDEX($G$4:$G$56,_xlfn.AGGREGATE(15,6,(ROW($B$4:$B$56)-ROW($B$4)+1)/((ISNUMBER($B$4:$B$56))*((($H$4:$H$56&gt;=0.5)+($L$4:$L$56&gt;=0.5))&gt;0)),ROWS($T$5:T38))),"")</f>
        <v/>
      </c>
      <c r="Z38" s="1083" t="str">
        <f>IFERROR(INDEX($H$4:$H$56,_xlfn.AGGREGATE(15,6,(ROW($B$4:$B$56)-ROW($B$4)+1)/((ISNUMBER($B$4:$B$56))*((($H$4:$H$56&gt;=0.5)+($L$4:$L$56&gt;=0.5))&gt;0)),ROWS($T$5:T38))),"")</f>
        <v/>
      </c>
      <c r="AA38" s="1074" t="str">
        <f>IFERROR(INDEX($I$4:$I$56,_xlfn.AGGREGATE(15,6,(ROW($B$4:$B$56)-ROW($B$4)+1)/((ISNUMBER($B$4:$B$56))*((($H$4:$H$56&gt;=0.5)+($L$4:$L$56&gt;=0.5))&gt;0)),ROWS($T$5:T38))),"")</f>
        <v/>
      </c>
      <c r="AB38" s="1077" t="str">
        <f>IFERROR(INDEX($J$4:$J$56,_xlfn.AGGREGATE(15,6,(ROW($B$4:$B$56)-ROW($B$4)+1)/((ISNUMBER($B$4:$B$56))*((($H$4:$H$56&gt;=0.5)+($L$4:$L$56&gt;=0.5))&gt;0)),ROWS($T$5:T38))),"")</f>
        <v/>
      </c>
      <c r="AC38" s="1084" t="str">
        <f>IFERROR(INDEX($L$4:$L$56,_xlfn.AGGREGATE(15,6,(ROW($B$4:$B$56)-ROW($B$4)+1)/((ISNUMBER($B$4:$B$56))*((($H$4:$H$56&gt;=0.5)+($L$4:$L$56&gt;=0.5))&gt;0)),ROWS($T$5:T38))),"")</f>
        <v/>
      </c>
      <c r="AD38" s="1075" t="str">
        <f>IFERROR(INDEX($M$4:$M$56,_xlfn.AGGREGATE(15,6,(ROW($B$4:$B$56)-ROW($B$4)+1)/((ISNUMBER($B$4:$B$56))*((($H$4:$H$56&gt;=0.5)+($L$4:$L$56&gt;=0.5))&gt;0)),ROWS($T$5:T38))),"")</f>
        <v/>
      </c>
      <c r="AE38" s="1078" t="str">
        <f>IFERROR(INDEX($N$4:$N$56,_xlfn.AGGREGATE(15,6,(ROW($B$4:$B$56)-ROW($B$4)+1)/((ISNUMBER($B$4:$B$56))*((($H$4:$H$56&gt;=0.5)+($L$4:$L$56&gt;=0.5))&gt;0)),ROWS($T$5:T38))),"")</f>
        <v/>
      </c>
      <c r="AF38" s="1085" t="str">
        <f>IFERROR(INDEX($O$4:$O$56,_xlfn.AGGREGATE(15,6,(ROW($B$4:$B$56)-ROW($B$4)+1)/((ISNUMBER($B$4:$B$56))*((($H$4:$H$56&gt;=0.5)+($L$4:$L$56&gt;=0.5))&gt;0)),ROWS($T$5:T38))),"")</f>
        <v/>
      </c>
      <c r="AG38" s="1086" t="str">
        <f>IFERROR(INDEX($P$4:$P$56,_xlfn.AGGREGATE(15,6,(ROW($B$4:$B$56)-ROW($B$4)+1)/((ISNUMBER($B$4:$B$56))*((($H$4:$H$56&gt;=0.5)+($L$4:$L$56&gt;=0.5))&gt;0)),ROWS($T$5:T38))),"")</f>
        <v/>
      </c>
      <c r="AH38" s="1079" t="str">
        <f t="shared" si="5"/>
        <v/>
      </c>
    </row>
    <row r="39" spans="2:34" s="17" customFormat="1" ht="27" thickBot="1">
      <c r="B39" s="64">
        <f>+'EM-TUN'!B41</f>
        <v>36</v>
      </c>
      <c r="C39" s="25" t="str">
        <f>+'EM-TUN'!C41</f>
        <v>TUBO ALETA 1.0-2.0 Kg/pza</v>
      </c>
      <c r="D39" s="195">
        <f>+'RES-EN'!R41</f>
        <v>0</v>
      </c>
      <c r="E39" s="68">
        <f>+'ENV. PLACAS'!AD41</f>
        <v>0</v>
      </c>
      <c r="F39" s="368">
        <f>+'EM-TUN'!CC41</f>
        <v>0</v>
      </c>
      <c r="G39" s="69">
        <f>+'EM-PLA'!BC41</f>
        <v>0</v>
      </c>
      <c r="H39" s="1493">
        <f>+Tabla3[[#This Row],[TOTAL DE BULTOS ENVASADO TUNEL]]-(Tabla3[[#This Row],[TOTAL DE BULTOS EMPAQUE TUNEL]])</f>
        <v>0</v>
      </c>
      <c r="I39" s="1058" t="str">
        <f t="shared" si="0"/>
        <v>CUADRADO</v>
      </c>
      <c r="J39" s="1061">
        <f t="shared" si="3"/>
        <v>0</v>
      </c>
      <c r="K39" s="1625" t="str">
        <f>IF($C39="","",IFERROR(IF(INDEX(COLORES!$D:$D,MATCH($C39,COLORES!$C:$C,0))=0,"",INDEX(COLORES!$D:$D,MATCH($C39,COLORES!$C:$C,0))),IFERROR(IF(INDEX(COLORES!$D:$D,MATCH($C39&amp;"S",COLORES!$C:$C,0))=0,"",INDEX(COLORES!$D:$D,MATCH($C39&amp;"S",COLORES!$C:$C,0))),"")))</f>
        <v/>
      </c>
      <c r="L39" s="1059">
        <f>Tabla3[[#This Row],[TOTAL DE BULTOS ENVASADO PLACAS]]-Tabla3[[#This Row],[TOTAL DE BULTOS EMPAQUE PLACAS]]</f>
        <v>0</v>
      </c>
      <c r="M39" s="1058" t="str">
        <f t="shared" si="1"/>
        <v>CUADRADO</v>
      </c>
      <c r="N39" s="1060">
        <f t="shared" si="4"/>
        <v>0</v>
      </c>
      <c r="O39" s="195">
        <f>+Tabla3[[#This Row],[TOTAL DE BULTOS ENVASADO TUNEL]]+Tabla3[[#This Row],[TOTAL DE BULTOS ENVASADO PLACAS]]</f>
        <v>0</v>
      </c>
      <c r="P39" s="68">
        <f>+Tabla3[[#This Row],[TOTAL DE BULTOS EMPAQUE TUNEL]]+Tabla3[[#This Row],[TOTAL DE BULTOS EMPAQUE PLACAS]]</f>
        <v>0</v>
      </c>
      <c r="Q39" s="192"/>
      <c r="R39" s="26"/>
      <c r="S39" s="26"/>
      <c r="T39" s="1073" t="str">
        <f>IFERROR(INDEX($B$4:$B$56,_xlfn.AGGREGATE(15,6,(ROW($B$4:$B$56)-ROW($B$4)+1)/((ISNUMBER($B$4:$B$56))*((($H$4:$H$56&gt;=0.5)+($L$4:$L$56&gt;=0.5))&gt;0)),ROWS($T$5:T39))),"")</f>
        <v/>
      </c>
      <c r="U39" s="1076" t="str">
        <f>IFERROR(INDEX($C$4:$C$56,_xlfn.AGGREGATE(15,6,(ROW($B$4:$B$56)-ROW($B$4)+1)/((ISNUMBER($B$4:$B$56))*((($H$4:$H$56&gt;=0.5)+($L$4:$L$56&gt;=0.5))&gt;0)),ROWS($T$5:T39))),"")</f>
        <v/>
      </c>
      <c r="V39" s="1080" t="str">
        <f>IFERROR(INDEX($D$4:$D$56,_xlfn.AGGREGATE(15,6,(ROW($B$4:$B$56)-ROW($B$4)+1)/((ISNUMBER($B$4:$B$56))*((($H$4:$H$56&gt;=0.5)+($L$4:$L$56&gt;=0.5))&gt;0)),ROWS($T$5:T39))),"")</f>
        <v/>
      </c>
      <c r="W39" s="1081" t="str">
        <f>IFERROR(INDEX($E$4:$E$56,_xlfn.AGGREGATE(15,6,(ROW($B$4:$B$56)-ROW($B$4)+1)/((ISNUMBER($B$4:$B$56))*((($H$4:$H$56&gt;=0.5)+($L$4:$L$56&gt;=0.5))&gt;0)),ROWS($T$5:T39))),"")</f>
        <v/>
      </c>
      <c r="X39" s="1081" t="str">
        <f>IFERROR(INDEX($F$4:$F$56,_xlfn.AGGREGATE(15,6,(ROW($B$4:$B$56)-ROW($B$4)+1)/((ISNUMBER($B$4:$B$56))*((($H$4:$H$56&gt;=0.5)+($L$4:$L$56&gt;=0.5))&gt;0)),ROWS($T$5:T39))),"")</f>
        <v/>
      </c>
      <c r="Y39" s="1082" t="str">
        <f>IFERROR(INDEX($G$4:$G$56,_xlfn.AGGREGATE(15,6,(ROW($B$4:$B$56)-ROW($B$4)+1)/((ISNUMBER($B$4:$B$56))*((($H$4:$H$56&gt;=0.5)+($L$4:$L$56&gt;=0.5))&gt;0)),ROWS($T$5:T39))),"")</f>
        <v/>
      </c>
      <c r="Z39" s="1083" t="str">
        <f>IFERROR(INDEX($H$4:$H$56,_xlfn.AGGREGATE(15,6,(ROW($B$4:$B$56)-ROW($B$4)+1)/((ISNUMBER($B$4:$B$56))*((($H$4:$H$56&gt;=0.5)+($L$4:$L$56&gt;=0.5))&gt;0)),ROWS($T$5:T39))),"")</f>
        <v/>
      </c>
      <c r="AA39" s="1074" t="str">
        <f>IFERROR(INDEX($I$4:$I$56,_xlfn.AGGREGATE(15,6,(ROW($B$4:$B$56)-ROW($B$4)+1)/((ISNUMBER($B$4:$B$56))*((($H$4:$H$56&gt;=0.5)+($L$4:$L$56&gt;=0.5))&gt;0)),ROWS($T$5:T39))),"")</f>
        <v/>
      </c>
      <c r="AB39" s="1077" t="str">
        <f>IFERROR(INDEX($J$4:$J$56,_xlfn.AGGREGATE(15,6,(ROW($B$4:$B$56)-ROW($B$4)+1)/((ISNUMBER($B$4:$B$56))*((($H$4:$H$56&gt;=0.5)+($L$4:$L$56&gt;=0.5))&gt;0)),ROWS($T$5:T39))),"")</f>
        <v/>
      </c>
      <c r="AC39" s="1084" t="str">
        <f>IFERROR(INDEX($L$4:$L$56,_xlfn.AGGREGATE(15,6,(ROW($B$4:$B$56)-ROW($B$4)+1)/((ISNUMBER($B$4:$B$56))*((($H$4:$H$56&gt;=0.5)+($L$4:$L$56&gt;=0.5))&gt;0)),ROWS($T$5:T39))),"")</f>
        <v/>
      </c>
      <c r="AD39" s="1075" t="str">
        <f>IFERROR(INDEX($M$4:$M$56,_xlfn.AGGREGATE(15,6,(ROW($B$4:$B$56)-ROW($B$4)+1)/((ISNUMBER($B$4:$B$56))*((($H$4:$H$56&gt;=0.5)+($L$4:$L$56&gt;=0.5))&gt;0)),ROWS($T$5:T39))),"")</f>
        <v/>
      </c>
      <c r="AE39" s="1078" t="str">
        <f>IFERROR(INDEX($N$4:$N$56,_xlfn.AGGREGATE(15,6,(ROW($B$4:$B$56)-ROW($B$4)+1)/((ISNUMBER($B$4:$B$56))*((($H$4:$H$56&gt;=0.5)+($L$4:$L$56&gt;=0.5))&gt;0)),ROWS($T$5:T39))),"")</f>
        <v/>
      </c>
      <c r="AF39" s="1085" t="str">
        <f>IFERROR(INDEX($O$4:$O$56,_xlfn.AGGREGATE(15,6,(ROW($B$4:$B$56)-ROW($B$4)+1)/((ISNUMBER($B$4:$B$56))*((($H$4:$H$56&gt;=0.5)+($L$4:$L$56&gt;=0.5))&gt;0)),ROWS($T$5:T39))),"")</f>
        <v/>
      </c>
      <c r="AG39" s="1086" t="str">
        <f>IFERROR(INDEX($P$4:$P$56,_xlfn.AGGREGATE(15,6,(ROW($B$4:$B$56)-ROW($B$4)+1)/((ISNUMBER($B$4:$B$56))*((($H$4:$H$56&gt;=0.5)+($L$4:$L$56&gt;=0.5))&gt;0)),ROWS($T$5:T39))),"")</f>
        <v/>
      </c>
      <c r="AH39" s="1079" t="str">
        <f t="shared" si="5"/>
        <v/>
      </c>
    </row>
    <row r="40" spans="2:34" s="17" customFormat="1" ht="27" thickBot="1">
      <c r="B40" s="64">
        <f>+'EM-TUN'!B42</f>
        <v>37</v>
      </c>
      <c r="C40" s="25" t="str">
        <f>+'EM-TUN'!C42</f>
        <v>TENTACULO C/B C/V SR 100-300 g/pza (SUCIO)</v>
      </c>
      <c r="D40" s="195">
        <f>+'RES-EN'!R42</f>
        <v>0</v>
      </c>
      <c r="E40" s="68">
        <f>+'ENV. PLACAS'!AD42</f>
        <v>0</v>
      </c>
      <c r="F40" s="368">
        <f>+'EM-TUN'!CC42</f>
        <v>0</v>
      </c>
      <c r="G40" s="69">
        <f>+'EM-PLA'!BC42</f>
        <v>0</v>
      </c>
      <c r="H40" s="1493">
        <f>+Tabla3[[#This Row],[TOTAL DE BULTOS ENVASADO TUNEL]]-(Tabla3[[#This Row],[TOTAL DE BULTOS EMPAQUE TUNEL]])</f>
        <v>0</v>
      </c>
      <c r="I40" s="1058" t="str">
        <f t="shared" si="0"/>
        <v>CUADRADO</v>
      </c>
      <c r="J40" s="1061">
        <f t="shared" si="3"/>
        <v>0</v>
      </c>
      <c r="K40" s="1678" t="str">
        <f>IF($C40="","",IFERROR(IF(INDEX(COLORES!$D:$D,MATCH($C40,COLORES!$C:$C,0))=0,"",INDEX(COLORES!$D:$D,MATCH($C40,COLORES!$C:$C,0))),IFERROR(IF(INDEX(COLORES!$D:$D,MATCH($C40&amp;"S",COLORES!$C:$C,0))=0,"",INDEX(COLORES!$D:$D,MATCH($C40&amp;"S",COLORES!$C:$C,0))),"")))</f>
        <v>VERDE</v>
      </c>
      <c r="L40" s="1059">
        <f>Tabla3[[#This Row],[TOTAL DE BULTOS ENVASADO PLACAS]]-Tabla3[[#This Row],[TOTAL DE BULTOS EMPAQUE PLACAS]]</f>
        <v>0</v>
      </c>
      <c r="M40" s="1058" t="str">
        <f t="shared" si="1"/>
        <v>CUADRADO</v>
      </c>
      <c r="N40" s="1060">
        <f t="shared" si="4"/>
        <v>0</v>
      </c>
      <c r="O40" s="195">
        <f>+Tabla3[[#This Row],[TOTAL DE BULTOS ENVASADO TUNEL]]+Tabla3[[#This Row],[TOTAL DE BULTOS ENVASADO PLACAS]]</f>
        <v>0</v>
      </c>
      <c r="P40" s="68">
        <f>+Tabla3[[#This Row],[TOTAL DE BULTOS EMPAQUE TUNEL]]+Tabla3[[#This Row],[TOTAL DE BULTOS EMPAQUE PLACAS]]</f>
        <v>0</v>
      </c>
      <c r="Q40" s="192"/>
      <c r="R40" s="26"/>
      <c r="S40" s="26"/>
      <c r="T40" s="1073" t="str">
        <f>IFERROR(INDEX($B$4:$B$56,_xlfn.AGGREGATE(15,6,(ROW($B$4:$B$56)-ROW($B$4)+1)/((ISNUMBER($B$4:$B$56))*((($H$4:$H$56&gt;=0.5)+($L$4:$L$56&gt;=0.5))&gt;0)),ROWS($T$5:T40))),"")</f>
        <v/>
      </c>
      <c r="U40" s="1076" t="str">
        <f>IFERROR(INDEX($C$4:$C$56,_xlfn.AGGREGATE(15,6,(ROW($B$4:$B$56)-ROW($B$4)+1)/((ISNUMBER($B$4:$B$56))*((($H$4:$H$56&gt;=0.5)+($L$4:$L$56&gt;=0.5))&gt;0)),ROWS($T$5:T40))),"")</f>
        <v/>
      </c>
      <c r="V40" s="1080" t="str">
        <f>IFERROR(INDEX($D$4:$D$56,_xlfn.AGGREGATE(15,6,(ROW($B$4:$B$56)-ROW($B$4)+1)/((ISNUMBER($B$4:$B$56))*((($H$4:$H$56&gt;=0.5)+($L$4:$L$56&gt;=0.5))&gt;0)),ROWS($T$5:T40))),"")</f>
        <v/>
      </c>
      <c r="W40" s="1081" t="str">
        <f>IFERROR(INDEX($E$4:$E$56,_xlfn.AGGREGATE(15,6,(ROW($B$4:$B$56)-ROW($B$4)+1)/((ISNUMBER($B$4:$B$56))*((($H$4:$H$56&gt;=0.5)+($L$4:$L$56&gt;=0.5))&gt;0)),ROWS($T$5:T40))),"")</f>
        <v/>
      </c>
      <c r="X40" s="1081" t="str">
        <f>IFERROR(INDEX($F$4:$F$56,_xlfn.AGGREGATE(15,6,(ROW($B$4:$B$56)-ROW($B$4)+1)/((ISNUMBER($B$4:$B$56))*((($H$4:$H$56&gt;=0.5)+($L$4:$L$56&gt;=0.5))&gt;0)),ROWS($T$5:T40))),"")</f>
        <v/>
      </c>
      <c r="Y40" s="1082" t="str">
        <f>IFERROR(INDEX($G$4:$G$56,_xlfn.AGGREGATE(15,6,(ROW($B$4:$B$56)-ROW($B$4)+1)/((ISNUMBER($B$4:$B$56))*((($H$4:$H$56&gt;=0.5)+($L$4:$L$56&gt;=0.5))&gt;0)),ROWS($T$5:T40))),"")</f>
        <v/>
      </c>
      <c r="Z40" s="1083" t="str">
        <f>IFERROR(INDEX($H$4:$H$56,_xlfn.AGGREGATE(15,6,(ROW($B$4:$B$56)-ROW($B$4)+1)/((ISNUMBER($B$4:$B$56))*((($H$4:$H$56&gt;=0.5)+($L$4:$L$56&gt;=0.5))&gt;0)),ROWS($T$5:T40))),"")</f>
        <v/>
      </c>
      <c r="AA40" s="1074" t="str">
        <f>IFERROR(INDEX($I$4:$I$56,_xlfn.AGGREGATE(15,6,(ROW($B$4:$B$56)-ROW($B$4)+1)/((ISNUMBER($B$4:$B$56))*((($H$4:$H$56&gt;=0.5)+($L$4:$L$56&gt;=0.5))&gt;0)),ROWS($T$5:T40))),"")</f>
        <v/>
      </c>
      <c r="AB40" s="1077" t="str">
        <f>IFERROR(INDEX($J$4:$J$56,_xlfn.AGGREGATE(15,6,(ROW($B$4:$B$56)-ROW($B$4)+1)/((ISNUMBER($B$4:$B$56))*((($H$4:$H$56&gt;=0.5)+($L$4:$L$56&gt;=0.5))&gt;0)),ROWS($T$5:T40))),"")</f>
        <v/>
      </c>
      <c r="AC40" s="1084" t="str">
        <f>IFERROR(INDEX($L$4:$L$56,_xlfn.AGGREGATE(15,6,(ROW($B$4:$B$56)-ROW($B$4)+1)/((ISNUMBER($B$4:$B$56))*((($H$4:$H$56&gt;=0.5)+($L$4:$L$56&gt;=0.5))&gt;0)),ROWS($T$5:T40))),"")</f>
        <v/>
      </c>
      <c r="AD40" s="1075" t="str">
        <f>IFERROR(INDEX($M$4:$M$56,_xlfn.AGGREGATE(15,6,(ROW($B$4:$B$56)-ROW($B$4)+1)/((ISNUMBER($B$4:$B$56))*((($H$4:$H$56&gt;=0.5)+($L$4:$L$56&gt;=0.5))&gt;0)),ROWS($T$5:T40))),"")</f>
        <v/>
      </c>
      <c r="AE40" s="1078" t="str">
        <f>IFERROR(INDEX($N$4:$N$56,_xlfn.AGGREGATE(15,6,(ROW($B$4:$B$56)-ROW($B$4)+1)/((ISNUMBER($B$4:$B$56))*((($H$4:$H$56&gt;=0.5)+($L$4:$L$56&gt;=0.5))&gt;0)),ROWS($T$5:T40))),"")</f>
        <v/>
      </c>
      <c r="AF40" s="1085" t="str">
        <f>IFERROR(INDEX($O$4:$O$56,_xlfn.AGGREGATE(15,6,(ROW($B$4:$B$56)-ROW($B$4)+1)/((ISNUMBER($B$4:$B$56))*((($H$4:$H$56&gt;=0.5)+($L$4:$L$56&gt;=0.5))&gt;0)),ROWS($T$5:T40))),"")</f>
        <v/>
      </c>
      <c r="AG40" s="1086" t="str">
        <f>IFERROR(INDEX($P$4:$P$56,_xlfn.AGGREGATE(15,6,(ROW($B$4:$B$56)-ROW($B$4)+1)/((ISNUMBER($B$4:$B$56))*((($H$4:$H$56&gt;=0.5)+($L$4:$L$56&gt;=0.5))&gt;0)),ROWS($T$5:T40))),"")</f>
        <v/>
      </c>
      <c r="AH40" s="1079" t="str">
        <f t="shared" si="5"/>
        <v/>
      </c>
    </row>
    <row r="41" spans="2:34" s="17" customFormat="1" ht="27" thickBot="1">
      <c r="B41" s="64">
        <f>+'EM-TUN'!B43</f>
        <v>38</v>
      </c>
      <c r="C41" s="25" t="str">
        <f>+'EM-TUN'!C43</f>
        <v>TENTACULO C/B C/V SR 300-500 g/pza (SUCIO)</v>
      </c>
      <c r="D41" s="195">
        <f>+'RES-EN'!R43</f>
        <v>0</v>
      </c>
      <c r="E41" s="68">
        <f>+'ENV. PLACAS'!AD43</f>
        <v>0</v>
      </c>
      <c r="F41" s="368">
        <f>+'EM-TUN'!CC43</f>
        <v>0</v>
      </c>
      <c r="G41" s="69">
        <f>+'EM-PLA'!BC43</f>
        <v>0</v>
      </c>
      <c r="H41" s="1493">
        <f>+Tabla3[[#This Row],[TOTAL DE BULTOS ENVASADO TUNEL]]-(Tabla3[[#This Row],[TOTAL DE BULTOS EMPAQUE TUNEL]])</f>
        <v>0</v>
      </c>
      <c r="I41" s="1058" t="str">
        <f t="shared" si="0"/>
        <v>CUADRADO</v>
      </c>
      <c r="J41" s="1061">
        <f t="shared" si="3"/>
        <v>0</v>
      </c>
      <c r="K41" s="1678" t="str">
        <f>IF($C41="","",IFERROR(IF(INDEX(COLORES!$D:$D,MATCH($C41,COLORES!$C:$C,0))=0,"",INDEX(COLORES!$D:$D,MATCH($C41,COLORES!$C:$C,0))),IFERROR(IF(INDEX(COLORES!$D:$D,MATCH($C41&amp;"S",COLORES!$C:$C,0))=0,"",INDEX(COLORES!$D:$D,MATCH($C41&amp;"S",COLORES!$C:$C,0))),"")))</f>
        <v>VERDE</v>
      </c>
      <c r="L41" s="1059">
        <f>Tabla3[[#This Row],[TOTAL DE BULTOS ENVASADO PLACAS]]-Tabla3[[#This Row],[TOTAL DE BULTOS EMPAQUE PLACAS]]</f>
        <v>0</v>
      </c>
      <c r="M41" s="1058" t="str">
        <f t="shared" si="1"/>
        <v>CUADRADO</v>
      </c>
      <c r="N41" s="1060">
        <f t="shared" si="4"/>
        <v>0</v>
      </c>
      <c r="O41" s="195">
        <f>+Tabla3[[#This Row],[TOTAL DE BULTOS ENVASADO TUNEL]]+Tabla3[[#This Row],[TOTAL DE BULTOS ENVASADO PLACAS]]</f>
        <v>0</v>
      </c>
      <c r="P41" s="68">
        <f>+Tabla3[[#This Row],[TOTAL DE BULTOS EMPAQUE TUNEL]]+Tabla3[[#This Row],[TOTAL DE BULTOS EMPAQUE PLACAS]]</f>
        <v>0</v>
      </c>
      <c r="Q41" s="192"/>
      <c r="R41" s="26"/>
      <c r="S41" s="26"/>
      <c r="T41" s="1073" t="str">
        <f>IFERROR(INDEX($B$4:$B$56,_xlfn.AGGREGATE(15,6,(ROW($B$4:$B$56)-ROW($B$4)+1)/((ISNUMBER($B$4:$B$56))*((($H$4:$H$56&gt;=0.5)+($L$4:$L$56&gt;=0.5))&gt;0)),ROWS($T$5:T41))),"")</f>
        <v/>
      </c>
      <c r="U41" s="1076" t="str">
        <f>IFERROR(INDEX($C$4:$C$56,_xlfn.AGGREGATE(15,6,(ROW($B$4:$B$56)-ROW($B$4)+1)/((ISNUMBER($B$4:$B$56))*((($H$4:$H$56&gt;=0.5)+($L$4:$L$56&gt;=0.5))&gt;0)),ROWS($T$5:T41))),"")</f>
        <v/>
      </c>
      <c r="V41" s="1080" t="str">
        <f>IFERROR(INDEX($D$4:$D$56,_xlfn.AGGREGATE(15,6,(ROW($B$4:$B$56)-ROW($B$4)+1)/((ISNUMBER($B$4:$B$56))*((($H$4:$H$56&gt;=0.5)+($L$4:$L$56&gt;=0.5))&gt;0)),ROWS($T$5:T41))),"")</f>
        <v/>
      </c>
      <c r="W41" s="1081" t="str">
        <f>IFERROR(INDEX($E$4:$E$56,_xlfn.AGGREGATE(15,6,(ROW($B$4:$B$56)-ROW($B$4)+1)/((ISNUMBER($B$4:$B$56))*((($H$4:$H$56&gt;=0.5)+($L$4:$L$56&gt;=0.5))&gt;0)),ROWS($T$5:T41))),"")</f>
        <v/>
      </c>
      <c r="X41" s="1081" t="str">
        <f>IFERROR(INDEX($F$4:$F$56,_xlfn.AGGREGATE(15,6,(ROW($B$4:$B$56)-ROW($B$4)+1)/((ISNUMBER($B$4:$B$56))*((($H$4:$H$56&gt;=0.5)+($L$4:$L$56&gt;=0.5))&gt;0)),ROWS($T$5:T41))),"")</f>
        <v/>
      </c>
      <c r="Y41" s="1082" t="str">
        <f>IFERROR(INDEX($G$4:$G$56,_xlfn.AGGREGATE(15,6,(ROW($B$4:$B$56)-ROW($B$4)+1)/((ISNUMBER($B$4:$B$56))*((($H$4:$H$56&gt;=0.5)+($L$4:$L$56&gt;=0.5))&gt;0)),ROWS($T$5:T41))),"")</f>
        <v/>
      </c>
      <c r="Z41" s="1083" t="str">
        <f>IFERROR(INDEX($H$4:$H$56,_xlfn.AGGREGATE(15,6,(ROW($B$4:$B$56)-ROW($B$4)+1)/((ISNUMBER($B$4:$B$56))*((($H$4:$H$56&gt;=0.5)+($L$4:$L$56&gt;=0.5))&gt;0)),ROWS($T$5:T41))),"")</f>
        <v/>
      </c>
      <c r="AA41" s="1074" t="str">
        <f>IFERROR(INDEX($I$4:$I$56,_xlfn.AGGREGATE(15,6,(ROW($B$4:$B$56)-ROW($B$4)+1)/((ISNUMBER($B$4:$B$56))*((($H$4:$H$56&gt;=0.5)+($L$4:$L$56&gt;=0.5))&gt;0)),ROWS($T$5:T41))),"")</f>
        <v/>
      </c>
      <c r="AB41" s="1077" t="str">
        <f>IFERROR(INDEX($J$4:$J$56,_xlfn.AGGREGATE(15,6,(ROW($B$4:$B$56)-ROW($B$4)+1)/((ISNUMBER($B$4:$B$56))*((($H$4:$H$56&gt;=0.5)+($L$4:$L$56&gt;=0.5))&gt;0)),ROWS($T$5:T41))),"")</f>
        <v/>
      </c>
      <c r="AC41" s="1084" t="str">
        <f>IFERROR(INDEX($L$4:$L$56,_xlfn.AGGREGATE(15,6,(ROW($B$4:$B$56)-ROW($B$4)+1)/((ISNUMBER($B$4:$B$56))*((($H$4:$H$56&gt;=0.5)+($L$4:$L$56&gt;=0.5))&gt;0)),ROWS($T$5:T41))),"")</f>
        <v/>
      </c>
      <c r="AD41" s="1075" t="str">
        <f>IFERROR(INDEX($M$4:$M$56,_xlfn.AGGREGATE(15,6,(ROW($B$4:$B$56)-ROW($B$4)+1)/((ISNUMBER($B$4:$B$56))*((($H$4:$H$56&gt;=0.5)+($L$4:$L$56&gt;=0.5))&gt;0)),ROWS($T$5:T41))),"")</f>
        <v/>
      </c>
      <c r="AE41" s="1078" t="str">
        <f>IFERROR(INDEX($N$4:$N$56,_xlfn.AGGREGATE(15,6,(ROW($B$4:$B$56)-ROW($B$4)+1)/((ISNUMBER($B$4:$B$56))*((($H$4:$H$56&gt;=0.5)+($L$4:$L$56&gt;=0.5))&gt;0)),ROWS($T$5:T41))),"")</f>
        <v/>
      </c>
      <c r="AF41" s="1085" t="str">
        <f>IFERROR(INDEX($O$4:$O$56,_xlfn.AGGREGATE(15,6,(ROW($B$4:$B$56)-ROW($B$4)+1)/((ISNUMBER($B$4:$B$56))*((($H$4:$H$56&gt;=0.5)+($L$4:$L$56&gt;=0.5))&gt;0)),ROWS($T$5:T41))),"")</f>
        <v/>
      </c>
      <c r="AG41" s="1086" t="str">
        <f>IFERROR(INDEX($P$4:$P$56,_xlfn.AGGREGATE(15,6,(ROW($B$4:$B$56)-ROW($B$4)+1)/((ISNUMBER($B$4:$B$56))*((($H$4:$H$56&gt;=0.5)+($L$4:$L$56&gt;=0.5))&gt;0)),ROWS($T$5:T41))),"")</f>
        <v/>
      </c>
      <c r="AH41" s="1079" t="str">
        <f t="shared" si="5"/>
        <v/>
      </c>
    </row>
    <row r="42" spans="2:34" s="17" customFormat="1" ht="27" thickBot="1">
      <c r="B42" s="64">
        <f>+'EM-TUN'!B44</f>
        <v>39</v>
      </c>
      <c r="C42" s="25" t="str">
        <f>+'EM-TUN'!C44</f>
        <v>TENTACULO C/B S/V SR 100-300 g/pza</v>
      </c>
      <c r="D42" s="195">
        <f>+'RES-EN'!R44</f>
        <v>0</v>
      </c>
      <c r="E42" s="68">
        <f>+'ENV. PLACAS'!AD44</f>
        <v>0</v>
      </c>
      <c r="F42" s="368">
        <f>+'EM-TUN'!CC44</f>
        <v>0</v>
      </c>
      <c r="G42" s="69">
        <f>+'EM-PLA'!BC44</f>
        <v>0</v>
      </c>
      <c r="H42" s="1493">
        <f>+Tabla3[[#This Row],[TOTAL DE BULTOS ENVASADO TUNEL]]-(Tabla3[[#This Row],[TOTAL DE BULTOS EMPAQUE TUNEL]])</f>
        <v>0</v>
      </c>
      <c r="I42" s="1058" t="str">
        <f t="shared" si="0"/>
        <v>CUADRADO</v>
      </c>
      <c r="J42" s="1061">
        <f t="shared" si="3"/>
        <v>0</v>
      </c>
      <c r="K42" s="1678" t="str">
        <f>IF($C42="","",IFERROR(IF(INDEX(COLORES!$D:$D,MATCH($C42,COLORES!$C:$C,0))=0,"",INDEX(COLORES!$D:$D,MATCH($C42,COLORES!$C:$C,0))),IFERROR(IF(INDEX(COLORES!$D:$D,MATCH($C42&amp;"S",COLORES!$C:$C,0))=0,"",INDEX(COLORES!$D:$D,MATCH($C42&amp;"S",COLORES!$C:$C,0))),"")))</f>
        <v>VERDE</v>
      </c>
      <c r="L42" s="1059">
        <f>Tabla3[[#This Row],[TOTAL DE BULTOS ENVASADO PLACAS]]-Tabla3[[#This Row],[TOTAL DE BULTOS EMPAQUE PLACAS]]</f>
        <v>0</v>
      </c>
      <c r="M42" s="1058" t="str">
        <f t="shared" si="1"/>
        <v>CUADRADO</v>
      </c>
      <c r="N42" s="1060">
        <f t="shared" si="4"/>
        <v>0</v>
      </c>
      <c r="O42" s="195">
        <f>+Tabla3[[#This Row],[TOTAL DE BULTOS ENVASADO TUNEL]]+Tabla3[[#This Row],[TOTAL DE BULTOS ENVASADO PLACAS]]</f>
        <v>0</v>
      </c>
      <c r="P42" s="68">
        <f>+Tabla3[[#This Row],[TOTAL DE BULTOS EMPAQUE TUNEL]]+Tabla3[[#This Row],[TOTAL DE BULTOS EMPAQUE PLACAS]]</f>
        <v>0</v>
      </c>
      <c r="Q42" s="192"/>
      <c r="R42" s="26"/>
      <c r="S42" s="26"/>
      <c r="T42" s="1073" t="str">
        <f>IFERROR(INDEX($B$4:$B$56,_xlfn.AGGREGATE(15,6,(ROW($B$4:$B$56)-ROW($B$4)+1)/((ISNUMBER($B$4:$B$56))*((($H$4:$H$56&gt;=0.5)+($L$4:$L$56&gt;=0.5))&gt;0)),ROWS($T$5:T42))),"")</f>
        <v/>
      </c>
      <c r="U42" s="1076" t="str">
        <f>IFERROR(INDEX($C$4:$C$56,_xlfn.AGGREGATE(15,6,(ROW($B$4:$B$56)-ROW($B$4)+1)/((ISNUMBER($B$4:$B$56))*((($H$4:$H$56&gt;=0.5)+($L$4:$L$56&gt;=0.5))&gt;0)),ROWS($T$5:T42))),"")</f>
        <v/>
      </c>
      <c r="V42" s="1080" t="str">
        <f>IFERROR(INDEX($D$4:$D$56,_xlfn.AGGREGATE(15,6,(ROW($B$4:$B$56)-ROW($B$4)+1)/((ISNUMBER($B$4:$B$56))*((($H$4:$H$56&gt;=0.5)+($L$4:$L$56&gt;=0.5))&gt;0)),ROWS($T$5:T42))),"")</f>
        <v/>
      </c>
      <c r="W42" s="1081" t="str">
        <f>IFERROR(INDEX($E$4:$E$56,_xlfn.AGGREGATE(15,6,(ROW($B$4:$B$56)-ROW($B$4)+1)/((ISNUMBER($B$4:$B$56))*((($H$4:$H$56&gt;=0.5)+($L$4:$L$56&gt;=0.5))&gt;0)),ROWS($T$5:T42))),"")</f>
        <v/>
      </c>
      <c r="X42" s="1081" t="str">
        <f>IFERROR(INDEX($F$4:$F$56,_xlfn.AGGREGATE(15,6,(ROW($B$4:$B$56)-ROW($B$4)+1)/((ISNUMBER($B$4:$B$56))*((($H$4:$H$56&gt;=0.5)+($L$4:$L$56&gt;=0.5))&gt;0)),ROWS($T$5:T42))),"")</f>
        <v/>
      </c>
      <c r="Y42" s="1082" t="str">
        <f>IFERROR(INDEX($G$4:$G$56,_xlfn.AGGREGATE(15,6,(ROW($B$4:$B$56)-ROW($B$4)+1)/((ISNUMBER($B$4:$B$56))*((($H$4:$H$56&gt;=0.5)+($L$4:$L$56&gt;=0.5))&gt;0)),ROWS($T$5:T42))),"")</f>
        <v/>
      </c>
      <c r="Z42" s="1083" t="str">
        <f>IFERROR(INDEX($H$4:$H$56,_xlfn.AGGREGATE(15,6,(ROW($B$4:$B$56)-ROW($B$4)+1)/((ISNUMBER($B$4:$B$56))*((($H$4:$H$56&gt;=0.5)+($L$4:$L$56&gt;=0.5))&gt;0)),ROWS($T$5:T42))),"")</f>
        <v/>
      </c>
      <c r="AA42" s="1074" t="str">
        <f>IFERROR(INDEX($I$4:$I$56,_xlfn.AGGREGATE(15,6,(ROW($B$4:$B$56)-ROW($B$4)+1)/((ISNUMBER($B$4:$B$56))*((($H$4:$H$56&gt;=0.5)+($L$4:$L$56&gt;=0.5))&gt;0)),ROWS($T$5:T42))),"")</f>
        <v/>
      </c>
      <c r="AB42" s="1077" t="str">
        <f>IFERROR(INDEX($J$4:$J$56,_xlfn.AGGREGATE(15,6,(ROW($B$4:$B$56)-ROW($B$4)+1)/((ISNUMBER($B$4:$B$56))*((($H$4:$H$56&gt;=0.5)+($L$4:$L$56&gt;=0.5))&gt;0)),ROWS($T$5:T42))),"")</f>
        <v/>
      </c>
      <c r="AC42" s="1084" t="str">
        <f>IFERROR(INDEX($L$4:$L$56,_xlfn.AGGREGATE(15,6,(ROW($B$4:$B$56)-ROW($B$4)+1)/((ISNUMBER($B$4:$B$56))*((($H$4:$H$56&gt;=0.5)+($L$4:$L$56&gt;=0.5))&gt;0)),ROWS($T$5:T42))),"")</f>
        <v/>
      </c>
      <c r="AD42" s="1075" t="str">
        <f>IFERROR(INDEX($M$4:$M$56,_xlfn.AGGREGATE(15,6,(ROW($B$4:$B$56)-ROW($B$4)+1)/((ISNUMBER($B$4:$B$56))*((($H$4:$H$56&gt;=0.5)+($L$4:$L$56&gt;=0.5))&gt;0)),ROWS($T$5:T42))),"")</f>
        <v/>
      </c>
      <c r="AE42" s="1078" t="str">
        <f>IFERROR(INDEX($N$4:$N$56,_xlfn.AGGREGATE(15,6,(ROW($B$4:$B$56)-ROW($B$4)+1)/((ISNUMBER($B$4:$B$56))*((($H$4:$H$56&gt;=0.5)+($L$4:$L$56&gt;=0.5))&gt;0)),ROWS($T$5:T42))),"")</f>
        <v/>
      </c>
      <c r="AF42" s="1085" t="str">
        <f>IFERROR(INDEX($O$4:$O$56,_xlfn.AGGREGATE(15,6,(ROW($B$4:$B$56)-ROW($B$4)+1)/((ISNUMBER($B$4:$B$56))*((($H$4:$H$56&gt;=0.5)+($L$4:$L$56&gt;=0.5))&gt;0)),ROWS($T$5:T42))),"")</f>
        <v/>
      </c>
      <c r="AG42" s="1086" t="str">
        <f>IFERROR(INDEX($P$4:$P$56,_xlfn.AGGREGATE(15,6,(ROW($B$4:$B$56)-ROW($B$4)+1)/((ISNUMBER($B$4:$B$56))*((($H$4:$H$56&gt;=0.5)+($L$4:$L$56&gt;=0.5))&gt;0)),ROWS($T$5:T42))),"")</f>
        <v/>
      </c>
      <c r="AH42" s="1079" t="str">
        <f t="shared" si="5"/>
        <v/>
      </c>
    </row>
    <row r="43" spans="2:34" s="17" customFormat="1" ht="27" thickBot="1">
      <c r="B43" s="389">
        <f>+'EM-TUN'!B45</f>
        <v>40</v>
      </c>
      <c r="C43" s="390" t="str">
        <f>+'EM-TUN'!C45</f>
        <v>TENTACULO C/B C/V SR 100-500 g/pza (SUCIO)</v>
      </c>
      <c r="D43" s="195">
        <f>+'RES-EN'!R45</f>
        <v>0</v>
      </c>
      <c r="E43" s="68">
        <f>+'ENV. PLACAS'!AD45</f>
        <v>0</v>
      </c>
      <c r="F43" s="368">
        <f>+'EM-TUN'!CC45</f>
        <v>0</v>
      </c>
      <c r="G43" s="68">
        <f>+'EM-PLA'!BC45</f>
        <v>0</v>
      </c>
      <c r="H43" s="1493">
        <f>D43-F43</f>
        <v>0</v>
      </c>
      <c r="I43" s="1057" t="str">
        <f t="shared" ref="I43:I51" si="6">IF(H43&gt;0,"FALTA EMPACAR",IF(H43&lt;0,"SOBRA EMPAQUE","CUADRADO"))</f>
        <v>CUADRADO</v>
      </c>
      <c r="J43" s="1061">
        <f t="shared" ref="J43:J51" si="7">H43*20</f>
        <v>0</v>
      </c>
      <c r="K43" s="1618" t="str">
        <f>IF($C43="","",IFERROR(IF(INDEX(COLORES!$D:$D,MATCH($C43,COLORES!$C:$C,0))=0,"",INDEX(COLORES!$D:$D,MATCH($C43,COLORES!$C:$C,0))),IFERROR(IF(INDEX(COLORES!$D:$D,MATCH($C43&amp;"S",COLORES!$C:$C,0))=0,"",INDEX(COLORES!$D:$D,MATCH($C43&amp;"S",COLORES!$C:$C,0))),"")))</f>
        <v>VERDE</v>
      </c>
      <c r="L43" s="1059">
        <f>E43-G43</f>
        <v>0</v>
      </c>
      <c r="M43" s="1058" t="str">
        <f t="shared" ref="M43:M51" si="8">IF(L43&gt;0,"FALTA EMPACAR",IF(L43&lt;0,"SOBRA EMPAQUE","CUADRADO"))</f>
        <v>CUADRADO</v>
      </c>
      <c r="N43" s="1060">
        <f t="shared" ref="N43:N51" si="9">L43*20</f>
        <v>0</v>
      </c>
      <c r="O43" s="195">
        <f t="shared" ref="O43:O51" si="10">D43+E43</f>
        <v>0</v>
      </c>
      <c r="P43" s="68">
        <f t="shared" ref="P43:P51" si="11">F43+G43</f>
        <v>0</v>
      </c>
      <c r="Q43" s="192"/>
      <c r="R43" s="26"/>
      <c r="S43" s="26"/>
      <c r="T43" s="1073" t="str">
        <f>IFERROR(INDEX($B$4:$B$56,_xlfn.AGGREGATE(15,6,(ROW($B$4:$B$56)-ROW($B$4)+1)/((ISNUMBER($B$4:$B$56))*((($H$4:$H$56&gt;=0.5)+($L$4:$L$56&gt;=0.5))&gt;0)),ROWS($T$5:T43))),"")</f>
        <v/>
      </c>
      <c r="U43" s="1076" t="str">
        <f>IFERROR(INDEX($C$4:$C$56,_xlfn.AGGREGATE(15,6,(ROW($B$4:$B$56)-ROW($B$4)+1)/((ISNUMBER($B$4:$B$56))*((($H$4:$H$56&gt;=0.5)+($L$4:$L$56&gt;=0.5))&gt;0)),ROWS($T$5:T43))),"")</f>
        <v/>
      </c>
      <c r="V43" s="1080" t="str">
        <f>IFERROR(INDEX($D$4:$D$56,_xlfn.AGGREGATE(15,6,(ROW($B$4:$B$56)-ROW($B$4)+1)/((ISNUMBER($B$4:$B$56))*((($H$4:$H$56&gt;=0.5)+($L$4:$L$56&gt;=0.5))&gt;0)),ROWS($T$5:T43))),"")</f>
        <v/>
      </c>
      <c r="W43" s="1081" t="str">
        <f>IFERROR(INDEX($E$4:$E$56,_xlfn.AGGREGATE(15,6,(ROW($B$4:$B$56)-ROW($B$4)+1)/((ISNUMBER($B$4:$B$56))*((($H$4:$H$56&gt;=0.5)+($L$4:$L$56&gt;=0.5))&gt;0)),ROWS($T$5:T43))),"")</f>
        <v/>
      </c>
      <c r="X43" s="1081" t="str">
        <f>IFERROR(INDEX($F$4:$F$56,_xlfn.AGGREGATE(15,6,(ROW($B$4:$B$56)-ROW($B$4)+1)/((ISNUMBER($B$4:$B$56))*((($H$4:$H$56&gt;=0.5)+($L$4:$L$56&gt;=0.5))&gt;0)),ROWS($T$5:T43))),"")</f>
        <v/>
      </c>
      <c r="Y43" s="1082" t="str">
        <f>IFERROR(INDEX($G$4:$G$56,_xlfn.AGGREGATE(15,6,(ROW($B$4:$B$56)-ROW($B$4)+1)/((ISNUMBER($B$4:$B$56))*((($H$4:$H$56&gt;=0.5)+($L$4:$L$56&gt;=0.5))&gt;0)),ROWS($T$5:T43))),"")</f>
        <v/>
      </c>
      <c r="Z43" s="1083" t="str">
        <f>IFERROR(INDEX($H$4:$H$56,_xlfn.AGGREGATE(15,6,(ROW($B$4:$B$56)-ROW($B$4)+1)/((ISNUMBER($B$4:$B$56))*((($H$4:$H$56&gt;=0.5)+($L$4:$L$56&gt;=0.5))&gt;0)),ROWS($T$5:T43))),"")</f>
        <v/>
      </c>
      <c r="AA43" s="1074" t="str">
        <f>IFERROR(INDEX($I$4:$I$56,_xlfn.AGGREGATE(15,6,(ROW($B$4:$B$56)-ROW($B$4)+1)/((ISNUMBER($B$4:$B$56))*((($H$4:$H$56&gt;=0.5)+($L$4:$L$56&gt;=0.5))&gt;0)),ROWS($T$5:T43))),"")</f>
        <v/>
      </c>
      <c r="AB43" s="1077" t="str">
        <f>IFERROR(INDEX($J$4:$J$56,_xlfn.AGGREGATE(15,6,(ROW($B$4:$B$56)-ROW($B$4)+1)/((ISNUMBER($B$4:$B$56))*((($H$4:$H$56&gt;=0.5)+($L$4:$L$56&gt;=0.5))&gt;0)),ROWS($T$5:T43))),"")</f>
        <v/>
      </c>
      <c r="AC43" s="1084" t="str">
        <f>IFERROR(INDEX($L$4:$L$56,_xlfn.AGGREGATE(15,6,(ROW($B$4:$B$56)-ROW($B$4)+1)/((ISNUMBER($B$4:$B$56))*((($H$4:$H$56&gt;=0.5)+($L$4:$L$56&gt;=0.5))&gt;0)),ROWS($T$5:T43))),"")</f>
        <v/>
      </c>
      <c r="AD43" s="1075" t="str">
        <f>IFERROR(INDEX($M$4:$M$56,_xlfn.AGGREGATE(15,6,(ROW($B$4:$B$56)-ROW($B$4)+1)/((ISNUMBER($B$4:$B$56))*((($H$4:$H$56&gt;=0.5)+($L$4:$L$56&gt;=0.5))&gt;0)),ROWS($T$5:T43))),"")</f>
        <v/>
      </c>
      <c r="AE43" s="1078" t="str">
        <f>IFERROR(INDEX($N$4:$N$56,_xlfn.AGGREGATE(15,6,(ROW($B$4:$B$56)-ROW($B$4)+1)/((ISNUMBER($B$4:$B$56))*((($H$4:$H$56&gt;=0.5)+($L$4:$L$56&gt;=0.5))&gt;0)),ROWS($T$5:T43))),"")</f>
        <v/>
      </c>
      <c r="AF43" s="1085" t="str">
        <f>IFERROR(INDEX($O$4:$O$56,_xlfn.AGGREGATE(15,6,(ROW($B$4:$B$56)-ROW($B$4)+1)/((ISNUMBER($B$4:$B$56))*((($H$4:$H$56&gt;=0.5)+($L$4:$L$56&gt;=0.5))&gt;0)),ROWS($T$5:T43))),"")</f>
        <v/>
      </c>
      <c r="AG43" s="1086" t="str">
        <f>IFERROR(INDEX($P$4:$P$56,_xlfn.AGGREGATE(15,6,(ROW($B$4:$B$56)-ROW($B$4)+1)/((ISNUMBER($B$4:$B$56))*((($H$4:$H$56&gt;=0.5)+($L$4:$L$56&gt;=0.5))&gt;0)),ROWS($T$5:T43))),"")</f>
        <v/>
      </c>
      <c r="AH43" s="1079" t="str">
        <f t="shared" si="5"/>
        <v/>
      </c>
    </row>
    <row r="44" spans="2:34" s="17" customFormat="1" ht="27" thickBot="1">
      <c r="B44" s="64">
        <f>+'EM-TUN'!B46</f>
        <v>41</v>
      </c>
      <c r="C44" s="25" t="str">
        <f>+'EM-TUN'!C46</f>
        <v>TENTACULO C/B S/V SR 100-500 g/pza</v>
      </c>
      <c r="D44" s="195">
        <f>+'RES-EN'!R46</f>
        <v>0</v>
      </c>
      <c r="E44" s="68">
        <f>+'ENV. PLACAS'!AD46</f>
        <v>0</v>
      </c>
      <c r="F44" s="368">
        <f>+'EM-TUN'!CC46</f>
        <v>0</v>
      </c>
      <c r="G44" s="69">
        <f>+'EM-PLA'!BC46</f>
        <v>0</v>
      </c>
      <c r="H44" s="1493">
        <f t="shared" ref="H44:H51" si="12">D44-F44</f>
        <v>0</v>
      </c>
      <c r="I44" s="1058" t="str">
        <f t="shared" si="6"/>
        <v>CUADRADO</v>
      </c>
      <c r="J44" s="1061">
        <f t="shared" si="7"/>
        <v>0</v>
      </c>
      <c r="K44" s="1678" t="str">
        <f>IF($C44="","",IFERROR(IF(INDEX(COLORES!$D:$D,MATCH($C44,COLORES!$C:$C,0))=0,"",INDEX(COLORES!$D:$D,MATCH($C44,COLORES!$C:$C,0))),IFERROR(IF(INDEX(COLORES!$D:$D,MATCH($C44&amp;"S",COLORES!$C:$C,0))=0,"",INDEX(COLORES!$D:$D,MATCH($C44&amp;"S",COLORES!$C:$C,0))),"")))</f>
        <v>VERDE</v>
      </c>
      <c r="L44" s="1059">
        <f t="shared" ref="L44:L51" si="13">E44-G44</f>
        <v>0</v>
      </c>
      <c r="M44" s="1058" t="str">
        <f t="shared" si="8"/>
        <v>CUADRADO</v>
      </c>
      <c r="N44" s="1060">
        <f t="shared" si="9"/>
        <v>0</v>
      </c>
      <c r="O44" s="195">
        <f t="shared" si="10"/>
        <v>0</v>
      </c>
      <c r="P44" s="68">
        <f t="shared" si="11"/>
        <v>0</v>
      </c>
      <c r="Q44" s="192"/>
      <c r="R44" s="26"/>
      <c r="S44" s="26"/>
      <c r="T44" s="1073" t="str">
        <f>IFERROR(INDEX($B$4:$B$56,_xlfn.AGGREGATE(15,6,(ROW($B$4:$B$56)-ROW($B$4)+1)/((ISNUMBER($B$4:$B$56))*((($H$4:$H$56&gt;=0.5)+($L$4:$L$56&gt;=0.5))&gt;0)),ROWS($T$5:T44))),"")</f>
        <v/>
      </c>
      <c r="U44" s="1076" t="str">
        <f>IFERROR(INDEX($C$4:$C$56,_xlfn.AGGREGATE(15,6,(ROW($B$4:$B$56)-ROW($B$4)+1)/((ISNUMBER($B$4:$B$56))*((($H$4:$H$56&gt;=0.5)+($L$4:$L$56&gt;=0.5))&gt;0)),ROWS($T$5:T44))),"")</f>
        <v/>
      </c>
      <c r="V44" s="1080" t="str">
        <f>IFERROR(INDEX($D$4:$D$56,_xlfn.AGGREGATE(15,6,(ROW($B$4:$B$56)-ROW($B$4)+1)/((ISNUMBER($B$4:$B$56))*((($H$4:$H$56&gt;=0.5)+($L$4:$L$56&gt;=0.5))&gt;0)),ROWS($T$5:T44))),"")</f>
        <v/>
      </c>
      <c r="W44" s="1081" t="str">
        <f>IFERROR(INDEX($E$4:$E$56,_xlfn.AGGREGATE(15,6,(ROW($B$4:$B$56)-ROW($B$4)+1)/((ISNUMBER($B$4:$B$56))*((($H$4:$H$56&gt;=0.5)+($L$4:$L$56&gt;=0.5))&gt;0)),ROWS($T$5:T44))),"")</f>
        <v/>
      </c>
      <c r="X44" s="1081" t="str">
        <f>IFERROR(INDEX($F$4:$F$56,_xlfn.AGGREGATE(15,6,(ROW($B$4:$B$56)-ROW($B$4)+1)/((ISNUMBER($B$4:$B$56))*((($H$4:$H$56&gt;=0.5)+($L$4:$L$56&gt;=0.5))&gt;0)),ROWS($T$5:T44))),"")</f>
        <v/>
      </c>
      <c r="Y44" s="1082" t="str">
        <f>IFERROR(INDEX($G$4:$G$56,_xlfn.AGGREGATE(15,6,(ROW($B$4:$B$56)-ROW($B$4)+1)/((ISNUMBER($B$4:$B$56))*((($H$4:$H$56&gt;=0.5)+($L$4:$L$56&gt;=0.5))&gt;0)),ROWS($T$5:T44))),"")</f>
        <v/>
      </c>
      <c r="Z44" s="1083" t="str">
        <f>IFERROR(INDEX($H$4:$H$56,_xlfn.AGGREGATE(15,6,(ROW($B$4:$B$56)-ROW($B$4)+1)/((ISNUMBER($B$4:$B$56))*((($H$4:$H$56&gt;=0.5)+($L$4:$L$56&gt;=0.5))&gt;0)),ROWS($T$5:T44))),"")</f>
        <v/>
      </c>
      <c r="AA44" s="1074" t="str">
        <f>IFERROR(INDEX($I$4:$I$56,_xlfn.AGGREGATE(15,6,(ROW($B$4:$B$56)-ROW($B$4)+1)/((ISNUMBER($B$4:$B$56))*((($H$4:$H$56&gt;=0.5)+($L$4:$L$56&gt;=0.5))&gt;0)),ROWS($T$5:T44))),"")</f>
        <v/>
      </c>
      <c r="AB44" s="1077" t="str">
        <f>IFERROR(INDEX($J$4:$J$56,_xlfn.AGGREGATE(15,6,(ROW($B$4:$B$56)-ROW($B$4)+1)/((ISNUMBER($B$4:$B$56))*((($H$4:$H$56&gt;=0.5)+($L$4:$L$56&gt;=0.5))&gt;0)),ROWS($T$5:T44))),"")</f>
        <v/>
      </c>
      <c r="AC44" s="1084" t="str">
        <f>IFERROR(INDEX($L$4:$L$56,_xlfn.AGGREGATE(15,6,(ROW($B$4:$B$56)-ROW($B$4)+1)/((ISNUMBER($B$4:$B$56))*((($H$4:$H$56&gt;=0.5)+($L$4:$L$56&gt;=0.5))&gt;0)),ROWS($T$5:T44))),"")</f>
        <v/>
      </c>
      <c r="AD44" s="1075" t="str">
        <f>IFERROR(INDEX($M$4:$M$56,_xlfn.AGGREGATE(15,6,(ROW($B$4:$B$56)-ROW($B$4)+1)/((ISNUMBER($B$4:$B$56))*((($H$4:$H$56&gt;=0.5)+($L$4:$L$56&gt;=0.5))&gt;0)),ROWS($T$5:T44))),"")</f>
        <v/>
      </c>
      <c r="AE44" s="1078" t="str">
        <f>IFERROR(INDEX($N$4:$N$56,_xlfn.AGGREGATE(15,6,(ROW($B$4:$B$56)-ROW($B$4)+1)/((ISNUMBER($B$4:$B$56))*((($H$4:$H$56&gt;=0.5)+($L$4:$L$56&gt;=0.5))&gt;0)),ROWS($T$5:T44))),"")</f>
        <v/>
      </c>
      <c r="AF44" s="1085" t="str">
        <f>IFERROR(INDEX($O$4:$O$56,_xlfn.AGGREGATE(15,6,(ROW($B$4:$B$56)-ROW($B$4)+1)/((ISNUMBER($B$4:$B$56))*((($H$4:$H$56&gt;=0.5)+($L$4:$L$56&gt;=0.5))&gt;0)),ROWS($T$5:T44))),"")</f>
        <v/>
      </c>
      <c r="AG44" s="1086" t="str">
        <f>IFERROR(INDEX($P$4:$P$56,_xlfn.AGGREGATE(15,6,(ROW($B$4:$B$56)-ROW($B$4)+1)/((ISNUMBER($B$4:$B$56))*((($H$4:$H$56&gt;=0.5)+($L$4:$L$56&gt;=0.5))&gt;0)),ROWS($T$5:T44))),"")</f>
        <v/>
      </c>
      <c r="AH44" s="1079" t="str">
        <f t="shared" si="5"/>
        <v/>
      </c>
    </row>
    <row r="45" spans="2:34" s="17" customFormat="1" ht="27" thickBot="1">
      <c r="B45" s="389">
        <f>+'EM-TUN'!B47</f>
        <v>42</v>
      </c>
      <c r="C45" s="390" t="str">
        <f>+'EM-TUN'!C47</f>
        <v>TENTACULO C/B S/V SR 300-500 g/pza</v>
      </c>
      <c r="D45" s="68">
        <f>+'RES-EN'!R47</f>
        <v>0</v>
      </c>
      <c r="E45" s="68">
        <f>+'ENV. PLACAS'!AD47</f>
        <v>0</v>
      </c>
      <c r="F45" s="368">
        <f>+'EM-TUN'!CC47</f>
        <v>0</v>
      </c>
      <c r="G45" s="68">
        <f>+'EM-PLA'!BC47</f>
        <v>0</v>
      </c>
      <c r="H45" s="1493">
        <f t="shared" si="12"/>
        <v>0</v>
      </c>
      <c r="I45" s="1057" t="str">
        <f t="shared" si="6"/>
        <v>CUADRADO</v>
      </c>
      <c r="J45" s="1061">
        <f t="shared" si="7"/>
        <v>0</v>
      </c>
      <c r="K45" s="1678" t="str">
        <f>IF($C45="","",IFERROR(IF(INDEX(COLORES!$D:$D,MATCH($C45,COLORES!$C:$C,0))=0,"",INDEX(COLORES!$D:$D,MATCH($C45,COLORES!$C:$C,0))),IFERROR(IF(INDEX(COLORES!$D:$D,MATCH($C45&amp;"S",COLORES!$C:$C,0))=0,"",INDEX(COLORES!$D:$D,MATCH($C45&amp;"S",COLORES!$C:$C,0))),"")))</f>
        <v>VERDE</v>
      </c>
      <c r="L45" s="1059">
        <f t="shared" si="13"/>
        <v>0</v>
      </c>
      <c r="M45" s="1058" t="str">
        <f t="shared" si="8"/>
        <v>CUADRADO</v>
      </c>
      <c r="N45" s="1060">
        <f t="shared" si="9"/>
        <v>0</v>
      </c>
      <c r="O45" s="195">
        <f t="shared" si="10"/>
        <v>0</v>
      </c>
      <c r="P45" s="68">
        <f t="shared" si="11"/>
        <v>0</v>
      </c>
      <c r="Q45" s="192"/>
      <c r="R45" s="26"/>
      <c r="S45" s="26"/>
      <c r="T45" s="1073" t="str">
        <f>IFERROR(INDEX($B$4:$B$56,_xlfn.AGGREGATE(15,6,(ROW($B$4:$B$56)-ROW($B$4)+1)/((ISNUMBER($B$4:$B$56))*((($H$4:$H$56&gt;=0.5)+($L$4:$L$56&gt;=0.5))&gt;0)),ROWS($T$5:T45))),"")</f>
        <v/>
      </c>
      <c r="U45" s="1076" t="str">
        <f>IFERROR(INDEX($C$4:$C$56,_xlfn.AGGREGATE(15,6,(ROW($B$4:$B$56)-ROW($B$4)+1)/((ISNUMBER($B$4:$B$56))*((($H$4:$H$56&gt;=0.5)+($L$4:$L$56&gt;=0.5))&gt;0)),ROWS($T$5:T45))),"")</f>
        <v/>
      </c>
      <c r="V45" s="1080" t="str">
        <f>IFERROR(INDEX($D$4:$D$56,_xlfn.AGGREGATE(15,6,(ROW($B$4:$B$56)-ROW($B$4)+1)/((ISNUMBER($B$4:$B$56))*((($H$4:$H$56&gt;=0.5)+($L$4:$L$56&gt;=0.5))&gt;0)),ROWS($T$5:T45))),"")</f>
        <v/>
      </c>
      <c r="W45" s="1081" t="str">
        <f>IFERROR(INDEX($E$4:$E$56,_xlfn.AGGREGATE(15,6,(ROW($B$4:$B$56)-ROW($B$4)+1)/((ISNUMBER($B$4:$B$56))*((($H$4:$H$56&gt;=0.5)+($L$4:$L$56&gt;=0.5))&gt;0)),ROWS($T$5:T45))),"")</f>
        <v/>
      </c>
      <c r="X45" s="1081" t="str">
        <f>IFERROR(INDEX($F$4:$F$56,_xlfn.AGGREGATE(15,6,(ROW($B$4:$B$56)-ROW($B$4)+1)/((ISNUMBER($B$4:$B$56))*((($H$4:$H$56&gt;=0.5)+($L$4:$L$56&gt;=0.5))&gt;0)),ROWS($T$5:T45))),"")</f>
        <v/>
      </c>
      <c r="Y45" s="1082" t="str">
        <f>IFERROR(INDEX($G$4:$G$56,_xlfn.AGGREGATE(15,6,(ROW($B$4:$B$56)-ROW($B$4)+1)/((ISNUMBER($B$4:$B$56))*((($H$4:$H$56&gt;=0.5)+($L$4:$L$56&gt;=0.5))&gt;0)),ROWS($T$5:T45))),"")</f>
        <v/>
      </c>
      <c r="Z45" s="1083" t="str">
        <f>IFERROR(INDEX($H$4:$H$56,_xlfn.AGGREGATE(15,6,(ROW($B$4:$B$56)-ROW($B$4)+1)/((ISNUMBER($B$4:$B$56))*((($H$4:$H$56&gt;=0.5)+($L$4:$L$56&gt;=0.5))&gt;0)),ROWS($T$5:T45))),"")</f>
        <v/>
      </c>
      <c r="AA45" s="1074" t="str">
        <f>IFERROR(INDEX($I$4:$I$56,_xlfn.AGGREGATE(15,6,(ROW($B$4:$B$56)-ROW($B$4)+1)/((ISNUMBER($B$4:$B$56))*((($H$4:$H$56&gt;=0.5)+($L$4:$L$56&gt;=0.5))&gt;0)),ROWS($T$5:T45))),"")</f>
        <v/>
      </c>
      <c r="AB45" s="1077" t="str">
        <f>IFERROR(INDEX($J$4:$J$56,_xlfn.AGGREGATE(15,6,(ROW($B$4:$B$56)-ROW($B$4)+1)/((ISNUMBER($B$4:$B$56))*((($H$4:$H$56&gt;=0.5)+($L$4:$L$56&gt;=0.5))&gt;0)),ROWS($T$5:T45))),"")</f>
        <v/>
      </c>
      <c r="AC45" s="1084" t="str">
        <f>IFERROR(INDEX($L$4:$L$56,_xlfn.AGGREGATE(15,6,(ROW($B$4:$B$56)-ROW($B$4)+1)/((ISNUMBER($B$4:$B$56))*((($H$4:$H$56&gt;=0.5)+($L$4:$L$56&gt;=0.5))&gt;0)),ROWS($T$5:T45))),"")</f>
        <v/>
      </c>
      <c r="AD45" s="1075" t="str">
        <f>IFERROR(INDEX($M$4:$M$56,_xlfn.AGGREGATE(15,6,(ROW($B$4:$B$56)-ROW($B$4)+1)/((ISNUMBER($B$4:$B$56))*((($H$4:$H$56&gt;=0.5)+($L$4:$L$56&gt;=0.5))&gt;0)),ROWS($T$5:T45))),"")</f>
        <v/>
      </c>
      <c r="AE45" s="1078" t="str">
        <f>IFERROR(INDEX($N$4:$N$56,_xlfn.AGGREGATE(15,6,(ROW($B$4:$B$56)-ROW($B$4)+1)/((ISNUMBER($B$4:$B$56))*((($H$4:$H$56&gt;=0.5)+($L$4:$L$56&gt;=0.5))&gt;0)),ROWS($T$5:T45))),"")</f>
        <v/>
      </c>
      <c r="AF45" s="1085" t="str">
        <f>IFERROR(INDEX($O$4:$O$56,_xlfn.AGGREGATE(15,6,(ROW($B$4:$B$56)-ROW($B$4)+1)/((ISNUMBER($B$4:$B$56))*((($H$4:$H$56&gt;=0.5)+($L$4:$L$56&gt;=0.5))&gt;0)),ROWS($T$5:T45))),"")</f>
        <v/>
      </c>
      <c r="AG45" s="1086" t="str">
        <f>IFERROR(INDEX($P$4:$P$56,_xlfn.AGGREGATE(15,6,(ROW($B$4:$B$56)-ROW($B$4)+1)/((ISNUMBER($B$4:$B$56))*((($H$4:$H$56&gt;=0.5)+($L$4:$L$56&gt;=0.5))&gt;0)),ROWS($T$5:T45))),"")</f>
        <v/>
      </c>
      <c r="AH45" s="1079" t="str">
        <f t="shared" si="5"/>
        <v/>
      </c>
    </row>
    <row r="46" spans="2:34" s="17" customFormat="1" ht="27" thickBot="1">
      <c r="B46" s="64">
        <f>+'EM-TUN'!B48</f>
        <v>43</v>
      </c>
      <c r="C46" s="25" t="str">
        <f>+'EM-TUN'!C48</f>
        <v>TENTACULO C/B C/V SR 500-1000 g/pza (SUCIO)</v>
      </c>
      <c r="D46" s="195">
        <f>+'RES-EN'!R48</f>
        <v>0</v>
      </c>
      <c r="E46" s="68">
        <f>+'ENV. PLACAS'!AD48</f>
        <v>0</v>
      </c>
      <c r="F46" s="368">
        <f>+'EM-TUN'!CC48</f>
        <v>0</v>
      </c>
      <c r="G46" s="69">
        <f>+'EM-PLA'!BC48</f>
        <v>0</v>
      </c>
      <c r="H46" s="1493">
        <f>D46-F46</f>
        <v>0</v>
      </c>
      <c r="I46" s="1057" t="str">
        <f t="shared" si="6"/>
        <v>CUADRADO</v>
      </c>
      <c r="J46" s="1061">
        <f t="shared" si="7"/>
        <v>0</v>
      </c>
      <c r="K46" s="411" t="str">
        <f>IFERROR(IF(INDEX(COLORES!$D:$D,MATCH(C46,COLORES!$C:$C,0))=0,"",INDEX(COLORES!$D:$D,MATCH(C46,COLORES!$C:$C,0))),"")</f>
        <v>BLANCO SUCIO</v>
      </c>
      <c r="L46" s="1059">
        <f t="shared" si="13"/>
        <v>0</v>
      </c>
      <c r="M46" s="1058" t="str">
        <f t="shared" si="8"/>
        <v>CUADRADO</v>
      </c>
      <c r="N46" s="1060">
        <f t="shared" si="9"/>
        <v>0</v>
      </c>
      <c r="O46" s="195">
        <f t="shared" si="10"/>
        <v>0</v>
      </c>
      <c r="P46" s="68">
        <f t="shared" si="11"/>
        <v>0</v>
      </c>
      <c r="Q46" s="208">
        <f>SUM(P44:P51)</f>
        <v>0</v>
      </c>
      <c r="R46" s="26"/>
      <c r="S46" s="26"/>
      <c r="T46" s="1073" t="str">
        <f>IFERROR(INDEX($B$4:$B$56,_xlfn.AGGREGATE(15,6,(ROW($B$4:$B$56)-ROW($B$4)+1)/((ISNUMBER($B$4:$B$56))*((($H$4:$H$56&gt;=0.5)+($L$4:$L$56&gt;=0.5))&gt;0)),ROWS($T$5:T46))),"")</f>
        <v/>
      </c>
      <c r="U46" s="1076" t="str">
        <f>IFERROR(INDEX($C$4:$C$56,_xlfn.AGGREGATE(15,6,(ROW($B$4:$B$56)-ROW($B$4)+1)/((ISNUMBER($B$4:$B$56))*((($H$4:$H$56&gt;=0.5)+($L$4:$L$56&gt;=0.5))&gt;0)),ROWS($T$5:T46))),"")</f>
        <v/>
      </c>
      <c r="V46" s="1080" t="str">
        <f>IFERROR(INDEX($D$4:$D$56,_xlfn.AGGREGATE(15,6,(ROW($B$4:$B$56)-ROW($B$4)+1)/((ISNUMBER($B$4:$B$56))*((($H$4:$H$56&gt;=0.5)+($L$4:$L$56&gt;=0.5))&gt;0)),ROWS($T$5:T46))),"")</f>
        <v/>
      </c>
      <c r="W46" s="1081" t="str">
        <f>IFERROR(INDEX($E$4:$E$56,_xlfn.AGGREGATE(15,6,(ROW($B$4:$B$56)-ROW($B$4)+1)/((ISNUMBER($B$4:$B$56))*((($H$4:$H$56&gt;=0.5)+($L$4:$L$56&gt;=0.5))&gt;0)),ROWS($T$5:T46))),"")</f>
        <v/>
      </c>
      <c r="X46" s="1081" t="str">
        <f>IFERROR(INDEX($F$4:$F$56,_xlfn.AGGREGATE(15,6,(ROW($B$4:$B$56)-ROW($B$4)+1)/((ISNUMBER($B$4:$B$56))*((($H$4:$H$56&gt;=0.5)+($L$4:$L$56&gt;=0.5))&gt;0)),ROWS($T$5:T46))),"")</f>
        <v/>
      </c>
      <c r="Y46" s="1082" t="str">
        <f>IFERROR(INDEX($G$4:$G$56,_xlfn.AGGREGATE(15,6,(ROW($B$4:$B$56)-ROW($B$4)+1)/((ISNUMBER($B$4:$B$56))*((($H$4:$H$56&gt;=0.5)+($L$4:$L$56&gt;=0.5))&gt;0)),ROWS($T$5:T46))),"")</f>
        <v/>
      </c>
      <c r="Z46" s="1083" t="str">
        <f>IFERROR(INDEX($H$4:$H$56,_xlfn.AGGREGATE(15,6,(ROW($B$4:$B$56)-ROW($B$4)+1)/((ISNUMBER($B$4:$B$56))*((($H$4:$H$56&gt;=0.5)+($L$4:$L$56&gt;=0.5))&gt;0)),ROWS($T$5:T46))),"")</f>
        <v/>
      </c>
      <c r="AA46" s="1074" t="str">
        <f>IFERROR(INDEX($I$4:$I$56,_xlfn.AGGREGATE(15,6,(ROW($B$4:$B$56)-ROW($B$4)+1)/((ISNUMBER($B$4:$B$56))*((($H$4:$H$56&gt;=0.5)+($L$4:$L$56&gt;=0.5))&gt;0)),ROWS($T$5:T46))),"")</f>
        <v/>
      </c>
      <c r="AB46" s="1077" t="str">
        <f>IFERROR(INDEX($J$4:$J$56,_xlfn.AGGREGATE(15,6,(ROW($B$4:$B$56)-ROW($B$4)+1)/((ISNUMBER($B$4:$B$56))*((($H$4:$H$56&gt;=0.5)+($L$4:$L$56&gt;=0.5))&gt;0)),ROWS($T$5:T46))),"")</f>
        <v/>
      </c>
      <c r="AC46" s="1084" t="str">
        <f>IFERROR(INDEX($L$4:$L$56,_xlfn.AGGREGATE(15,6,(ROW($B$4:$B$56)-ROW($B$4)+1)/((ISNUMBER($B$4:$B$56))*((($H$4:$H$56&gt;=0.5)+($L$4:$L$56&gt;=0.5))&gt;0)),ROWS($T$5:T46))),"")</f>
        <v/>
      </c>
      <c r="AD46" s="1075" t="str">
        <f>IFERROR(INDEX($M$4:$M$56,_xlfn.AGGREGATE(15,6,(ROW($B$4:$B$56)-ROW($B$4)+1)/((ISNUMBER($B$4:$B$56))*((($H$4:$H$56&gt;=0.5)+($L$4:$L$56&gt;=0.5))&gt;0)),ROWS($T$5:T46))),"")</f>
        <v/>
      </c>
      <c r="AE46" s="1078" t="str">
        <f>IFERROR(INDEX($N$4:$N$56,_xlfn.AGGREGATE(15,6,(ROW($B$4:$B$56)-ROW($B$4)+1)/((ISNUMBER($B$4:$B$56))*((($H$4:$H$56&gt;=0.5)+($L$4:$L$56&gt;=0.5))&gt;0)),ROWS($T$5:T46))),"")</f>
        <v/>
      </c>
      <c r="AF46" s="1085" t="str">
        <f>IFERROR(INDEX($O$4:$O$56,_xlfn.AGGREGATE(15,6,(ROW($B$4:$B$56)-ROW($B$4)+1)/((ISNUMBER($B$4:$B$56))*((($H$4:$H$56&gt;=0.5)+($L$4:$L$56&gt;=0.5))&gt;0)),ROWS($T$5:T46))),"")</f>
        <v/>
      </c>
      <c r="AG46" s="1086" t="str">
        <f>IFERROR(INDEX($P$4:$P$56,_xlfn.AGGREGATE(15,6,(ROW($B$4:$B$56)-ROW($B$4)+1)/((ISNUMBER($B$4:$B$56))*((($H$4:$H$56&gt;=0.5)+($L$4:$L$56&gt;=0.5))&gt;0)),ROWS($T$5:T46))),"")</f>
        <v/>
      </c>
      <c r="AH46" s="1079" t="str">
        <f t="shared" si="5"/>
        <v/>
      </c>
    </row>
    <row r="47" spans="2:34" s="17" customFormat="1" ht="27" thickBot="1">
      <c r="B47" s="64">
        <f>+'EM-TUN'!B49</f>
        <v>44</v>
      </c>
      <c r="C47" s="25" t="str">
        <f>+'EM-TUN'!C49</f>
        <v>TENTACULO C/B S/V SR 500-1000 g/pza</v>
      </c>
      <c r="D47" s="195">
        <f>+'RES-EN'!R49</f>
        <v>0</v>
      </c>
      <c r="E47" s="68">
        <f>+'ENV. PLACAS'!AD49</f>
        <v>0</v>
      </c>
      <c r="F47" s="368">
        <f>+'EM-TUN'!CC49</f>
        <v>0</v>
      </c>
      <c r="G47" s="69">
        <f>+'EM-PLA'!BC49</f>
        <v>0</v>
      </c>
      <c r="H47" s="1493">
        <f>D47-F47</f>
        <v>0</v>
      </c>
      <c r="I47" s="1057" t="str">
        <f t="shared" si="6"/>
        <v>CUADRADO</v>
      </c>
      <c r="J47" s="1061">
        <f t="shared" si="7"/>
        <v>0</v>
      </c>
      <c r="K47" s="412" t="str">
        <f>IFERROR(IF(INDEX(COLORES!$D:$D,MATCH(C47,COLORES!$C:$C,0))=0,"",INDEX(COLORES!$D:$D,MATCH(C47,COLORES!$C:$C,0))),"")</f>
        <v>ROJO LIMPIO</v>
      </c>
      <c r="L47" s="1059">
        <f>E47-G47</f>
        <v>0</v>
      </c>
      <c r="M47" s="1058" t="str">
        <f t="shared" si="8"/>
        <v>CUADRADO</v>
      </c>
      <c r="N47" s="1060">
        <f t="shared" si="9"/>
        <v>0</v>
      </c>
      <c r="O47" s="195">
        <f t="shared" si="10"/>
        <v>0</v>
      </c>
      <c r="P47" s="68">
        <f t="shared" si="11"/>
        <v>0</v>
      </c>
      <c r="Q47" s="192"/>
      <c r="R47" s="26"/>
      <c r="S47" s="26"/>
      <c r="T47" s="1073" t="str">
        <f>IFERROR(INDEX($B$4:$B$56,_xlfn.AGGREGATE(15,6,(ROW($B$4:$B$56)-ROW($B$4)+1)/((ISNUMBER($B$4:$B$56))*((($H$4:$H$56&gt;=0.5)+($L$4:$L$56&gt;=0.5))&gt;0)),ROWS($T$5:T47))),"")</f>
        <v/>
      </c>
      <c r="U47" s="1076" t="str">
        <f>IFERROR(INDEX($C$4:$C$56,_xlfn.AGGREGATE(15,6,(ROW($B$4:$B$56)-ROW($B$4)+1)/((ISNUMBER($B$4:$B$56))*((($H$4:$H$56&gt;=0.5)+($L$4:$L$56&gt;=0.5))&gt;0)),ROWS($T$5:T47))),"")</f>
        <v/>
      </c>
      <c r="V47" s="1080" t="str">
        <f>IFERROR(INDEX($D$4:$D$56,_xlfn.AGGREGATE(15,6,(ROW($B$4:$B$56)-ROW($B$4)+1)/((ISNUMBER($B$4:$B$56))*((($H$4:$H$56&gt;=0.5)+($L$4:$L$56&gt;=0.5))&gt;0)),ROWS($T$5:T47))),"")</f>
        <v/>
      </c>
      <c r="W47" s="1081" t="str">
        <f>IFERROR(INDEX($E$4:$E$56,_xlfn.AGGREGATE(15,6,(ROW($B$4:$B$56)-ROW($B$4)+1)/((ISNUMBER($B$4:$B$56))*((($H$4:$H$56&gt;=0.5)+($L$4:$L$56&gt;=0.5))&gt;0)),ROWS($T$5:T47))),"")</f>
        <v/>
      </c>
      <c r="X47" s="1081" t="str">
        <f>IFERROR(INDEX($F$4:$F$56,_xlfn.AGGREGATE(15,6,(ROW($B$4:$B$56)-ROW($B$4)+1)/((ISNUMBER($B$4:$B$56))*((($H$4:$H$56&gt;=0.5)+($L$4:$L$56&gt;=0.5))&gt;0)),ROWS($T$5:T47))),"")</f>
        <v/>
      </c>
      <c r="Y47" s="1082" t="str">
        <f>IFERROR(INDEX($G$4:$G$56,_xlfn.AGGREGATE(15,6,(ROW($B$4:$B$56)-ROW($B$4)+1)/((ISNUMBER($B$4:$B$56))*((($H$4:$H$56&gt;=0.5)+($L$4:$L$56&gt;=0.5))&gt;0)),ROWS($T$5:T47))),"")</f>
        <v/>
      </c>
      <c r="Z47" s="1083" t="str">
        <f>IFERROR(INDEX($H$4:$H$56,_xlfn.AGGREGATE(15,6,(ROW($B$4:$B$56)-ROW($B$4)+1)/((ISNUMBER($B$4:$B$56))*((($H$4:$H$56&gt;=0.5)+($L$4:$L$56&gt;=0.5))&gt;0)),ROWS($T$5:T47))),"")</f>
        <v/>
      </c>
      <c r="AA47" s="1074" t="str">
        <f>IFERROR(INDEX($I$4:$I$56,_xlfn.AGGREGATE(15,6,(ROW($B$4:$B$56)-ROW($B$4)+1)/((ISNUMBER($B$4:$B$56))*((($H$4:$H$56&gt;=0.5)+($L$4:$L$56&gt;=0.5))&gt;0)),ROWS($T$5:T47))),"")</f>
        <v/>
      </c>
      <c r="AB47" s="1077" t="str">
        <f>IFERROR(INDEX($J$4:$J$56,_xlfn.AGGREGATE(15,6,(ROW($B$4:$B$56)-ROW($B$4)+1)/((ISNUMBER($B$4:$B$56))*((($H$4:$H$56&gt;=0.5)+($L$4:$L$56&gt;=0.5))&gt;0)),ROWS($T$5:T47))),"")</f>
        <v/>
      </c>
      <c r="AC47" s="1084" t="str">
        <f>IFERROR(INDEX($L$4:$L$56,_xlfn.AGGREGATE(15,6,(ROW($B$4:$B$56)-ROW($B$4)+1)/((ISNUMBER($B$4:$B$56))*((($H$4:$H$56&gt;=0.5)+($L$4:$L$56&gt;=0.5))&gt;0)),ROWS($T$5:T47))),"")</f>
        <v/>
      </c>
      <c r="AD47" s="1075" t="str">
        <f>IFERROR(INDEX($M$4:$M$56,_xlfn.AGGREGATE(15,6,(ROW($B$4:$B$56)-ROW($B$4)+1)/((ISNUMBER($B$4:$B$56))*((($H$4:$H$56&gt;=0.5)+($L$4:$L$56&gt;=0.5))&gt;0)),ROWS($T$5:T47))),"")</f>
        <v/>
      </c>
      <c r="AE47" s="1078" t="str">
        <f>IFERROR(INDEX($N$4:$N$56,_xlfn.AGGREGATE(15,6,(ROW($B$4:$B$56)-ROW($B$4)+1)/((ISNUMBER($B$4:$B$56))*((($H$4:$H$56&gt;=0.5)+($L$4:$L$56&gt;=0.5))&gt;0)),ROWS($T$5:T47))),"")</f>
        <v/>
      </c>
      <c r="AF47" s="1085" t="str">
        <f>IFERROR(INDEX($O$4:$O$56,_xlfn.AGGREGATE(15,6,(ROW($B$4:$B$56)-ROW($B$4)+1)/((ISNUMBER($B$4:$B$56))*((($H$4:$H$56&gt;=0.5)+($L$4:$L$56&gt;=0.5))&gt;0)),ROWS($T$5:T47))),"")</f>
        <v/>
      </c>
      <c r="AG47" s="1086" t="str">
        <f>IFERROR(INDEX($P$4:$P$56,_xlfn.AGGREGATE(15,6,(ROW($B$4:$B$56)-ROW($B$4)+1)/((ISNUMBER($B$4:$B$56))*((($H$4:$H$56&gt;=0.5)+($L$4:$L$56&gt;=0.5))&gt;0)),ROWS($T$5:T47))),"")</f>
        <v/>
      </c>
      <c r="AH47" s="1079" t="str">
        <f t="shared" si="5"/>
        <v/>
      </c>
    </row>
    <row r="48" spans="2:34" s="17" customFormat="1" ht="27" thickBot="1">
      <c r="B48" s="64">
        <f>+'EM-TUN'!B50</f>
        <v>45</v>
      </c>
      <c r="C48" s="25" t="str">
        <f>+'EM-TUN'!C50</f>
        <v>TENTACULO C/B C/V SR 1.0-2.0 Kg/pza (SUCIO)</v>
      </c>
      <c r="D48" s="195">
        <f>+'RES-EN'!R50</f>
        <v>0</v>
      </c>
      <c r="E48" s="68">
        <f>+'ENV. PLACAS'!AD50</f>
        <v>0</v>
      </c>
      <c r="F48" s="368">
        <f>+'EM-TUN'!CC50</f>
        <v>0</v>
      </c>
      <c r="G48" s="69">
        <f>+'EM-PLA'!BC50</f>
        <v>0</v>
      </c>
      <c r="H48" s="1493">
        <f t="shared" si="12"/>
        <v>0</v>
      </c>
      <c r="I48" s="1058" t="str">
        <f t="shared" si="6"/>
        <v>CUADRADO</v>
      </c>
      <c r="J48" s="1061">
        <f t="shared" si="7"/>
        <v>0</v>
      </c>
      <c r="K48" s="413" t="str">
        <f>IFERROR(IF(INDEX(COLORES!$D:$D,MATCH(C48,COLORES!$C:$C,0))=0,"",INDEX(COLORES!$D:$D,MATCH(C48,COLORES!$C:$C,0))),"")</f>
        <v>AMARILLO</v>
      </c>
      <c r="L48" s="1059">
        <f t="shared" si="13"/>
        <v>0</v>
      </c>
      <c r="M48" s="1058" t="str">
        <f t="shared" si="8"/>
        <v>CUADRADO</v>
      </c>
      <c r="N48" s="1060">
        <f t="shared" si="9"/>
        <v>0</v>
      </c>
      <c r="O48" s="195">
        <f t="shared" si="10"/>
        <v>0</v>
      </c>
      <c r="P48" s="68">
        <f t="shared" si="11"/>
        <v>0</v>
      </c>
      <c r="Q48" s="192"/>
      <c r="R48" s="26"/>
      <c r="S48" s="26"/>
      <c r="T48" s="1073" t="str">
        <f>IFERROR(INDEX($B$4:$B$56,_xlfn.AGGREGATE(15,6,(ROW($B$4:$B$56)-ROW($B$4)+1)/((ISNUMBER($B$4:$B$56))*((($H$4:$H$56&gt;=0.5)+($L$4:$L$56&gt;=0.5))&gt;0)),ROWS($T$5:T48))),"")</f>
        <v/>
      </c>
      <c r="U48" s="1076" t="str">
        <f>IFERROR(INDEX($C$4:$C$56,_xlfn.AGGREGATE(15,6,(ROW($B$4:$B$56)-ROW($B$4)+1)/((ISNUMBER($B$4:$B$56))*((($H$4:$H$56&gt;=0.5)+($L$4:$L$56&gt;=0.5))&gt;0)),ROWS($T$5:T48))),"")</f>
        <v/>
      </c>
      <c r="V48" s="1080" t="str">
        <f>IFERROR(INDEX($D$4:$D$56,_xlfn.AGGREGATE(15,6,(ROW($B$4:$B$56)-ROW($B$4)+1)/((ISNUMBER($B$4:$B$56))*((($H$4:$H$56&gt;=0.5)+($L$4:$L$56&gt;=0.5))&gt;0)),ROWS($T$5:T48))),"")</f>
        <v/>
      </c>
      <c r="W48" s="1081" t="str">
        <f>IFERROR(INDEX($E$4:$E$56,_xlfn.AGGREGATE(15,6,(ROW($B$4:$B$56)-ROW($B$4)+1)/((ISNUMBER($B$4:$B$56))*((($H$4:$H$56&gt;=0.5)+($L$4:$L$56&gt;=0.5))&gt;0)),ROWS($T$5:T48))),"")</f>
        <v/>
      </c>
      <c r="X48" s="1081" t="str">
        <f>IFERROR(INDEX($F$4:$F$56,_xlfn.AGGREGATE(15,6,(ROW($B$4:$B$56)-ROW($B$4)+1)/((ISNUMBER($B$4:$B$56))*((($H$4:$H$56&gt;=0.5)+($L$4:$L$56&gt;=0.5))&gt;0)),ROWS($T$5:T48))),"")</f>
        <v/>
      </c>
      <c r="Y48" s="1082" t="str">
        <f>IFERROR(INDEX($G$4:$G$56,_xlfn.AGGREGATE(15,6,(ROW($B$4:$B$56)-ROW($B$4)+1)/((ISNUMBER($B$4:$B$56))*((($H$4:$H$56&gt;=0.5)+($L$4:$L$56&gt;=0.5))&gt;0)),ROWS($T$5:T48))),"")</f>
        <v/>
      </c>
      <c r="Z48" s="1083" t="str">
        <f>IFERROR(INDEX($H$4:$H$56,_xlfn.AGGREGATE(15,6,(ROW($B$4:$B$56)-ROW($B$4)+1)/((ISNUMBER($B$4:$B$56))*((($H$4:$H$56&gt;=0.5)+($L$4:$L$56&gt;=0.5))&gt;0)),ROWS($T$5:T48))),"")</f>
        <v/>
      </c>
      <c r="AA48" s="1074" t="str">
        <f>IFERROR(INDEX($I$4:$I$56,_xlfn.AGGREGATE(15,6,(ROW($B$4:$B$56)-ROW($B$4)+1)/((ISNUMBER($B$4:$B$56))*((($H$4:$H$56&gt;=0.5)+($L$4:$L$56&gt;=0.5))&gt;0)),ROWS($T$5:T48))),"")</f>
        <v/>
      </c>
      <c r="AB48" s="1077" t="str">
        <f>IFERROR(INDEX($J$4:$J$56,_xlfn.AGGREGATE(15,6,(ROW($B$4:$B$56)-ROW($B$4)+1)/((ISNUMBER($B$4:$B$56))*((($H$4:$H$56&gt;=0.5)+($L$4:$L$56&gt;=0.5))&gt;0)),ROWS($T$5:T48))),"")</f>
        <v/>
      </c>
      <c r="AC48" s="1084" t="str">
        <f>IFERROR(INDEX($L$4:$L$56,_xlfn.AGGREGATE(15,6,(ROW($B$4:$B$56)-ROW($B$4)+1)/((ISNUMBER($B$4:$B$56))*((($H$4:$H$56&gt;=0.5)+($L$4:$L$56&gt;=0.5))&gt;0)),ROWS($T$5:T48))),"")</f>
        <v/>
      </c>
      <c r="AD48" s="1075" t="str">
        <f>IFERROR(INDEX($M$4:$M$56,_xlfn.AGGREGATE(15,6,(ROW($B$4:$B$56)-ROW($B$4)+1)/((ISNUMBER($B$4:$B$56))*((($H$4:$H$56&gt;=0.5)+($L$4:$L$56&gt;=0.5))&gt;0)),ROWS($T$5:T48))),"")</f>
        <v/>
      </c>
      <c r="AE48" s="1078" t="str">
        <f>IFERROR(INDEX($N$4:$N$56,_xlfn.AGGREGATE(15,6,(ROW($B$4:$B$56)-ROW($B$4)+1)/((ISNUMBER($B$4:$B$56))*((($H$4:$H$56&gt;=0.5)+($L$4:$L$56&gt;=0.5))&gt;0)),ROWS($T$5:T48))),"")</f>
        <v/>
      </c>
      <c r="AF48" s="1085" t="str">
        <f>IFERROR(INDEX($O$4:$O$56,_xlfn.AGGREGATE(15,6,(ROW($B$4:$B$56)-ROW($B$4)+1)/((ISNUMBER($B$4:$B$56))*((($H$4:$H$56&gt;=0.5)+($L$4:$L$56&gt;=0.5))&gt;0)),ROWS($T$5:T48))),"")</f>
        <v/>
      </c>
      <c r="AG48" s="1086" t="str">
        <f>IFERROR(INDEX($P$4:$P$56,_xlfn.AGGREGATE(15,6,(ROW($B$4:$B$56)-ROW($B$4)+1)/((ISNUMBER($B$4:$B$56))*((($H$4:$H$56&gt;=0.5)+($L$4:$L$56&gt;=0.5))&gt;0)),ROWS($T$5:T48))),"")</f>
        <v/>
      </c>
      <c r="AH48" s="1079" t="str">
        <f t="shared" si="5"/>
        <v/>
      </c>
    </row>
    <row r="49" spans="2:34" s="17" customFormat="1" ht="27" thickBot="1">
      <c r="B49" s="64">
        <f>+'EM-TUN'!B51</f>
        <v>46</v>
      </c>
      <c r="C49" s="25" t="str">
        <f>+'EM-TUN'!C51</f>
        <v>TENTACULO C/B S/V SR 1.0-2.0 Kg/pza</v>
      </c>
      <c r="D49" s="195">
        <f>+'RES-EN'!R51</f>
        <v>0</v>
      </c>
      <c r="E49" s="68">
        <f>+'ENV. PLACAS'!AD51</f>
        <v>0</v>
      </c>
      <c r="F49" s="368">
        <f>+'EM-TUN'!CC51</f>
        <v>0</v>
      </c>
      <c r="G49" s="69">
        <f>+'EM-PLA'!BC51</f>
        <v>0</v>
      </c>
      <c r="H49" s="1493">
        <f t="shared" si="12"/>
        <v>0</v>
      </c>
      <c r="I49" s="1058" t="str">
        <f t="shared" si="6"/>
        <v>CUADRADO</v>
      </c>
      <c r="J49" s="1061">
        <f t="shared" si="7"/>
        <v>0</v>
      </c>
      <c r="K49" s="413" t="str">
        <f>IFERROR(IF(INDEX(COLORES!$D:$D,MATCH(C49,COLORES!$C:$C,0))=0,"",INDEX(COLORES!$D:$D,MATCH(C49,COLORES!$C:$C,0))),"")</f>
        <v>AMARILLO</v>
      </c>
      <c r="L49" s="1059">
        <f t="shared" si="13"/>
        <v>0</v>
      </c>
      <c r="M49" s="1058" t="str">
        <f t="shared" si="8"/>
        <v>CUADRADO</v>
      </c>
      <c r="N49" s="1060">
        <f t="shared" si="9"/>
        <v>0</v>
      </c>
      <c r="O49" s="195">
        <f t="shared" si="10"/>
        <v>0</v>
      </c>
      <c r="P49" s="68">
        <f t="shared" si="11"/>
        <v>0</v>
      </c>
      <c r="Q49" s="192"/>
      <c r="R49" s="26"/>
      <c r="S49" s="26"/>
      <c r="T49" s="1073" t="str">
        <f>IFERROR(INDEX($B$4:$B$56,_xlfn.AGGREGATE(15,6,(ROW($B$4:$B$56)-ROW($B$4)+1)/((ISNUMBER($B$4:$B$56))*((($H$4:$H$56&gt;=0.5)+($L$4:$L$56&gt;=0.5))&gt;0)),ROWS($T$5:T49))),"")</f>
        <v/>
      </c>
      <c r="U49" s="1076" t="str">
        <f>IFERROR(INDEX($C$4:$C$56,_xlfn.AGGREGATE(15,6,(ROW($B$4:$B$56)-ROW($B$4)+1)/((ISNUMBER($B$4:$B$56))*((($H$4:$H$56&gt;=0.5)+($L$4:$L$56&gt;=0.5))&gt;0)),ROWS($T$5:T49))),"")</f>
        <v/>
      </c>
      <c r="V49" s="1080" t="str">
        <f>IFERROR(INDEX($D$4:$D$56,_xlfn.AGGREGATE(15,6,(ROW($B$4:$B$56)-ROW($B$4)+1)/((ISNUMBER($B$4:$B$56))*((($H$4:$H$56&gt;=0.5)+($L$4:$L$56&gt;=0.5))&gt;0)),ROWS($T$5:T49))),"")</f>
        <v/>
      </c>
      <c r="W49" s="1081" t="str">
        <f>IFERROR(INDEX($E$4:$E$56,_xlfn.AGGREGATE(15,6,(ROW($B$4:$B$56)-ROW($B$4)+1)/((ISNUMBER($B$4:$B$56))*((($H$4:$H$56&gt;=0.5)+($L$4:$L$56&gt;=0.5))&gt;0)),ROWS($T$5:T49))),"")</f>
        <v/>
      </c>
      <c r="X49" s="1081" t="str">
        <f>IFERROR(INDEX($F$4:$F$56,_xlfn.AGGREGATE(15,6,(ROW($B$4:$B$56)-ROW($B$4)+1)/((ISNUMBER($B$4:$B$56))*((($H$4:$H$56&gt;=0.5)+($L$4:$L$56&gt;=0.5))&gt;0)),ROWS($T$5:T49))),"")</f>
        <v/>
      </c>
      <c r="Y49" s="1082" t="str">
        <f>IFERROR(INDEX($G$4:$G$56,_xlfn.AGGREGATE(15,6,(ROW($B$4:$B$56)-ROW($B$4)+1)/((ISNUMBER($B$4:$B$56))*((($H$4:$H$56&gt;=0.5)+($L$4:$L$56&gt;=0.5))&gt;0)),ROWS($T$5:T49))),"")</f>
        <v/>
      </c>
      <c r="Z49" s="1083" t="str">
        <f>IFERROR(INDEX($H$4:$H$56,_xlfn.AGGREGATE(15,6,(ROW($B$4:$B$56)-ROW($B$4)+1)/((ISNUMBER($B$4:$B$56))*((($H$4:$H$56&gt;=0.5)+($L$4:$L$56&gt;=0.5))&gt;0)),ROWS($T$5:T49))),"")</f>
        <v/>
      </c>
      <c r="AA49" s="1074" t="str">
        <f>IFERROR(INDEX($I$4:$I$56,_xlfn.AGGREGATE(15,6,(ROW($B$4:$B$56)-ROW($B$4)+1)/((ISNUMBER($B$4:$B$56))*((($H$4:$H$56&gt;=0.5)+($L$4:$L$56&gt;=0.5))&gt;0)),ROWS($T$5:T49))),"")</f>
        <v/>
      </c>
      <c r="AB49" s="1077" t="str">
        <f>IFERROR(INDEX($J$4:$J$56,_xlfn.AGGREGATE(15,6,(ROW($B$4:$B$56)-ROW($B$4)+1)/((ISNUMBER($B$4:$B$56))*((($H$4:$H$56&gt;=0.5)+($L$4:$L$56&gt;=0.5))&gt;0)),ROWS($T$5:T49))),"")</f>
        <v/>
      </c>
      <c r="AC49" s="1084" t="str">
        <f>IFERROR(INDEX($L$4:$L$56,_xlfn.AGGREGATE(15,6,(ROW($B$4:$B$56)-ROW($B$4)+1)/((ISNUMBER($B$4:$B$56))*((($H$4:$H$56&gt;=0.5)+($L$4:$L$56&gt;=0.5))&gt;0)),ROWS($T$5:T49))),"")</f>
        <v/>
      </c>
      <c r="AD49" s="1075" t="str">
        <f>IFERROR(INDEX($M$4:$M$56,_xlfn.AGGREGATE(15,6,(ROW($B$4:$B$56)-ROW($B$4)+1)/((ISNUMBER($B$4:$B$56))*((($H$4:$H$56&gt;=0.5)+($L$4:$L$56&gt;=0.5))&gt;0)),ROWS($T$5:T49))),"")</f>
        <v/>
      </c>
      <c r="AE49" s="1078" t="str">
        <f>IFERROR(INDEX($N$4:$N$56,_xlfn.AGGREGATE(15,6,(ROW($B$4:$B$56)-ROW($B$4)+1)/((ISNUMBER($B$4:$B$56))*((($H$4:$H$56&gt;=0.5)+($L$4:$L$56&gt;=0.5))&gt;0)),ROWS($T$5:T49))),"")</f>
        <v/>
      </c>
      <c r="AF49" s="1085" t="str">
        <f>IFERROR(INDEX($O$4:$O$56,_xlfn.AGGREGATE(15,6,(ROW($B$4:$B$56)-ROW($B$4)+1)/((ISNUMBER($B$4:$B$56))*((($H$4:$H$56&gt;=0.5)+($L$4:$L$56&gt;=0.5))&gt;0)),ROWS($T$5:T49))),"")</f>
        <v/>
      </c>
      <c r="AG49" s="1086" t="str">
        <f>IFERROR(INDEX($P$4:$P$56,_xlfn.AGGREGATE(15,6,(ROW($B$4:$B$56)-ROW($B$4)+1)/((ISNUMBER($B$4:$B$56))*((($H$4:$H$56&gt;=0.5)+($L$4:$L$56&gt;=0.5))&gt;0)),ROWS($T$5:T49))),"")</f>
        <v/>
      </c>
      <c r="AH49" s="1079" t="str">
        <f t="shared" si="5"/>
        <v/>
      </c>
    </row>
    <row r="50" spans="2:34" s="17" customFormat="1" ht="27" thickBot="1">
      <c r="B50" s="64">
        <f>+'EM-TUN'!B52</f>
        <v>47</v>
      </c>
      <c r="C50" s="25" t="str">
        <f>+'EM-TUN'!C52</f>
        <v>TENTACULO C/B S/V SR 2 UP Kg/pza</v>
      </c>
      <c r="D50" s="195">
        <f>+'RES-EN'!R52</f>
        <v>0</v>
      </c>
      <c r="E50" s="68">
        <f>+'ENV. PLACAS'!AD52</f>
        <v>0</v>
      </c>
      <c r="F50" s="368">
        <f>+'EM-TUN'!CC52</f>
        <v>0</v>
      </c>
      <c r="G50" s="69">
        <f>+'EM-PLA'!BC52</f>
        <v>0</v>
      </c>
      <c r="H50" s="1493">
        <f t="shared" si="12"/>
        <v>0</v>
      </c>
      <c r="I50" s="1058" t="str">
        <f t="shared" si="6"/>
        <v>CUADRADO</v>
      </c>
      <c r="J50" s="1061">
        <f t="shared" si="7"/>
        <v>0</v>
      </c>
      <c r="K50" s="414" t="str">
        <f>IFERROR(IF(INDEX(COLORES!$D:$D,MATCH(C50,COLORES!$C:$C,0))=0,"",INDEX(COLORES!$D:$D,MATCH(C50,COLORES!$C:$C,0))),"")</f>
        <v>LILA</v>
      </c>
      <c r="L50" s="1059">
        <f t="shared" si="13"/>
        <v>0</v>
      </c>
      <c r="M50" s="1058" t="str">
        <f t="shared" si="8"/>
        <v>CUADRADO</v>
      </c>
      <c r="N50" s="1060">
        <f t="shared" si="9"/>
        <v>0</v>
      </c>
      <c r="O50" s="195">
        <f t="shared" si="10"/>
        <v>0</v>
      </c>
      <c r="P50" s="68">
        <f t="shared" si="11"/>
        <v>0</v>
      </c>
      <c r="Q50" s="192"/>
      <c r="R50" s="26"/>
      <c r="S50" s="26"/>
      <c r="T50" s="1073" t="str">
        <f>IFERROR(INDEX($B$4:$B$56,_xlfn.AGGREGATE(15,6,(ROW($B$4:$B$56)-ROW($B$4)+1)/((ISNUMBER($B$4:$B$56))*((($H$4:$H$56&gt;=0.5)+($L$4:$L$56&gt;=0.5))&gt;0)),ROWS($T$5:T50))),"")</f>
        <v/>
      </c>
      <c r="U50" s="1076" t="str">
        <f>IFERROR(INDEX($C$4:$C$56,_xlfn.AGGREGATE(15,6,(ROW($B$4:$B$56)-ROW($B$4)+1)/((ISNUMBER($B$4:$B$56))*((($H$4:$H$56&gt;=0.5)+($L$4:$L$56&gt;=0.5))&gt;0)),ROWS($T$5:T50))),"")</f>
        <v/>
      </c>
      <c r="V50" s="1080" t="str">
        <f>IFERROR(INDEX($D$4:$D$56,_xlfn.AGGREGATE(15,6,(ROW($B$4:$B$56)-ROW($B$4)+1)/((ISNUMBER($B$4:$B$56))*((($H$4:$H$56&gt;=0.5)+($L$4:$L$56&gt;=0.5))&gt;0)),ROWS($T$5:T50))),"")</f>
        <v/>
      </c>
      <c r="W50" s="1081" t="str">
        <f>IFERROR(INDEX($E$4:$E$56,_xlfn.AGGREGATE(15,6,(ROW($B$4:$B$56)-ROW($B$4)+1)/((ISNUMBER($B$4:$B$56))*((($H$4:$H$56&gt;=0.5)+($L$4:$L$56&gt;=0.5))&gt;0)),ROWS($T$5:T50))),"")</f>
        <v/>
      </c>
      <c r="X50" s="1081" t="str">
        <f>IFERROR(INDEX($F$4:$F$56,_xlfn.AGGREGATE(15,6,(ROW($B$4:$B$56)-ROW($B$4)+1)/((ISNUMBER($B$4:$B$56))*((($H$4:$H$56&gt;=0.5)+($L$4:$L$56&gt;=0.5))&gt;0)),ROWS($T$5:T50))),"")</f>
        <v/>
      </c>
      <c r="Y50" s="1082" t="str">
        <f>IFERROR(INDEX($G$4:$G$56,_xlfn.AGGREGATE(15,6,(ROW($B$4:$B$56)-ROW($B$4)+1)/((ISNUMBER($B$4:$B$56))*((($H$4:$H$56&gt;=0.5)+($L$4:$L$56&gt;=0.5))&gt;0)),ROWS($T$5:T50))),"")</f>
        <v/>
      </c>
      <c r="Z50" s="1083" t="str">
        <f>IFERROR(INDEX($H$4:$H$56,_xlfn.AGGREGATE(15,6,(ROW($B$4:$B$56)-ROW($B$4)+1)/((ISNUMBER($B$4:$B$56))*((($H$4:$H$56&gt;=0.5)+($L$4:$L$56&gt;=0.5))&gt;0)),ROWS($T$5:T50))),"")</f>
        <v/>
      </c>
      <c r="AA50" s="1074" t="str">
        <f>IFERROR(INDEX($I$4:$I$56,_xlfn.AGGREGATE(15,6,(ROW($B$4:$B$56)-ROW($B$4)+1)/((ISNUMBER($B$4:$B$56))*((($H$4:$H$56&gt;=0.5)+($L$4:$L$56&gt;=0.5))&gt;0)),ROWS($T$5:T50))),"")</f>
        <v/>
      </c>
      <c r="AB50" s="1077" t="str">
        <f>IFERROR(INDEX($J$4:$J$56,_xlfn.AGGREGATE(15,6,(ROW($B$4:$B$56)-ROW($B$4)+1)/((ISNUMBER($B$4:$B$56))*((($H$4:$H$56&gt;=0.5)+($L$4:$L$56&gt;=0.5))&gt;0)),ROWS($T$5:T50))),"")</f>
        <v/>
      </c>
      <c r="AC50" s="1084" t="str">
        <f>IFERROR(INDEX($L$4:$L$56,_xlfn.AGGREGATE(15,6,(ROW($B$4:$B$56)-ROW($B$4)+1)/((ISNUMBER($B$4:$B$56))*((($H$4:$H$56&gt;=0.5)+($L$4:$L$56&gt;=0.5))&gt;0)),ROWS($T$5:T50))),"")</f>
        <v/>
      </c>
      <c r="AD50" s="1075" t="str">
        <f>IFERROR(INDEX($M$4:$M$56,_xlfn.AGGREGATE(15,6,(ROW($B$4:$B$56)-ROW($B$4)+1)/((ISNUMBER($B$4:$B$56))*((($H$4:$H$56&gt;=0.5)+($L$4:$L$56&gt;=0.5))&gt;0)),ROWS($T$5:T50))),"")</f>
        <v/>
      </c>
      <c r="AE50" s="1078" t="str">
        <f>IFERROR(INDEX($N$4:$N$56,_xlfn.AGGREGATE(15,6,(ROW($B$4:$B$56)-ROW($B$4)+1)/((ISNUMBER($B$4:$B$56))*((($H$4:$H$56&gt;=0.5)+($L$4:$L$56&gt;=0.5))&gt;0)),ROWS($T$5:T50))),"")</f>
        <v/>
      </c>
      <c r="AF50" s="1085" t="str">
        <f>IFERROR(INDEX($O$4:$O$56,_xlfn.AGGREGATE(15,6,(ROW($B$4:$B$56)-ROW($B$4)+1)/((ISNUMBER($B$4:$B$56))*((($H$4:$H$56&gt;=0.5)+($L$4:$L$56&gt;=0.5))&gt;0)),ROWS($T$5:T50))),"")</f>
        <v/>
      </c>
      <c r="AG50" s="1086" t="str">
        <f>IFERROR(INDEX($P$4:$P$56,_xlfn.AGGREGATE(15,6,(ROW($B$4:$B$56)-ROW($B$4)+1)/((ISNUMBER($B$4:$B$56))*((($H$4:$H$56&gt;=0.5)+($L$4:$L$56&gt;=0.5))&gt;0)),ROWS($T$5:T50))),"")</f>
        <v/>
      </c>
      <c r="AH50" s="1079" t="str">
        <f t="shared" si="5"/>
        <v/>
      </c>
    </row>
    <row r="51" spans="2:34" s="17" customFormat="1" ht="27" thickBot="1">
      <c r="B51" s="64">
        <f>+'EM-TUN'!B53</f>
        <v>48</v>
      </c>
      <c r="C51" s="25" t="str">
        <f>+'EM-TUN'!C53</f>
        <v>TUBO ALETA 500-1000 g/pza</v>
      </c>
      <c r="D51" s="195">
        <f>+'RES-EN'!R53</f>
        <v>0</v>
      </c>
      <c r="E51" s="68">
        <f>+'ENV. PLACAS'!AD53</f>
        <v>0</v>
      </c>
      <c r="F51" s="368">
        <f>+'EM-TUN'!CC53</f>
        <v>0</v>
      </c>
      <c r="G51" s="69">
        <f>+'EM-PLA'!BC53</f>
        <v>0</v>
      </c>
      <c r="H51" s="1493">
        <f t="shared" si="12"/>
        <v>0</v>
      </c>
      <c r="I51" s="1058" t="str">
        <f t="shared" si="6"/>
        <v>CUADRADO</v>
      </c>
      <c r="J51" s="1061">
        <f t="shared" si="7"/>
        <v>0</v>
      </c>
      <c r="K51" s="413" t="str">
        <f>IFERROR(INDEX(COLORES!$D:$D,MATCH(C51,COLORES!$C:$C,0)),"")</f>
        <v>AMARILLO</v>
      </c>
      <c r="L51" s="1059">
        <f t="shared" si="13"/>
        <v>0</v>
      </c>
      <c r="M51" s="1058" t="str">
        <f t="shared" si="8"/>
        <v>CUADRADO</v>
      </c>
      <c r="N51" s="1060">
        <f t="shared" si="9"/>
        <v>0</v>
      </c>
      <c r="O51" s="270">
        <f t="shared" si="10"/>
        <v>0</v>
      </c>
      <c r="P51" s="194">
        <f t="shared" si="11"/>
        <v>0</v>
      </c>
      <c r="Q51" s="192"/>
      <c r="R51" s="26"/>
      <c r="S51" s="26"/>
      <c r="T51" s="1073" t="str">
        <f>IFERROR(INDEX($B$4:$B$56,_xlfn.AGGREGATE(15,6,(ROW($B$4:$B$56)-ROW($B$4)+1)/((ISNUMBER($B$4:$B$56))*((($H$4:$H$56&gt;=0.5)+($L$4:$L$56&gt;=0.5))&gt;0)),ROWS($T$5:T51))),"")</f>
        <v/>
      </c>
      <c r="U51" s="1076" t="str">
        <f>IFERROR(INDEX($C$4:$C$56,_xlfn.AGGREGATE(15,6,(ROW($B$4:$B$56)-ROW($B$4)+1)/((ISNUMBER($B$4:$B$56))*((($H$4:$H$56&gt;=0.5)+($L$4:$L$56&gt;=0.5))&gt;0)),ROWS($T$5:T51))),"")</f>
        <v/>
      </c>
      <c r="V51" s="1080" t="str">
        <f>IFERROR(INDEX($D$4:$D$56,_xlfn.AGGREGATE(15,6,(ROW($B$4:$B$56)-ROW($B$4)+1)/((ISNUMBER($B$4:$B$56))*((($H$4:$H$56&gt;=0.5)+($L$4:$L$56&gt;=0.5))&gt;0)),ROWS($T$5:T51))),"")</f>
        <v/>
      </c>
      <c r="W51" s="1081" t="str">
        <f>IFERROR(INDEX($E$4:$E$56,_xlfn.AGGREGATE(15,6,(ROW($B$4:$B$56)-ROW($B$4)+1)/((ISNUMBER($B$4:$B$56))*((($H$4:$H$56&gt;=0.5)+($L$4:$L$56&gt;=0.5))&gt;0)),ROWS($T$5:T51))),"")</f>
        <v/>
      </c>
      <c r="X51" s="1081" t="str">
        <f>IFERROR(INDEX($F$4:$F$56,_xlfn.AGGREGATE(15,6,(ROW($B$4:$B$56)-ROW($B$4)+1)/((ISNUMBER($B$4:$B$56))*((($H$4:$H$56&gt;=0.5)+($L$4:$L$56&gt;=0.5))&gt;0)),ROWS($T$5:T51))),"")</f>
        <v/>
      </c>
      <c r="Y51" s="1082" t="str">
        <f>IFERROR(INDEX($G$4:$G$56,_xlfn.AGGREGATE(15,6,(ROW($B$4:$B$56)-ROW($B$4)+1)/((ISNUMBER($B$4:$B$56))*((($H$4:$H$56&gt;=0.5)+($L$4:$L$56&gt;=0.5))&gt;0)),ROWS($T$5:T51))),"")</f>
        <v/>
      </c>
      <c r="Z51" s="1083" t="str">
        <f>IFERROR(INDEX($H$4:$H$56,_xlfn.AGGREGATE(15,6,(ROW($B$4:$B$56)-ROW($B$4)+1)/((ISNUMBER($B$4:$B$56))*((($H$4:$H$56&gt;=0.5)+($L$4:$L$56&gt;=0.5))&gt;0)),ROWS($T$5:T51))),"")</f>
        <v/>
      </c>
      <c r="AA51" s="1074" t="str">
        <f>IFERROR(INDEX($I$4:$I$56,_xlfn.AGGREGATE(15,6,(ROW($B$4:$B$56)-ROW($B$4)+1)/((ISNUMBER($B$4:$B$56))*((($H$4:$H$56&gt;=0.5)+($L$4:$L$56&gt;=0.5))&gt;0)),ROWS($T$5:T51))),"")</f>
        <v/>
      </c>
      <c r="AB51" s="1077" t="str">
        <f>IFERROR(INDEX($J$4:$J$56,_xlfn.AGGREGATE(15,6,(ROW($B$4:$B$56)-ROW($B$4)+1)/((ISNUMBER($B$4:$B$56))*((($H$4:$H$56&gt;=0.5)+($L$4:$L$56&gt;=0.5))&gt;0)),ROWS($T$5:T51))),"")</f>
        <v/>
      </c>
      <c r="AC51" s="1084" t="str">
        <f>IFERROR(INDEX($L$4:$L$56,_xlfn.AGGREGATE(15,6,(ROW($B$4:$B$56)-ROW($B$4)+1)/((ISNUMBER($B$4:$B$56))*((($H$4:$H$56&gt;=0.5)+($L$4:$L$56&gt;=0.5))&gt;0)),ROWS($T$5:T51))),"")</f>
        <v/>
      </c>
      <c r="AD51" s="1075" t="str">
        <f>IFERROR(INDEX($M$4:$M$56,_xlfn.AGGREGATE(15,6,(ROW($B$4:$B$56)-ROW($B$4)+1)/((ISNUMBER($B$4:$B$56))*((($H$4:$H$56&gt;=0.5)+($L$4:$L$56&gt;=0.5))&gt;0)),ROWS($T$5:T51))),"")</f>
        <v/>
      </c>
      <c r="AE51" s="1078" t="str">
        <f>IFERROR(INDEX($N$4:$N$56,_xlfn.AGGREGATE(15,6,(ROW($B$4:$B$56)-ROW($B$4)+1)/((ISNUMBER($B$4:$B$56))*((($H$4:$H$56&gt;=0.5)+($L$4:$L$56&gt;=0.5))&gt;0)),ROWS($T$5:T51))),"")</f>
        <v/>
      </c>
      <c r="AF51" s="1085" t="str">
        <f>IFERROR(INDEX($O$4:$O$56,_xlfn.AGGREGATE(15,6,(ROW($B$4:$B$56)-ROW($B$4)+1)/((ISNUMBER($B$4:$B$56))*((($H$4:$H$56&gt;=0.5)+($L$4:$L$56&gt;=0.5))&gt;0)),ROWS($T$5:T51))),"")</f>
        <v/>
      </c>
      <c r="AG51" s="1086" t="str">
        <f>IFERROR(INDEX($P$4:$P$56,_xlfn.AGGREGATE(15,6,(ROW($B$4:$B$56)-ROW($B$4)+1)/((ISNUMBER($B$4:$B$56))*((($H$4:$H$56&gt;=0.5)+($L$4:$L$56&gt;=0.5))&gt;0)),ROWS($T$5:T51))),"")</f>
        <v/>
      </c>
      <c r="AH51" s="1079" t="str">
        <f t="shared" si="5"/>
        <v/>
      </c>
    </row>
    <row r="52" spans="2:34" ht="27" thickBot="1">
      <c r="C52" s="63" t="s">
        <v>3</v>
      </c>
      <c r="D52" s="369">
        <f>SUM(D4:D51)</f>
        <v>0</v>
      </c>
      <c r="E52" s="232">
        <f>SUM(E4:E51)</f>
        <v>0</v>
      </c>
      <c r="F52" s="370">
        <f>SUM(F4:F51)</f>
        <v>0</v>
      </c>
      <c r="G52" s="233">
        <f>SUM(G4:G51)</f>
        <v>0</v>
      </c>
      <c r="I52" s="784"/>
      <c r="M52" s="784"/>
      <c r="O52" s="268">
        <f>SUM(O4:O51)</f>
        <v>0</v>
      </c>
      <c r="P52" s="269">
        <f>SUM(P4:P51)</f>
        <v>0</v>
      </c>
      <c r="T52" s="1073" t="str">
        <f>IFERROR(INDEX($B$4:$B$56,_xlfn.AGGREGATE(15,6,(ROW($B$4:$B$56)-ROW($B$4)+1)/((ISNUMBER($B$4:$B$56))*((($H$4:$H$56&gt;=0.5)+($L$4:$L$56&gt;=0.5))&gt;0)),ROWS($T$5:T52))),"")</f>
        <v/>
      </c>
      <c r="U52" s="1076" t="str">
        <f>IFERROR(INDEX($C$4:$C$56,_xlfn.AGGREGATE(15,6,(ROW($B$4:$B$56)-ROW($B$4)+1)/((ISNUMBER($B$4:$B$56))*((($H$4:$H$56&gt;=0.5)+($L$4:$L$56&gt;=0.5))&gt;0)),ROWS($T$5:T52))),"")</f>
        <v/>
      </c>
      <c r="V52" s="1080" t="str">
        <f>IFERROR(INDEX($D$4:$D$56,_xlfn.AGGREGATE(15,6,(ROW($B$4:$B$56)-ROW($B$4)+1)/((ISNUMBER($B$4:$B$56))*((($H$4:$H$56&gt;=0.5)+($L$4:$L$56&gt;=0.5))&gt;0)),ROWS($T$5:T52))),"")</f>
        <v/>
      </c>
      <c r="W52" s="1081" t="str">
        <f>IFERROR(INDEX($E$4:$E$56,_xlfn.AGGREGATE(15,6,(ROW($B$4:$B$56)-ROW($B$4)+1)/((ISNUMBER($B$4:$B$56))*((($H$4:$H$56&gt;=0.5)+($L$4:$L$56&gt;=0.5))&gt;0)),ROWS($T$5:T52))),"")</f>
        <v/>
      </c>
      <c r="X52" s="1081" t="str">
        <f>IFERROR(INDEX($F$4:$F$56,_xlfn.AGGREGATE(15,6,(ROW($B$4:$B$56)-ROW($B$4)+1)/((ISNUMBER($B$4:$B$56))*((($H$4:$H$56&gt;=0.5)+($L$4:$L$56&gt;=0.5))&gt;0)),ROWS($T$5:T52))),"")</f>
        <v/>
      </c>
      <c r="Y52" s="1082" t="str">
        <f>IFERROR(INDEX($G$4:$G$56,_xlfn.AGGREGATE(15,6,(ROW($B$4:$B$56)-ROW($B$4)+1)/((ISNUMBER($B$4:$B$56))*((($H$4:$H$56&gt;=0.5)+($L$4:$L$56&gt;=0.5))&gt;0)),ROWS($T$5:T52))),"")</f>
        <v/>
      </c>
      <c r="Z52" s="1083" t="str">
        <f>IFERROR(INDEX($H$4:$H$56,_xlfn.AGGREGATE(15,6,(ROW($B$4:$B$56)-ROW($B$4)+1)/((ISNUMBER($B$4:$B$56))*((($H$4:$H$56&gt;=0.5)+($L$4:$L$56&gt;=0.5))&gt;0)),ROWS($T$5:T52))),"")</f>
        <v/>
      </c>
      <c r="AA52" s="1074" t="str">
        <f>IFERROR(INDEX($I$4:$I$56,_xlfn.AGGREGATE(15,6,(ROW($B$4:$B$56)-ROW($B$4)+1)/((ISNUMBER($B$4:$B$56))*((($H$4:$H$56&gt;=0.5)+($L$4:$L$56&gt;=0.5))&gt;0)),ROWS($T$5:T52))),"")</f>
        <v/>
      </c>
      <c r="AB52" s="1077" t="str">
        <f>IFERROR(INDEX($J$4:$J$56,_xlfn.AGGREGATE(15,6,(ROW($B$4:$B$56)-ROW($B$4)+1)/((ISNUMBER($B$4:$B$56))*((($H$4:$H$56&gt;=0.5)+($L$4:$L$56&gt;=0.5))&gt;0)),ROWS($T$5:T52))),"")</f>
        <v/>
      </c>
      <c r="AC52" s="1084" t="str">
        <f>IFERROR(INDEX($L$4:$L$56,_xlfn.AGGREGATE(15,6,(ROW($B$4:$B$56)-ROW($B$4)+1)/((ISNUMBER($B$4:$B$56))*((($H$4:$H$56&gt;=0.5)+($L$4:$L$56&gt;=0.5))&gt;0)),ROWS($T$5:T52))),"")</f>
        <v/>
      </c>
      <c r="AD52" s="1075" t="str">
        <f>IFERROR(INDEX($M$4:$M$56,_xlfn.AGGREGATE(15,6,(ROW($B$4:$B$56)-ROW($B$4)+1)/((ISNUMBER($B$4:$B$56))*((($H$4:$H$56&gt;=0.5)+($L$4:$L$56&gt;=0.5))&gt;0)),ROWS($T$5:T52))),"")</f>
        <v/>
      </c>
      <c r="AE52" s="1078" t="str">
        <f>IFERROR(INDEX($N$4:$N$56,_xlfn.AGGREGATE(15,6,(ROW($B$4:$B$56)-ROW($B$4)+1)/((ISNUMBER($B$4:$B$56))*((($H$4:$H$56&gt;=0.5)+($L$4:$L$56&gt;=0.5))&gt;0)),ROWS($T$5:T52))),"")</f>
        <v/>
      </c>
      <c r="AF52" s="1085" t="str">
        <f>IFERROR(INDEX($O$4:$O$56,_xlfn.AGGREGATE(15,6,(ROW($B$4:$B$56)-ROW($B$4)+1)/((ISNUMBER($B$4:$B$56))*((($H$4:$H$56&gt;=0.5)+($L$4:$L$56&gt;=0.5))&gt;0)),ROWS($T$5:T52))),"")</f>
        <v/>
      </c>
      <c r="AG52" s="1086" t="str">
        <f>IFERROR(INDEX($P$4:$P$56,_xlfn.AGGREGATE(15,6,(ROW($B$4:$B$56)-ROW($B$4)+1)/((ISNUMBER($B$4:$B$56))*((($H$4:$H$56&gt;=0.5)+($L$4:$L$56&gt;=0.5))&gt;0)),ROWS($T$5:T52))),"")</f>
        <v/>
      </c>
      <c r="AH52" s="1079" t="str">
        <f t="shared" si="5"/>
        <v/>
      </c>
    </row>
    <row r="53" spans="2:34" ht="27" thickBot="1">
      <c r="I53" s="784"/>
      <c r="K53"/>
      <c r="M53" s="784"/>
      <c r="O53" s="193">
        <f>O52*20</f>
        <v>0</v>
      </c>
      <c r="P53" s="193">
        <f>P52*20</f>
        <v>0</v>
      </c>
      <c r="T53" s="1073" t="str">
        <f>IFERROR(INDEX($B$4:$B$56,_xlfn.AGGREGATE(15,6,(ROW($B$4:$B$56)-ROW($B$4)+1)/((ISNUMBER($B$4:$B$56))*((($H$4:$H$56&gt;=0.5)+($L$4:$L$56&gt;=0.5))&gt;0)),ROWS($T$5:T53))),"")</f>
        <v/>
      </c>
      <c r="U53" s="1076" t="str">
        <f>IFERROR(INDEX($C$4:$C$56,_xlfn.AGGREGATE(15,6,(ROW($B$4:$B$56)-ROW($B$4)+1)/((ISNUMBER($B$4:$B$56))*((($H$4:$H$56&gt;=0.5)+($L$4:$L$56&gt;=0.5))&gt;0)),ROWS($T$5:T53))),"")</f>
        <v/>
      </c>
      <c r="V53" s="1080" t="str">
        <f>IFERROR(INDEX($D$4:$D$56,_xlfn.AGGREGATE(15,6,(ROW($B$4:$B$56)-ROW($B$4)+1)/((ISNUMBER($B$4:$B$56))*((($H$4:$H$56&gt;=0.5)+($L$4:$L$56&gt;=0.5))&gt;0)),ROWS($T$5:T53))),"")</f>
        <v/>
      </c>
      <c r="W53" s="1081" t="str">
        <f>IFERROR(INDEX($E$4:$E$56,_xlfn.AGGREGATE(15,6,(ROW($B$4:$B$56)-ROW($B$4)+1)/((ISNUMBER($B$4:$B$56))*((($H$4:$H$56&gt;=0.5)+($L$4:$L$56&gt;=0.5))&gt;0)),ROWS($T$5:T53))),"")</f>
        <v/>
      </c>
      <c r="X53" s="1081" t="str">
        <f>IFERROR(INDEX($F$4:$F$56,_xlfn.AGGREGATE(15,6,(ROW($B$4:$B$56)-ROW($B$4)+1)/((ISNUMBER($B$4:$B$56))*((($H$4:$H$56&gt;=0.5)+($L$4:$L$56&gt;=0.5))&gt;0)),ROWS($T$5:T53))),"")</f>
        <v/>
      </c>
      <c r="Y53" s="1082" t="str">
        <f>IFERROR(INDEX($G$4:$G$56,_xlfn.AGGREGATE(15,6,(ROW($B$4:$B$56)-ROW($B$4)+1)/((ISNUMBER($B$4:$B$56))*((($H$4:$H$56&gt;=0.5)+($L$4:$L$56&gt;=0.5))&gt;0)),ROWS($T$5:T53))),"")</f>
        <v/>
      </c>
      <c r="Z53" s="1083" t="str">
        <f>IFERROR(INDEX($H$4:$H$56,_xlfn.AGGREGATE(15,6,(ROW($B$4:$B$56)-ROW($B$4)+1)/((ISNUMBER($B$4:$B$56))*((($H$4:$H$56&gt;=0.5)+($L$4:$L$56&gt;=0.5))&gt;0)),ROWS($T$5:T53))),"")</f>
        <v/>
      </c>
      <c r="AA53" s="1074" t="str">
        <f>IFERROR(INDEX($I$4:$I$56,_xlfn.AGGREGATE(15,6,(ROW($B$4:$B$56)-ROW($B$4)+1)/((ISNUMBER($B$4:$B$56))*((($H$4:$H$56&gt;=0.5)+($L$4:$L$56&gt;=0.5))&gt;0)),ROWS($T$5:T53))),"")</f>
        <v/>
      </c>
      <c r="AB53" s="1077" t="str">
        <f>IFERROR(INDEX($J$4:$J$56,_xlfn.AGGREGATE(15,6,(ROW($B$4:$B$56)-ROW($B$4)+1)/((ISNUMBER($B$4:$B$56))*((($H$4:$H$56&gt;=0.5)+($L$4:$L$56&gt;=0.5))&gt;0)),ROWS($T$5:T53))),"")</f>
        <v/>
      </c>
      <c r="AC53" s="1084" t="str">
        <f>IFERROR(INDEX($L$4:$L$56,_xlfn.AGGREGATE(15,6,(ROW($B$4:$B$56)-ROW($B$4)+1)/((ISNUMBER($B$4:$B$56))*((($H$4:$H$56&gt;=0.5)+($L$4:$L$56&gt;=0.5))&gt;0)),ROWS($T$5:T53))),"")</f>
        <v/>
      </c>
      <c r="AD53" s="1075" t="str">
        <f>IFERROR(INDEX($M$4:$M$56,_xlfn.AGGREGATE(15,6,(ROW($B$4:$B$56)-ROW($B$4)+1)/((ISNUMBER($B$4:$B$56))*((($H$4:$H$56&gt;=0.5)+($L$4:$L$56&gt;=0.5))&gt;0)),ROWS($T$5:T53))),"")</f>
        <v/>
      </c>
      <c r="AE53" s="1078" t="str">
        <f>IFERROR(INDEX($N$4:$N$56,_xlfn.AGGREGATE(15,6,(ROW($B$4:$B$56)-ROW($B$4)+1)/((ISNUMBER($B$4:$B$56))*((($H$4:$H$56&gt;=0.5)+($L$4:$L$56&gt;=0.5))&gt;0)),ROWS($T$5:T53))),"")</f>
        <v/>
      </c>
      <c r="AF53" s="1085" t="str">
        <f>IFERROR(INDEX($O$4:$O$56,_xlfn.AGGREGATE(15,6,(ROW($B$4:$B$56)-ROW($B$4)+1)/((ISNUMBER($B$4:$B$56))*((($H$4:$H$56&gt;=0.5)+($L$4:$L$56&gt;=0.5))&gt;0)),ROWS($T$5:T53))),"")</f>
        <v/>
      </c>
      <c r="AG53" s="1086" t="str">
        <f>IFERROR(INDEX($P$4:$P$56,_xlfn.AGGREGATE(15,6,(ROW($B$4:$B$56)-ROW($B$4)+1)/((ISNUMBER($B$4:$B$56))*((($H$4:$H$56&gt;=0.5)+($L$4:$L$56&gt;=0.5))&gt;0)),ROWS($T$5:T53))),"")</f>
        <v/>
      </c>
      <c r="AH53" s="1079" t="str">
        <f t="shared" si="5"/>
        <v/>
      </c>
    </row>
    <row r="54" spans="2:34" ht="50.25" customHeight="1" thickBot="1">
      <c r="C54" s="2178" t="s">
        <v>9</v>
      </c>
      <c r="D54" s="2179">
        <f>(D52+E52)*20</f>
        <v>0</v>
      </c>
      <c r="E54" s="2179"/>
      <c r="F54" s="2179">
        <f>(F52+G52)*20</f>
        <v>0</v>
      </c>
      <c r="G54" s="1515"/>
      <c r="H54" s="2750" t="s">
        <v>708</v>
      </c>
      <c r="I54" s="2751"/>
      <c r="J54" s="2751"/>
      <c r="K54" s="2751"/>
      <c r="L54" s="2751"/>
      <c r="M54" s="2751"/>
      <c r="N54" s="2751"/>
      <c r="O54" s="2751"/>
      <c r="P54" s="2752"/>
      <c r="T54" s="1073" t="str">
        <f>IFERROR(INDEX($B$4:$B$56,_xlfn.AGGREGATE(15,6,(ROW($B$4:$B$56)-ROW($B$4)+1)/((ISNUMBER($B$4:$B$56))*((($H$4:$H$56&gt;=0.5)+($L$4:$L$56&gt;=0.5))&gt;0)),ROWS($T$5:T54))),"")</f>
        <v/>
      </c>
      <c r="U54" s="1076" t="str">
        <f>IFERROR(INDEX($C$4:$C$56,_xlfn.AGGREGATE(15,6,(ROW($B$4:$B$56)-ROW($B$4)+1)/((ISNUMBER($B$4:$B$56))*((($H$4:$H$56&gt;=0.5)+($L$4:$L$56&gt;=0.5))&gt;0)),ROWS($T$5:T54))),"")</f>
        <v/>
      </c>
      <c r="V54" s="1080" t="str">
        <f>IFERROR(INDEX($D$4:$D$56,_xlfn.AGGREGATE(15,6,(ROW($B$4:$B$56)-ROW($B$4)+1)/((ISNUMBER($B$4:$B$56))*((($H$4:$H$56&gt;=0.5)+($L$4:$L$56&gt;=0.5))&gt;0)),ROWS($T$5:T54))),"")</f>
        <v/>
      </c>
      <c r="W54" s="1081" t="str">
        <f>IFERROR(INDEX($E$4:$E$56,_xlfn.AGGREGATE(15,6,(ROW($B$4:$B$56)-ROW($B$4)+1)/((ISNUMBER($B$4:$B$56))*((($H$4:$H$56&gt;=0.5)+($L$4:$L$56&gt;=0.5))&gt;0)),ROWS($T$5:T54))),"")</f>
        <v/>
      </c>
      <c r="X54" s="1081" t="str">
        <f>IFERROR(INDEX($F$4:$F$56,_xlfn.AGGREGATE(15,6,(ROW($B$4:$B$56)-ROW($B$4)+1)/((ISNUMBER($B$4:$B$56))*((($H$4:$H$56&gt;=0.5)+($L$4:$L$56&gt;=0.5))&gt;0)),ROWS($T$5:T54))),"")</f>
        <v/>
      </c>
      <c r="Y54" s="1082" t="str">
        <f>IFERROR(INDEX($G$4:$G$56,_xlfn.AGGREGATE(15,6,(ROW($B$4:$B$56)-ROW($B$4)+1)/((ISNUMBER($B$4:$B$56))*((($H$4:$H$56&gt;=0.5)+($L$4:$L$56&gt;=0.5))&gt;0)),ROWS($T$5:T54))),"")</f>
        <v/>
      </c>
      <c r="Z54" s="1083" t="str">
        <f>IFERROR(INDEX($H$4:$H$56,_xlfn.AGGREGATE(15,6,(ROW($B$4:$B$56)-ROW($B$4)+1)/((ISNUMBER($B$4:$B$56))*((($H$4:$H$56&gt;=0.5)+($L$4:$L$56&gt;=0.5))&gt;0)),ROWS($T$5:T54))),"")</f>
        <v/>
      </c>
      <c r="AA54" s="1074" t="str">
        <f>IFERROR(INDEX($I$4:$I$56,_xlfn.AGGREGATE(15,6,(ROW($B$4:$B$56)-ROW($B$4)+1)/((ISNUMBER($B$4:$B$56))*((($H$4:$H$56&gt;=0.5)+($L$4:$L$56&gt;=0.5))&gt;0)),ROWS($T$5:T54))),"")</f>
        <v/>
      </c>
      <c r="AB54" s="1077" t="str">
        <f>IFERROR(INDEX($J$4:$J$56,_xlfn.AGGREGATE(15,6,(ROW($B$4:$B$56)-ROW($B$4)+1)/((ISNUMBER($B$4:$B$56))*((($H$4:$H$56&gt;=0.5)+($L$4:$L$56&gt;=0.5))&gt;0)),ROWS($T$5:T54))),"")</f>
        <v/>
      </c>
      <c r="AC54" s="1084" t="str">
        <f>IFERROR(INDEX($L$4:$L$56,_xlfn.AGGREGATE(15,6,(ROW($B$4:$B$56)-ROW($B$4)+1)/((ISNUMBER($B$4:$B$56))*((($H$4:$H$56&gt;=0.5)+($L$4:$L$56&gt;=0.5))&gt;0)),ROWS($T$5:T54))),"")</f>
        <v/>
      </c>
      <c r="AD54" s="1075" t="str">
        <f>IFERROR(INDEX($M$4:$M$56,_xlfn.AGGREGATE(15,6,(ROW($B$4:$B$56)-ROW($B$4)+1)/((ISNUMBER($B$4:$B$56))*((($H$4:$H$56&gt;=0.5)+($L$4:$L$56&gt;=0.5))&gt;0)),ROWS($T$5:T54))),"")</f>
        <v/>
      </c>
      <c r="AE54" s="1078" t="str">
        <f>IFERROR(INDEX($N$4:$N$56,_xlfn.AGGREGATE(15,6,(ROW($B$4:$B$56)-ROW($B$4)+1)/((ISNUMBER($B$4:$B$56))*((($H$4:$H$56&gt;=0.5)+($L$4:$L$56&gt;=0.5))&gt;0)),ROWS($T$5:T54))),"")</f>
        <v/>
      </c>
      <c r="AF54" s="1085" t="str">
        <f>IFERROR(INDEX($O$4:$O$56,_xlfn.AGGREGATE(15,6,(ROW($B$4:$B$56)-ROW($B$4)+1)/((ISNUMBER($B$4:$B$56))*((($H$4:$H$56&gt;=0.5)+($L$4:$L$56&gt;=0.5))&gt;0)),ROWS($T$5:T54))),"")</f>
        <v/>
      </c>
      <c r="AG54" s="1086" t="str">
        <f>IFERROR(INDEX($P$4:$P$56,_xlfn.AGGREGATE(15,6,(ROW($B$4:$B$56)-ROW($B$4)+1)/((ISNUMBER($B$4:$B$56))*((($H$4:$H$56&gt;=0.5)+($L$4:$L$56&gt;=0.5))&gt;0)),ROWS($T$5:T54))),"")</f>
        <v/>
      </c>
      <c r="AH54" s="1079" t="str">
        <f t="shared" si="5"/>
        <v/>
      </c>
    </row>
    <row r="55" spans="2:34" ht="47.25" thickBot="1">
      <c r="C55" s="2178" t="s">
        <v>75</v>
      </c>
      <c r="D55" s="2770">
        <f>F54-D54</f>
        <v>0</v>
      </c>
      <c r="E55" s="2771"/>
      <c r="F55" s="2772"/>
      <c r="G55" s="1516"/>
      <c r="H55" s="2777"/>
      <c r="I55" s="2777"/>
      <c r="J55" s="2777"/>
      <c r="K55" s="2777"/>
      <c r="L55" s="2777"/>
      <c r="M55" s="2182"/>
      <c r="N55" s="105"/>
      <c r="O55" s="2183"/>
      <c r="P55" s="2183"/>
      <c r="T55" s="1073" t="str">
        <f>IFERROR(INDEX($B$4:$B$56,_xlfn.AGGREGATE(15,6,(ROW($B$4:$B$56)-ROW($B$4)+1)/((ISNUMBER($B$4:$B$56))*((($H$4:$H$56&gt;=0.5)+($L$4:$L$56&gt;=0.5))&gt;0)),ROWS($T$5:T55))),"")</f>
        <v/>
      </c>
      <c r="U55" s="1076" t="str">
        <f>IFERROR(INDEX($C$4:$C$56,_xlfn.AGGREGATE(15,6,(ROW($B$4:$B$56)-ROW($B$4)+1)/((ISNUMBER($B$4:$B$56))*((($H$4:$H$56&gt;=0.5)+($L$4:$L$56&gt;=0.5))&gt;0)),ROWS($T$5:T55))),"")</f>
        <v/>
      </c>
      <c r="V55" s="1080" t="str">
        <f>IFERROR(INDEX($D$4:$D$56,_xlfn.AGGREGATE(15,6,(ROW($B$4:$B$56)-ROW($B$4)+1)/((ISNUMBER($B$4:$B$56))*((($H$4:$H$56&gt;=0.5)+($L$4:$L$56&gt;=0.5))&gt;0)),ROWS($T$5:T55))),"")</f>
        <v/>
      </c>
      <c r="W55" s="1081" t="str">
        <f>IFERROR(INDEX($E$4:$E$56,_xlfn.AGGREGATE(15,6,(ROW($B$4:$B$56)-ROW($B$4)+1)/((ISNUMBER($B$4:$B$56))*((($H$4:$H$56&gt;=0.5)+($L$4:$L$56&gt;=0.5))&gt;0)),ROWS($T$5:T55))),"")</f>
        <v/>
      </c>
      <c r="X55" s="1081" t="str">
        <f>IFERROR(INDEX($F$4:$F$56,_xlfn.AGGREGATE(15,6,(ROW($B$4:$B$56)-ROW($B$4)+1)/((ISNUMBER($B$4:$B$56))*((($H$4:$H$56&gt;=0.5)+($L$4:$L$56&gt;=0.5))&gt;0)),ROWS($T$5:T55))),"")</f>
        <v/>
      </c>
      <c r="Y55" s="1082" t="str">
        <f>IFERROR(INDEX($G$4:$G$56,_xlfn.AGGREGATE(15,6,(ROW($B$4:$B$56)-ROW($B$4)+1)/((ISNUMBER($B$4:$B$56))*((($H$4:$H$56&gt;=0.5)+($L$4:$L$56&gt;=0.5))&gt;0)),ROWS($T$5:T55))),"")</f>
        <v/>
      </c>
      <c r="Z55" s="1083" t="str">
        <f>IFERROR(INDEX($H$4:$H$56,_xlfn.AGGREGATE(15,6,(ROW($B$4:$B$56)-ROW($B$4)+1)/((ISNUMBER($B$4:$B$56))*((($H$4:$H$56&gt;=0.5)+($L$4:$L$56&gt;=0.5))&gt;0)),ROWS($T$5:T55))),"")</f>
        <v/>
      </c>
      <c r="AA55" s="1074" t="str">
        <f>IFERROR(INDEX($I$4:$I$56,_xlfn.AGGREGATE(15,6,(ROW($B$4:$B$56)-ROW($B$4)+1)/((ISNUMBER($B$4:$B$56))*((($H$4:$H$56&gt;=0.5)+($L$4:$L$56&gt;=0.5))&gt;0)),ROWS($T$5:T55))),"")</f>
        <v/>
      </c>
      <c r="AB55" s="1077" t="str">
        <f>IFERROR(INDEX($J$4:$J$56,_xlfn.AGGREGATE(15,6,(ROW($B$4:$B$56)-ROW($B$4)+1)/((ISNUMBER($B$4:$B$56))*((($H$4:$H$56&gt;=0.5)+($L$4:$L$56&gt;=0.5))&gt;0)),ROWS($T$5:T55))),"")</f>
        <v/>
      </c>
      <c r="AC55" s="1084" t="str">
        <f>IFERROR(INDEX($L$4:$L$56,_xlfn.AGGREGATE(15,6,(ROW($B$4:$B$56)-ROW($B$4)+1)/((ISNUMBER($B$4:$B$56))*((($H$4:$H$56&gt;=0.5)+($L$4:$L$56&gt;=0.5))&gt;0)),ROWS($T$5:T55))),"")</f>
        <v/>
      </c>
      <c r="AD55" s="1075" t="str">
        <f>IFERROR(INDEX($M$4:$M$56,_xlfn.AGGREGATE(15,6,(ROW($B$4:$B$56)-ROW($B$4)+1)/((ISNUMBER($B$4:$B$56))*((($H$4:$H$56&gt;=0.5)+($L$4:$L$56&gt;=0.5))&gt;0)),ROWS($T$5:T55))),"")</f>
        <v/>
      </c>
      <c r="AE55" s="1078" t="str">
        <f>IFERROR(INDEX($N$4:$N$56,_xlfn.AGGREGATE(15,6,(ROW($B$4:$B$56)-ROW($B$4)+1)/((ISNUMBER($B$4:$B$56))*((($H$4:$H$56&gt;=0.5)+($L$4:$L$56&gt;=0.5))&gt;0)),ROWS($T$5:T55))),"")</f>
        <v/>
      </c>
      <c r="AF55" s="1085" t="str">
        <f>IFERROR(INDEX($O$4:$O$56,_xlfn.AGGREGATE(15,6,(ROW($B$4:$B$56)-ROW($B$4)+1)/((ISNUMBER($B$4:$B$56))*((($H$4:$H$56&gt;=0.5)+($L$4:$L$56&gt;=0.5))&gt;0)),ROWS($T$5:T55))),"")</f>
        <v/>
      </c>
      <c r="AG55" s="1086" t="str">
        <f>IFERROR(INDEX($P$4:$P$56,_xlfn.AGGREGATE(15,6,(ROW($B$4:$B$56)-ROW($B$4)+1)/((ISNUMBER($B$4:$B$56))*((($H$4:$H$56&gt;=0.5)+($L$4:$L$56&gt;=0.5))&gt;0)),ROWS($T$5:T55))),"")</f>
        <v/>
      </c>
      <c r="AH55" s="1079" t="str">
        <f t="shared" si="5"/>
        <v/>
      </c>
    </row>
    <row r="56" spans="2:34" ht="56.25" customHeight="1" thickBot="1">
      <c r="C56" s="2178" t="s">
        <v>178</v>
      </c>
      <c r="D56" s="2180" t="str">
        <f>+'RES-EN'!R57</f>
        <v/>
      </c>
      <c r="E56" s="2180"/>
      <c r="F56" s="2180" t="str">
        <f>+'EM-TUN'!CE56</f>
        <v/>
      </c>
      <c r="G56" s="1517"/>
      <c r="H56" s="2762" t="s">
        <v>709</v>
      </c>
      <c r="I56" s="2763"/>
      <c r="J56" s="2759" t="s">
        <v>710</v>
      </c>
      <c r="K56" s="2760"/>
      <c r="L56" s="2761"/>
      <c r="M56" s="2756" t="s">
        <v>711</v>
      </c>
      <c r="N56" s="2757"/>
      <c r="O56" s="2767" t="s">
        <v>712</v>
      </c>
      <c r="P56" s="2768"/>
      <c r="Q56" s="2181"/>
      <c r="T56" s="1073" t="str">
        <f>IFERROR(INDEX($B$4:$B$56,_xlfn.AGGREGATE(15,6,(ROW($B$4:$B$56)-ROW($B$4)+1)/((ISNUMBER($B$4:$B$56))*((($H$4:$H$56&gt;=0.5)+($L$4:$L$56&gt;=0.5))&gt;0)),ROWS($T$5:T56))),"")</f>
        <v/>
      </c>
      <c r="U56" s="1076" t="str">
        <f>IFERROR(INDEX($C$4:$C$56,_xlfn.AGGREGATE(15,6,(ROW($B$4:$B$56)-ROW($B$4)+1)/((ISNUMBER($B$4:$B$56))*((($H$4:$H$56&gt;=0.5)+($L$4:$L$56&gt;=0.5))&gt;0)),ROWS($T$5:T56))),"")</f>
        <v/>
      </c>
      <c r="V56" s="1080" t="str">
        <f>IFERROR(INDEX($D$4:$D$56,_xlfn.AGGREGATE(15,6,(ROW($B$4:$B$56)-ROW($B$4)+1)/((ISNUMBER($B$4:$B$56))*((($H$4:$H$56&gt;=0.5)+($L$4:$L$56&gt;=0.5))&gt;0)),ROWS($T$5:T56))),"")</f>
        <v/>
      </c>
      <c r="W56" s="1081" t="str">
        <f>IFERROR(INDEX($E$4:$E$56,_xlfn.AGGREGATE(15,6,(ROW($B$4:$B$56)-ROW($B$4)+1)/((ISNUMBER($B$4:$B$56))*((($H$4:$H$56&gt;=0.5)+($L$4:$L$56&gt;=0.5))&gt;0)),ROWS($T$5:T56))),"")</f>
        <v/>
      </c>
      <c r="X56" s="1081" t="str">
        <f>IFERROR(INDEX($F$4:$F$56,_xlfn.AGGREGATE(15,6,(ROW($B$4:$B$56)-ROW($B$4)+1)/((ISNUMBER($B$4:$B$56))*((($H$4:$H$56&gt;=0.5)+($L$4:$L$56&gt;=0.5))&gt;0)),ROWS($T$5:T56))),"")</f>
        <v/>
      </c>
      <c r="Y56" s="1082" t="str">
        <f>IFERROR(INDEX($G$4:$G$56,_xlfn.AGGREGATE(15,6,(ROW($B$4:$B$56)-ROW($B$4)+1)/((ISNUMBER($B$4:$B$56))*((($H$4:$H$56&gt;=0.5)+($L$4:$L$56&gt;=0.5))&gt;0)),ROWS($T$5:T56))),"")</f>
        <v/>
      </c>
      <c r="Z56" s="1083" t="str">
        <f>IFERROR(INDEX($H$4:$H$56,_xlfn.AGGREGATE(15,6,(ROW($B$4:$B$56)-ROW($B$4)+1)/((ISNUMBER($B$4:$B$56))*((($H$4:$H$56&gt;=0.5)+($L$4:$L$56&gt;=0.5))&gt;0)),ROWS($T$5:T56))),"")</f>
        <v/>
      </c>
      <c r="AA56" s="1074" t="str">
        <f>IFERROR(INDEX($I$4:$I$56,_xlfn.AGGREGATE(15,6,(ROW($B$4:$B$56)-ROW($B$4)+1)/((ISNUMBER($B$4:$B$56))*((($H$4:$H$56&gt;=0.5)+($L$4:$L$56&gt;=0.5))&gt;0)),ROWS($T$5:T56))),"")</f>
        <v/>
      </c>
      <c r="AB56" s="1077" t="str">
        <f>IFERROR(INDEX($J$4:$J$56,_xlfn.AGGREGATE(15,6,(ROW($B$4:$B$56)-ROW($B$4)+1)/((ISNUMBER($B$4:$B$56))*((($H$4:$H$56&gt;=0.5)+($L$4:$L$56&gt;=0.5))&gt;0)),ROWS($T$5:T56))),"")</f>
        <v/>
      </c>
      <c r="AC56" s="1084" t="str">
        <f>IFERROR(INDEX($L$4:$L$56,_xlfn.AGGREGATE(15,6,(ROW($B$4:$B$56)-ROW($B$4)+1)/((ISNUMBER($B$4:$B$56))*((($H$4:$H$56&gt;=0.5)+($L$4:$L$56&gt;=0.5))&gt;0)),ROWS($T$5:T56))),"")</f>
        <v/>
      </c>
      <c r="AD56" s="1075" t="str">
        <f>IFERROR(INDEX($M$4:$M$56,_xlfn.AGGREGATE(15,6,(ROW($B$4:$B$56)-ROW($B$4)+1)/((ISNUMBER($B$4:$B$56))*((($H$4:$H$56&gt;=0.5)+($L$4:$L$56&gt;=0.5))&gt;0)),ROWS($T$5:T56))),"")</f>
        <v/>
      </c>
      <c r="AE56" s="1078" t="str">
        <f>IFERROR(INDEX($N$4:$N$56,_xlfn.AGGREGATE(15,6,(ROW($B$4:$B$56)-ROW($B$4)+1)/((ISNUMBER($B$4:$B$56))*((($H$4:$H$56&gt;=0.5)+($L$4:$L$56&gt;=0.5))&gt;0)),ROWS($T$5:T56))),"")</f>
        <v/>
      </c>
      <c r="AF56" s="1085" t="str">
        <f>IFERROR(INDEX($O$4:$O$56,_xlfn.AGGREGATE(15,6,(ROW($B$4:$B$56)-ROW($B$4)+1)/((ISNUMBER($B$4:$B$56))*((($H$4:$H$56&gt;=0.5)+($L$4:$L$56&gt;=0.5))&gt;0)),ROWS($T$5:T56))),"")</f>
        <v/>
      </c>
      <c r="AG56" s="1086" t="str">
        <f>IFERROR(INDEX($P$4:$P$56,_xlfn.AGGREGATE(15,6,(ROW($B$4:$B$56)-ROW($B$4)+1)/((ISNUMBER($B$4:$B$56))*((($H$4:$H$56&gt;=0.5)+($L$4:$L$56&gt;=0.5))&gt;0)),ROWS($T$5:T56))),"")</f>
        <v/>
      </c>
      <c r="AH56" s="1079" t="str">
        <f t="shared" si="5"/>
        <v/>
      </c>
    </row>
    <row r="57" spans="2:34" ht="46.5">
      <c r="G57" s="1518"/>
      <c r="H57" s="2764">
        <f>+'ENV. PLACAS'!AE54</f>
        <v>0</v>
      </c>
      <c r="I57" s="2765"/>
      <c r="J57" s="2766">
        <f>+'EM-PLA'!BE54</f>
        <v>0</v>
      </c>
      <c r="K57" s="2758"/>
      <c r="L57" s="2758"/>
      <c r="M57" s="2758">
        <f>+'RES-EN'!S54</f>
        <v>0</v>
      </c>
      <c r="N57" s="2758"/>
      <c r="O57" s="2758">
        <f>+'EM-TUN'!CE54</f>
        <v>0</v>
      </c>
      <c r="P57" s="2769"/>
    </row>
    <row r="58" spans="2:34" ht="47.25" thickBot="1">
      <c r="G58" s="1516"/>
      <c r="H58" s="2753" t="s">
        <v>75</v>
      </c>
      <c r="I58" s="2749"/>
      <c r="J58" s="2754">
        <f>+J57-H57</f>
        <v>0</v>
      </c>
      <c r="K58" s="2755"/>
      <c r="L58" s="2755"/>
      <c r="M58" s="2748" t="s">
        <v>75</v>
      </c>
      <c r="N58" s="2748"/>
      <c r="O58" s="2748">
        <f>+O57-M57</f>
        <v>0</v>
      </c>
      <c r="P58" s="2749"/>
    </row>
    <row r="59" spans="2:34" ht="46.5">
      <c r="G59" s="1516"/>
      <c r="H59" s="1516"/>
      <c r="I59" s="1516"/>
      <c r="J59" s="1516"/>
      <c r="K59" s="98"/>
      <c r="L59" s="1516"/>
      <c r="M59" s="1516"/>
    </row>
    <row r="60" spans="2:34" ht="46.5">
      <c r="G60" s="1516"/>
      <c r="H60" s="1516"/>
      <c r="I60" s="1516"/>
      <c r="J60" s="1516"/>
      <c r="K60" s="98"/>
      <c r="L60" s="1516"/>
      <c r="M60" s="1516"/>
      <c r="O60" s="199"/>
      <c r="P60" s="199"/>
    </row>
    <row r="61" spans="2:34" ht="46.5">
      <c r="D61" s="199"/>
      <c r="F61" s="199"/>
      <c r="G61" s="1518"/>
      <c r="H61" s="1516"/>
      <c r="I61" s="1516"/>
      <c r="J61" s="1516"/>
      <c r="K61" s="98"/>
      <c r="L61" s="1516"/>
      <c r="M61" s="1516"/>
    </row>
    <row r="62" spans="2:34" ht="46.5">
      <c r="G62" s="1516"/>
      <c r="H62" s="1516"/>
      <c r="I62" s="1516"/>
      <c r="J62" s="1516"/>
      <c r="K62" s="98"/>
      <c r="L62" s="1516"/>
      <c r="M62" s="1516"/>
    </row>
    <row r="63" spans="2:34" ht="46.5">
      <c r="G63" s="1516"/>
      <c r="H63" s="1516"/>
      <c r="I63" s="1516"/>
      <c r="J63" s="1516"/>
      <c r="K63" s="98"/>
      <c r="L63" s="1516"/>
      <c r="M63" s="1516"/>
    </row>
    <row r="64" spans="2:34" ht="46.5">
      <c r="G64" s="1516"/>
      <c r="H64" s="1516"/>
      <c r="I64" s="1516"/>
      <c r="J64" s="1516"/>
      <c r="K64" s="98"/>
      <c r="L64" s="1516"/>
      <c r="M64" s="1516"/>
    </row>
    <row r="65" spans="7:13" ht="46.5">
      <c r="G65" s="1516"/>
      <c r="H65" s="1516"/>
      <c r="I65" s="1516"/>
      <c r="J65" s="1516"/>
      <c r="K65" s="98"/>
      <c r="L65" s="1516"/>
      <c r="M65" s="1516"/>
    </row>
    <row r="66" spans="7:13" ht="46.5">
      <c r="G66" s="1516"/>
      <c r="H66" s="1516"/>
      <c r="I66" s="1516"/>
      <c r="J66" s="1516"/>
      <c r="K66" s="98"/>
      <c r="L66" s="1516"/>
      <c r="M66" s="1516"/>
    </row>
    <row r="67" spans="7:13" ht="46.5">
      <c r="G67" s="1516"/>
      <c r="H67" s="1516"/>
      <c r="I67" s="1516"/>
      <c r="J67" s="1516"/>
      <c r="K67" s="98"/>
      <c r="L67" s="1516"/>
      <c r="M67" s="1516"/>
    </row>
    <row r="68" spans="7:13" ht="46.5">
      <c r="G68" s="1516"/>
      <c r="H68" s="1516"/>
      <c r="I68" s="1516"/>
      <c r="J68" s="1516"/>
      <c r="K68" s="98"/>
      <c r="L68" s="1516"/>
      <c r="M68" s="1516"/>
    </row>
    <row r="69" spans="7:13" ht="46.5">
      <c r="G69" s="1516"/>
      <c r="H69" s="1516"/>
      <c r="I69" s="1516"/>
      <c r="J69" s="1516"/>
      <c r="K69" s="98"/>
      <c r="L69" s="1516"/>
      <c r="M69" s="1516"/>
    </row>
    <row r="70" spans="7:13" ht="46.5">
      <c r="G70" s="1516"/>
      <c r="H70" s="1516"/>
      <c r="I70" s="1516"/>
      <c r="J70" s="1516"/>
      <c r="K70" s="98"/>
      <c r="L70" s="1516"/>
      <c r="M70" s="1516"/>
    </row>
    <row r="71" spans="7:13" ht="46.5">
      <c r="G71" s="1516"/>
      <c r="H71" s="1516"/>
      <c r="I71" s="1516"/>
      <c r="J71" s="1516"/>
      <c r="K71" s="98"/>
      <c r="L71" s="1516"/>
      <c r="M71" s="1516"/>
    </row>
  </sheetData>
  <autoFilter ref="H3:R53" xr:uid="{DB5CD207-E041-4A62-ACD0-DD62900ED8C3}"/>
  <mergeCells count="17">
    <mergeCell ref="D55:F55"/>
    <mergeCell ref="T3:AH3"/>
    <mergeCell ref="H55:I55"/>
    <mergeCell ref="J55:L55"/>
    <mergeCell ref="O58:P58"/>
    <mergeCell ref="H54:P54"/>
    <mergeCell ref="H58:I58"/>
    <mergeCell ref="J58:L58"/>
    <mergeCell ref="M56:N56"/>
    <mergeCell ref="M57:N57"/>
    <mergeCell ref="M58:N58"/>
    <mergeCell ref="J56:L56"/>
    <mergeCell ref="H56:I56"/>
    <mergeCell ref="H57:I57"/>
    <mergeCell ref="J57:L57"/>
    <mergeCell ref="O56:P56"/>
    <mergeCell ref="O57:P57"/>
  </mergeCells>
  <conditionalFormatting sqref="I4:I51 M4:M51">
    <cfRule type="containsText" dxfId="16" priority="7" operator="containsText" text="FALTA">
      <formula>NOT(ISERROR(SEARCH("FALTA",I4)))</formula>
    </cfRule>
    <cfRule type="containsText" dxfId="15" priority="8" operator="containsText" text="SOBRA">
      <formula>NOT(ISERROR(SEARCH("SOBRA",I4)))</formula>
    </cfRule>
    <cfRule type="containsText" dxfId="14" priority="9" operator="containsText" text="CUADRADO">
      <formula>NOT(ISERROR(SEARCH("CUADRADO",I4)))</formula>
    </cfRule>
  </conditionalFormatting>
  <conditionalFormatting sqref="AH5:AH56">
    <cfRule type="containsText" dxfId="13" priority="15" operator="containsText" text="OK">
      <formula>NOT(ISERROR(SEARCH("OK",AH5)))</formula>
    </cfRule>
  </conditionalFormatting>
  <conditionalFormatting sqref="AH5:AH56">
    <cfRule type="containsText" dxfId="12" priority="16" operator="containsText" text="REVISAR">
      <formula>NOT(ISERROR(SEARCH("REVISAR",AH5)))</formula>
    </cfRule>
  </conditionalFormatting>
  <conditionalFormatting sqref="AA5:AD56">
    <cfRule type="containsText" dxfId="11" priority="17" operator="containsText" text="CUADRADO">
      <formula>NOT(ISERROR(SEARCH("CUADRADO",AA5)))</formula>
    </cfRule>
  </conditionalFormatting>
  <conditionalFormatting sqref="AA5:AD56">
    <cfRule type="containsText" dxfId="10" priority="18" operator="containsText" text="FALTA">
      <formula>NOT(ISERROR(SEARCH("FALTA",AA5)))</formula>
    </cfRule>
  </conditionalFormatting>
  <conditionalFormatting sqref="AA5:AD56">
    <cfRule type="containsText" dxfId="9" priority="19" operator="containsText" text="SOBRA">
      <formula>NOT(ISERROR(SEARCH("SOBRA",AA5)))</formula>
    </cfRule>
  </conditionalFormatting>
  <pageMargins left="0.70866141732283472" right="0.70866141732283472" top="0.74803149606299213" bottom="0.74803149606299213" header="0.31496062992125984" footer="0.31496062992125984"/>
  <pageSetup paperSize="9" scale="55" orientation="landscape" horizontalDpi="0" verticalDpi="0" r:id="rId1"/>
  <legacy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C416C-A15F-45D5-9DE8-339A5A42DFC3}">
  <sheetPr codeName="Hoja19">
    <pageSetUpPr fitToPage="1"/>
  </sheetPr>
  <dimension ref="A1:Z67"/>
  <sheetViews>
    <sheetView view="pageBreakPreview" topLeftCell="A10" zoomScale="84" zoomScaleNormal="100" zoomScaleSheetLayoutView="84" workbookViewId="0">
      <selection activeCell="E17" sqref="E17"/>
    </sheetView>
  </sheetViews>
  <sheetFormatPr baseColWidth="10" defaultColWidth="11.42578125" defaultRowHeight="12.75"/>
  <cols>
    <col min="1" max="1" width="5.7109375" style="176" customWidth="1"/>
    <col min="2" max="2" width="7.7109375" style="176" customWidth="1"/>
    <col min="3" max="3" width="3.5703125" style="176" customWidth="1"/>
    <col min="4" max="4" width="4.140625" style="176" customWidth="1"/>
    <col min="5" max="5" width="21.42578125" style="176" customWidth="1"/>
    <col min="6" max="6" width="5" style="176" customWidth="1"/>
    <col min="7" max="9" width="4.140625" style="176" customWidth="1"/>
    <col min="10" max="10" width="5.7109375" style="176" customWidth="1"/>
    <col min="11" max="11" width="4.140625" style="176" customWidth="1"/>
    <col min="12" max="12" width="5.85546875" style="176" customWidth="1"/>
    <col min="13" max="13" width="10.42578125" style="176" customWidth="1"/>
    <col min="14" max="14" width="6.42578125" style="176" customWidth="1"/>
    <col min="15" max="16" width="4.140625" style="176" customWidth="1"/>
    <col min="17" max="17" width="10.140625" style="176" customWidth="1"/>
    <col min="18" max="18" width="6" style="176" customWidth="1"/>
    <col min="19" max="19" width="9" style="176" customWidth="1"/>
    <col min="20" max="20" width="8.140625" style="176" customWidth="1"/>
    <col min="21" max="21" width="5.85546875" style="176" customWidth="1"/>
    <col min="22" max="22" width="6.5703125" style="176" customWidth="1"/>
    <col min="23" max="16384" width="11.42578125" style="176"/>
  </cols>
  <sheetData>
    <row r="1" spans="1:26" ht="5.25" customHeight="1"/>
    <row r="2" spans="1:26" ht="18.75" customHeight="1">
      <c r="A2" s="2791"/>
      <c r="B2" s="2792"/>
      <c r="C2" s="2792"/>
      <c r="D2" s="2792"/>
      <c r="E2" s="2792"/>
      <c r="F2" s="2797" t="s">
        <v>221</v>
      </c>
      <c r="G2" s="2798"/>
      <c r="H2" s="2798"/>
      <c r="I2" s="2798"/>
      <c r="J2" s="2798"/>
      <c r="K2" s="2798"/>
      <c r="L2" s="2798"/>
      <c r="M2" s="2798"/>
      <c r="N2" s="2798"/>
      <c r="O2" s="2798"/>
      <c r="P2" s="2798"/>
      <c r="Q2" s="2798"/>
      <c r="R2" s="2798"/>
      <c r="S2" s="2799" t="s">
        <v>222</v>
      </c>
      <c r="T2" s="2799"/>
      <c r="U2" s="2799"/>
      <c r="V2" s="2800"/>
    </row>
    <row r="3" spans="1:26" ht="18.75" customHeight="1">
      <c r="A3" s="2793"/>
      <c r="B3" s="2794"/>
      <c r="C3" s="2794"/>
      <c r="D3" s="2794"/>
      <c r="E3" s="2794"/>
      <c r="F3" s="2798"/>
      <c r="G3" s="2798"/>
      <c r="H3" s="2798"/>
      <c r="I3" s="2798"/>
      <c r="J3" s="2798"/>
      <c r="K3" s="2798"/>
      <c r="L3" s="2798"/>
      <c r="M3" s="2798"/>
      <c r="N3" s="2798"/>
      <c r="O3" s="2798"/>
      <c r="P3" s="2798"/>
      <c r="Q3" s="2798"/>
      <c r="R3" s="2798"/>
      <c r="S3" s="2801" t="s">
        <v>223</v>
      </c>
      <c r="T3" s="2802"/>
      <c r="U3" s="2803" t="s">
        <v>224</v>
      </c>
      <c r="V3" s="2804"/>
    </row>
    <row r="4" spans="1:26" ht="18.75" customHeight="1">
      <c r="A4" s="2793"/>
      <c r="B4" s="2794"/>
      <c r="C4" s="2794"/>
      <c r="D4" s="2794"/>
      <c r="E4" s="2794"/>
      <c r="F4" s="2798"/>
      <c r="G4" s="2798"/>
      <c r="H4" s="2798"/>
      <c r="I4" s="2798"/>
      <c r="J4" s="2798"/>
      <c r="K4" s="2798"/>
      <c r="L4" s="2798"/>
      <c r="M4" s="2798"/>
      <c r="N4" s="2798"/>
      <c r="O4" s="2798"/>
      <c r="P4" s="2798"/>
      <c r="Q4" s="2798"/>
      <c r="R4" s="2798"/>
      <c r="S4" s="2801" t="s">
        <v>225</v>
      </c>
      <c r="T4" s="2802"/>
      <c r="U4" s="2803">
        <v>2</v>
      </c>
      <c r="V4" s="2804"/>
    </row>
    <row r="5" spans="1:26" ht="18.75" customHeight="1">
      <c r="A5" s="2795"/>
      <c r="B5" s="2796"/>
      <c r="C5" s="2796"/>
      <c r="D5" s="2796"/>
      <c r="E5" s="2796"/>
      <c r="F5" s="2798"/>
      <c r="G5" s="2798"/>
      <c r="H5" s="2798"/>
      <c r="I5" s="2798"/>
      <c r="J5" s="2798"/>
      <c r="K5" s="2798"/>
      <c r="L5" s="2798"/>
      <c r="M5" s="2798"/>
      <c r="N5" s="2798"/>
      <c r="O5" s="2798"/>
      <c r="P5" s="2798"/>
      <c r="Q5" s="2798"/>
      <c r="R5" s="2798"/>
      <c r="S5" s="2801" t="s">
        <v>226</v>
      </c>
      <c r="T5" s="2802"/>
      <c r="U5" s="2805"/>
      <c r="V5" s="2804"/>
    </row>
    <row r="6" spans="1:26" ht="5.25" customHeight="1">
      <c r="A6" s="177"/>
      <c r="B6" s="177"/>
      <c r="C6" s="177"/>
      <c r="D6" s="177"/>
      <c r="E6" s="177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9"/>
      <c r="T6" s="179"/>
      <c r="U6" s="180"/>
      <c r="V6" s="181"/>
    </row>
    <row r="7" spans="1:26" ht="17.25" customHeight="1">
      <c r="S7" s="2814" t="s">
        <v>227</v>
      </c>
      <c r="T7" s="2814"/>
      <c r="U7" s="2814"/>
      <c r="V7" s="2814"/>
    </row>
    <row r="8" spans="1:26" s="182" customFormat="1" ht="18.75" customHeight="1">
      <c r="A8" s="2806" t="s">
        <v>228</v>
      </c>
      <c r="B8" s="2806"/>
      <c r="C8" s="2806"/>
      <c r="D8" s="2807" t="s">
        <v>229</v>
      </c>
      <c r="E8" s="2807"/>
      <c r="F8" s="2807"/>
      <c r="G8" s="2807"/>
      <c r="H8" s="2807"/>
      <c r="I8" s="2807"/>
      <c r="J8" s="2807"/>
      <c r="K8" s="2807"/>
      <c r="L8" s="2806" t="s">
        <v>230</v>
      </c>
      <c r="M8" s="2806"/>
      <c r="N8" s="2815" t="s">
        <v>231</v>
      </c>
      <c r="O8" s="2815"/>
      <c r="P8" s="2815"/>
      <c r="Q8" s="2815"/>
      <c r="R8" s="2815"/>
      <c r="S8" s="2816" t="s">
        <v>232</v>
      </c>
      <c r="T8" s="2816"/>
      <c r="U8" s="2816"/>
      <c r="V8" s="2816"/>
      <c r="Z8" s="183"/>
    </row>
    <row r="9" spans="1:26" s="182" customFormat="1" ht="18.75" customHeight="1">
      <c r="A9" s="2806" t="s">
        <v>233</v>
      </c>
      <c r="B9" s="2806"/>
      <c r="C9" s="2806"/>
      <c r="D9" s="2807" t="s">
        <v>234</v>
      </c>
      <c r="E9" s="2807"/>
      <c r="F9" s="2807"/>
      <c r="G9" s="2807"/>
      <c r="H9" s="2807"/>
      <c r="I9" s="2807"/>
      <c r="J9" s="2807"/>
      <c r="K9" s="2807"/>
      <c r="L9" s="2807"/>
      <c r="M9" s="2807"/>
      <c r="N9" s="2807"/>
      <c r="O9" s="2807"/>
      <c r="P9" s="2807"/>
      <c r="Q9" s="2807"/>
      <c r="R9" s="2807"/>
      <c r="S9" s="184" t="s">
        <v>235</v>
      </c>
      <c r="T9" s="2808"/>
      <c r="U9" s="2809"/>
      <c r="V9" s="2810"/>
    </row>
    <row r="10" spans="1:26" s="182" customFormat="1" ht="18.75" customHeight="1">
      <c r="A10" s="2806" t="s">
        <v>236</v>
      </c>
      <c r="B10" s="2806"/>
      <c r="C10" s="2806"/>
      <c r="D10" s="2807" t="s">
        <v>237</v>
      </c>
      <c r="E10" s="2807"/>
      <c r="F10" s="2807"/>
      <c r="G10" s="2807"/>
      <c r="H10" s="2807"/>
      <c r="I10" s="2806" t="s">
        <v>238</v>
      </c>
      <c r="J10" s="2806"/>
      <c r="K10" s="2811" t="s">
        <v>239</v>
      </c>
      <c r="L10" s="2812"/>
      <c r="M10" s="2812"/>
      <c r="N10" s="2812"/>
      <c r="O10" s="2812"/>
      <c r="P10" s="2812"/>
      <c r="Q10" s="2812"/>
      <c r="R10" s="2813"/>
      <c r="S10" s="184" t="s">
        <v>240</v>
      </c>
      <c r="T10" s="2808"/>
      <c r="U10" s="2809"/>
      <c r="V10" s="2810"/>
    </row>
    <row r="11" spans="1:26" ht="7.5" customHeight="1">
      <c r="A11" s="185"/>
      <c r="B11" s="185"/>
      <c r="C11" s="185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5"/>
      <c r="T11" s="185"/>
      <c r="U11" s="185"/>
      <c r="V11" s="185"/>
    </row>
    <row r="12" spans="1:26" ht="22.5" customHeight="1">
      <c r="A12" s="2817" t="s">
        <v>36</v>
      </c>
      <c r="B12" s="2817"/>
      <c r="C12" s="2817"/>
      <c r="D12" s="2818"/>
      <c r="E12" s="2819"/>
      <c r="F12" s="2819"/>
      <c r="G12" s="2819"/>
      <c r="H12" s="2819"/>
      <c r="I12" s="2819"/>
      <c r="J12" s="2819"/>
      <c r="K12" s="2819"/>
      <c r="L12" s="2819"/>
      <c r="M12" s="2819"/>
      <c r="N12" s="2819"/>
      <c r="O12" s="2819"/>
      <c r="P12" s="2819"/>
      <c r="Q12" s="2820"/>
      <c r="R12" s="187" t="s">
        <v>241</v>
      </c>
      <c r="S12" s="2821"/>
      <c r="T12" s="2822"/>
      <c r="U12" s="2822"/>
      <c r="V12" s="2823"/>
    </row>
    <row r="13" spans="1:26" ht="21.75" customHeight="1">
      <c r="A13" s="2817" t="s">
        <v>37</v>
      </c>
      <c r="B13" s="2817"/>
      <c r="C13" s="2817"/>
      <c r="D13" s="2824"/>
      <c r="E13" s="2824"/>
      <c r="F13" s="2824"/>
      <c r="G13" s="2824"/>
      <c r="H13" s="2824"/>
      <c r="I13" s="2824"/>
      <c r="J13" s="2824"/>
      <c r="K13" s="2824"/>
      <c r="L13" s="2824"/>
      <c r="M13" s="2824"/>
      <c r="N13" s="2824"/>
      <c r="O13" s="2824"/>
      <c r="P13" s="2824"/>
      <c r="Q13" s="2824"/>
      <c r="R13" s="2824"/>
      <c r="S13" s="2824"/>
      <c r="T13" s="2824"/>
      <c r="U13" s="2824"/>
      <c r="V13" s="2824"/>
    </row>
    <row r="14" spans="1:26" ht="14.25" customHeight="1">
      <c r="A14" s="188"/>
      <c r="B14" s="188"/>
      <c r="C14" s="188"/>
      <c r="D14" s="189"/>
      <c r="E14" s="189"/>
      <c r="F14" s="189"/>
      <c r="G14" s="189"/>
      <c r="H14" s="189"/>
      <c r="I14" s="189"/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</row>
    <row r="15" spans="1:26" ht="21" customHeight="1">
      <c r="A15" s="188"/>
      <c r="C15" s="2825" t="s">
        <v>41</v>
      </c>
      <c r="D15" s="2826"/>
      <c r="E15" s="2829" t="str">
        <f>+'EM-TUN'!D2</f>
        <v>1055PPF26062026</v>
      </c>
      <c r="F15" s="2830"/>
      <c r="G15" s="2830"/>
      <c r="H15" s="2830"/>
      <c r="I15" s="2831"/>
      <c r="J15" s="189"/>
      <c r="K15" s="189"/>
      <c r="L15" s="189"/>
      <c r="M15" s="189"/>
      <c r="N15" s="189"/>
      <c r="O15" s="190" t="s">
        <v>242</v>
      </c>
      <c r="P15" s="190"/>
      <c r="Q15" s="190"/>
      <c r="R15" s="2821"/>
      <c r="S15" s="2822"/>
      <c r="T15" s="2823"/>
      <c r="U15" s="189"/>
      <c r="V15" s="189"/>
    </row>
    <row r="16" spans="1:26" ht="20.25" customHeight="1">
      <c r="A16" s="188"/>
      <c r="C16" s="2827"/>
      <c r="D16" s="2828"/>
      <c r="E16" s="2832"/>
      <c r="F16" s="2833"/>
      <c r="G16" s="2833"/>
      <c r="H16" s="2833"/>
      <c r="I16" s="2834"/>
      <c r="J16" s="189"/>
      <c r="K16" s="189"/>
      <c r="L16" s="189"/>
      <c r="M16" s="189"/>
      <c r="N16" s="189"/>
      <c r="O16" s="2835" t="s">
        <v>243</v>
      </c>
      <c r="P16" s="2835"/>
      <c r="Q16" s="2835"/>
      <c r="R16" s="2836"/>
      <c r="S16" s="2836"/>
      <c r="T16" s="2836"/>
      <c r="U16" s="189"/>
      <c r="V16" s="189"/>
    </row>
    <row r="17" spans="1:24" ht="14.25" customHeight="1">
      <c r="A17" s="188"/>
      <c r="F17" s="189"/>
      <c r="G17" s="189"/>
      <c r="H17" s="189"/>
      <c r="I17" s="189"/>
      <c r="J17" s="189"/>
      <c r="K17" s="189"/>
      <c r="L17" s="189"/>
      <c r="M17" s="189"/>
      <c r="N17" s="189"/>
      <c r="V17" s="189"/>
    </row>
    <row r="18" spans="1:24" ht="42.75" customHeight="1">
      <c r="B18" s="2837" t="s">
        <v>244</v>
      </c>
      <c r="C18" s="2838"/>
      <c r="D18" s="2837" t="s">
        <v>245</v>
      </c>
      <c r="E18" s="2839"/>
      <c r="F18" s="2838"/>
      <c r="G18" s="2837" t="s">
        <v>246</v>
      </c>
      <c r="H18" s="2839"/>
      <c r="I18" s="2839"/>
      <c r="J18" s="2839"/>
      <c r="K18" s="2839"/>
      <c r="L18" s="2839"/>
      <c r="M18" s="2838"/>
      <c r="N18" s="2837" t="s">
        <v>247</v>
      </c>
      <c r="O18" s="2839"/>
      <c r="P18" s="2839"/>
      <c r="Q18" s="2838"/>
      <c r="R18" s="2837" t="s">
        <v>248</v>
      </c>
      <c r="S18" s="2839"/>
      <c r="T18" s="2839"/>
      <c r="U18" s="2838"/>
    </row>
    <row r="19" spans="1:24" ht="20.25" customHeight="1">
      <c r="B19" s="2778">
        <v>1</v>
      </c>
      <c r="C19" s="2778"/>
      <c r="D19" s="2779" t="s">
        <v>249</v>
      </c>
      <c r="E19" s="2779"/>
      <c r="F19" s="2779"/>
      <c r="G19" s="2789" t="s">
        <v>250</v>
      </c>
      <c r="H19" s="2789"/>
      <c r="I19" s="2789"/>
      <c r="J19" s="2789"/>
      <c r="K19" s="2789"/>
      <c r="L19" s="2789"/>
      <c r="M19" s="2790"/>
      <c r="N19" s="2781">
        <f>+'EM-TUN'!CC6</f>
        <v>0</v>
      </c>
      <c r="O19" s="2781"/>
      <c r="P19" s="2781"/>
      <c r="Q19" s="2781"/>
      <c r="R19" s="2781">
        <f>+N19*20</f>
        <v>0</v>
      </c>
      <c r="S19" s="2781"/>
      <c r="T19" s="2781"/>
      <c r="U19" s="2781"/>
    </row>
    <row r="20" spans="1:24" ht="20.25" customHeight="1">
      <c r="B20" s="2778">
        <v>2</v>
      </c>
      <c r="C20" s="2778"/>
      <c r="D20" s="2779" t="s">
        <v>251</v>
      </c>
      <c r="E20" s="2779"/>
      <c r="F20" s="2779"/>
      <c r="G20" s="2789" t="s">
        <v>250</v>
      </c>
      <c r="H20" s="2789"/>
      <c r="I20" s="2789"/>
      <c r="J20" s="2789"/>
      <c r="K20" s="2789"/>
      <c r="L20" s="2789"/>
      <c r="M20" s="2790"/>
      <c r="N20" s="2781">
        <f>+'EM-TUN'!CC8</f>
        <v>0</v>
      </c>
      <c r="O20" s="2781"/>
      <c r="P20" s="2781"/>
      <c r="Q20" s="2781"/>
      <c r="R20" s="2781">
        <f t="shared" ref="R20:R54" si="0">+N20*20</f>
        <v>0</v>
      </c>
      <c r="S20" s="2781"/>
      <c r="T20" s="2781"/>
      <c r="U20" s="2781"/>
    </row>
    <row r="21" spans="1:24" ht="20.25" customHeight="1">
      <c r="B21" s="2778">
        <v>3</v>
      </c>
      <c r="C21" s="2778"/>
      <c r="D21" s="2779" t="s">
        <v>588</v>
      </c>
      <c r="E21" s="2779"/>
      <c r="F21" s="2779"/>
      <c r="G21" s="2789" t="s">
        <v>284</v>
      </c>
      <c r="H21" s="2789"/>
      <c r="I21" s="2789"/>
      <c r="J21" s="2789"/>
      <c r="K21" s="2789"/>
      <c r="L21" s="2789"/>
      <c r="M21" s="2790"/>
      <c r="N21" s="2781">
        <f>+'EM-TUN'!CC7</f>
        <v>0</v>
      </c>
      <c r="O21" s="2781"/>
      <c r="P21" s="2781"/>
      <c r="Q21" s="2781"/>
      <c r="R21" s="2781">
        <f>+N21*20</f>
        <v>0</v>
      </c>
      <c r="S21" s="2781"/>
      <c r="T21" s="2781"/>
      <c r="U21" s="2781"/>
    </row>
    <row r="22" spans="1:24" ht="20.25" customHeight="1">
      <c r="B22" s="2778">
        <v>4</v>
      </c>
      <c r="C22" s="2778"/>
      <c r="D22" s="2779" t="s">
        <v>254</v>
      </c>
      <c r="E22" s="2779"/>
      <c r="F22" s="2779"/>
      <c r="G22" s="2789" t="s">
        <v>255</v>
      </c>
      <c r="H22" s="2789"/>
      <c r="I22" s="2789"/>
      <c r="J22" s="2789"/>
      <c r="K22" s="2789"/>
      <c r="L22" s="2789"/>
      <c r="M22" s="2790"/>
      <c r="N22" s="2781">
        <f>+'EM-TUN'!CC10</f>
        <v>0</v>
      </c>
      <c r="O22" s="2781"/>
      <c r="P22" s="2781"/>
      <c r="Q22" s="2781"/>
      <c r="R22" s="2781">
        <f t="shared" si="0"/>
        <v>0</v>
      </c>
      <c r="S22" s="2781"/>
      <c r="T22" s="2781"/>
      <c r="U22" s="2781"/>
    </row>
    <row r="23" spans="1:24" ht="20.25" customHeight="1">
      <c r="B23" s="2778">
        <v>5</v>
      </c>
      <c r="C23" s="2778"/>
      <c r="D23" s="2779" t="s">
        <v>254</v>
      </c>
      <c r="E23" s="2779"/>
      <c r="F23" s="2779"/>
      <c r="G23" s="2789" t="s">
        <v>256</v>
      </c>
      <c r="H23" s="2789"/>
      <c r="I23" s="2789"/>
      <c r="J23" s="2789"/>
      <c r="K23" s="2789"/>
      <c r="L23" s="2789"/>
      <c r="M23" s="2790"/>
      <c r="N23" s="2781">
        <f>+'EM-TUN'!CC11</f>
        <v>0</v>
      </c>
      <c r="O23" s="2781"/>
      <c r="P23" s="2781"/>
      <c r="Q23" s="2781"/>
      <c r="R23" s="2781">
        <f t="shared" si="0"/>
        <v>0</v>
      </c>
      <c r="S23" s="2781"/>
      <c r="T23" s="2781"/>
      <c r="U23" s="2781"/>
    </row>
    <row r="24" spans="1:24" ht="20.25" customHeight="1">
      <c r="B24" s="2778">
        <v>6</v>
      </c>
      <c r="C24" s="2778"/>
      <c r="D24" s="2779" t="s">
        <v>254</v>
      </c>
      <c r="E24" s="2779"/>
      <c r="F24" s="2779"/>
      <c r="G24" s="2789" t="s">
        <v>257</v>
      </c>
      <c r="H24" s="2789"/>
      <c r="I24" s="2789"/>
      <c r="J24" s="2789"/>
      <c r="K24" s="2789"/>
      <c r="L24" s="2789"/>
      <c r="M24" s="2790"/>
      <c r="N24" s="2781">
        <f>+'EM-TUN'!CC12</f>
        <v>0</v>
      </c>
      <c r="O24" s="2781"/>
      <c r="P24" s="2781"/>
      <c r="Q24" s="2781"/>
      <c r="R24" s="2781">
        <f t="shared" si="0"/>
        <v>0</v>
      </c>
      <c r="S24" s="2781"/>
      <c r="T24" s="2781"/>
      <c r="U24" s="2781"/>
    </row>
    <row r="25" spans="1:24" ht="20.25" customHeight="1">
      <c r="B25" s="2778">
        <v>7</v>
      </c>
      <c r="C25" s="2778"/>
      <c r="D25" s="2782" t="s">
        <v>258</v>
      </c>
      <c r="E25" s="2783"/>
      <c r="F25" s="2784"/>
      <c r="G25" s="2789" t="s">
        <v>259</v>
      </c>
      <c r="H25" s="2789"/>
      <c r="I25" s="2789"/>
      <c r="J25" s="2789"/>
      <c r="K25" s="2789"/>
      <c r="L25" s="2789"/>
      <c r="M25" s="2790"/>
      <c r="N25" s="2781">
        <f>+'EM-TUN'!CC13</f>
        <v>0</v>
      </c>
      <c r="O25" s="2781"/>
      <c r="P25" s="2781"/>
      <c r="Q25" s="2781"/>
      <c r="R25" s="2781">
        <f t="shared" si="0"/>
        <v>0</v>
      </c>
      <c r="S25" s="2781"/>
      <c r="T25" s="2781"/>
      <c r="U25" s="2781"/>
    </row>
    <row r="26" spans="1:24" ht="20.25" customHeight="1">
      <c r="B26" s="2778">
        <v>8</v>
      </c>
      <c r="C26" s="2778"/>
      <c r="D26" s="2782" t="s">
        <v>260</v>
      </c>
      <c r="E26" s="2783"/>
      <c r="F26" s="2784"/>
      <c r="G26" s="2789" t="s">
        <v>261</v>
      </c>
      <c r="H26" s="2789"/>
      <c r="I26" s="2789"/>
      <c r="J26" s="2789"/>
      <c r="K26" s="2789"/>
      <c r="L26" s="2789"/>
      <c r="M26" s="2790"/>
      <c r="N26" s="2781">
        <f>+'EM-TUN'!CC14</f>
        <v>0</v>
      </c>
      <c r="O26" s="2781"/>
      <c r="P26" s="2781"/>
      <c r="Q26" s="2781"/>
      <c r="R26" s="2781">
        <f t="shared" si="0"/>
        <v>0</v>
      </c>
      <c r="S26" s="2781"/>
      <c r="T26" s="2781"/>
      <c r="U26" s="2781"/>
      <c r="X26" s="176" t="s">
        <v>262</v>
      </c>
    </row>
    <row r="27" spans="1:24" ht="20.25" customHeight="1">
      <c r="B27" s="2778">
        <v>9</v>
      </c>
      <c r="C27" s="2778"/>
      <c r="D27" s="2782" t="s">
        <v>263</v>
      </c>
      <c r="E27" s="2783"/>
      <c r="F27" s="2784"/>
      <c r="G27" s="2789" t="s">
        <v>261</v>
      </c>
      <c r="H27" s="2789"/>
      <c r="I27" s="2789"/>
      <c r="J27" s="2789"/>
      <c r="K27" s="2789"/>
      <c r="L27" s="2789"/>
      <c r="M27" s="2790"/>
      <c r="N27" s="2781">
        <f>+'EM-TUN'!CC15</f>
        <v>0</v>
      </c>
      <c r="O27" s="2781"/>
      <c r="P27" s="2781"/>
      <c r="Q27" s="2781"/>
      <c r="R27" s="2781">
        <f t="shared" si="0"/>
        <v>0</v>
      </c>
      <c r="S27" s="2781"/>
      <c r="T27" s="2781"/>
      <c r="U27" s="2781"/>
    </row>
    <row r="28" spans="1:24" ht="20.25" customHeight="1">
      <c r="B28" s="2778">
        <v>10</v>
      </c>
      <c r="C28" s="2778"/>
      <c r="D28" s="2782" t="s">
        <v>264</v>
      </c>
      <c r="E28" s="2783"/>
      <c r="F28" s="2784"/>
      <c r="G28" s="2789" t="s">
        <v>250</v>
      </c>
      <c r="H28" s="2789"/>
      <c r="I28" s="2789"/>
      <c r="J28" s="2789"/>
      <c r="K28" s="2789"/>
      <c r="L28" s="2789"/>
      <c r="M28" s="2790"/>
      <c r="N28" s="2781">
        <f>+'EM-TUN'!CC16</f>
        <v>0</v>
      </c>
      <c r="O28" s="2781"/>
      <c r="P28" s="2781"/>
      <c r="Q28" s="2781"/>
      <c r="R28" s="2781">
        <f t="shared" si="0"/>
        <v>0</v>
      </c>
      <c r="S28" s="2781"/>
      <c r="T28" s="2781"/>
      <c r="U28" s="2781"/>
    </row>
    <row r="29" spans="1:24" ht="20.25" customHeight="1">
      <c r="B29" s="2778">
        <v>11</v>
      </c>
      <c r="C29" s="2778"/>
      <c r="D29" s="2782" t="s">
        <v>265</v>
      </c>
      <c r="E29" s="2783"/>
      <c r="F29" s="2784"/>
      <c r="G29" s="2789" t="s">
        <v>250</v>
      </c>
      <c r="H29" s="2789"/>
      <c r="I29" s="2789"/>
      <c r="J29" s="2789"/>
      <c r="K29" s="2789"/>
      <c r="L29" s="2789"/>
      <c r="M29" s="2790"/>
      <c r="N29" s="2781">
        <f>+'EM-TUN'!CC17</f>
        <v>0</v>
      </c>
      <c r="O29" s="2781"/>
      <c r="P29" s="2781"/>
      <c r="Q29" s="2781"/>
      <c r="R29" s="2781">
        <f t="shared" si="0"/>
        <v>0</v>
      </c>
      <c r="S29" s="2781"/>
      <c r="T29" s="2781"/>
      <c r="U29" s="2781"/>
    </row>
    <row r="30" spans="1:24" ht="20.25" customHeight="1">
      <c r="B30" s="2778">
        <v>12</v>
      </c>
      <c r="C30" s="2778"/>
      <c r="D30" s="2782" t="s">
        <v>206</v>
      </c>
      <c r="E30" s="2783"/>
      <c r="F30" s="2784"/>
      <c r="G30" s="2840"/>
      <c r="H30" s="2841"/>
      <c r="I30" s="2841"/>
      <c r="J30" s="2841"/>
      <c r="K30" s="2841"/>
      <c r="L30" s="2841"/>
      <c r="M30" s="2841"/>
      <c r="N30" s="2781">
        <f>+'EM-TUN'!CC18</f>
        <v>0</v>
      </c>
      <c r="O30" s="2781"/>
      <c r="P30" s="2781"/>
      <c r="Q30" s="2781"/>
      <c r="R30" s="2781">
        <f t="shared" si="0"/>
        <v>0</v>
      </c>
      <c r="S30" s="2781"/>
      <c r="T30" s="2781"/>
      <c r="U30" s="2781"/>
    </row>
    <row r="31" spans="1:24" ht="20.25" customHeight="1">
      <c r="B31" s="2778">
        <v>13</v>
      </c>
      <c r="C31" s="2778"/>
      <c r="D31" s="2782" t="s">
        <v>266</v>
      </c>
      <c r="E31" s="2783"/>
      <c r="F31" s="2784"/>
      <c r="G31" s="2785" t="s">
        <v>267</v>
      </c>
      <c r="H31" s="2786"/>
      <c r="I31" s="2786"/>
      <c r="J31" s="2786"/>
      <c r="K31" s="2786"/>
      <c r="L31" s="2786"/>
      <c r="M31" s="2786"/>
      <c r="N31" s="2781">
        <f>+'EM-TUN'!CC19</f>
        <v>0</v>
      </c>
      <c r="O31" s="2781"/>
      <c r="P31" s="2781"/>
      <c r="Q31" s="2781"/>
      <c r="R31" s="2781">
        <f t="shared" si="0"/>
        <v>0</v>
      </c>
      <c r="S31" s="2781"/>
      <c r="T31" s="2781"/>
      <c r="U31" s="2781"/>
    </row>
    <row r="32" spans="1:24" ht="20.25" customHeight="1">
      <c r="B32" s="2778">
        <v>14</v>
      </c>
      <c r="C32" s="2778"/>
      <c r="D32" s="2782" t="s">
        <v>341</v>
      </c>
      <c r="E32" s="2783" t="s">
        <v>339</v>
      </c>
      <c r="F32" s="2784" t="s">
        <v>339</v>
      </c>
      <c r="G32" s="2785" t="s">
        <v>257</v>
      </c>
      <c r="H32" s="2786"/>
      <c r="I32" s="2786"/>
      <c r="J32" s="2786"/>
      <c r="K32" s="2786"/>
      <c r="L32" s="2786"/>
      <c r="M32" s="2786"/>
      <c r="N32" s="2781">
        <f>+'EM-TUN'!CC20</f>
        <v>0</v>
      </c>
      <c r="O32" s="2781"/>
      <c r="P32" s="2781"/>
      <c r="Q32" s="2781"/>
      <c r="R32" s="2781">
        <f>+N32*20</f>
        <v>0</v>
      </c>
      <c r="S32" s="2781"/>
      <c r="T32" s="2781"/>
      <c r="U32" s="2781"/>
    </row>
    <row r="33" spans="2:24" ht="20.25" customHeight="1">
      <c r="B33" s="2778">
        <v>15</v>
      </c>
      <c r="C33" s="2778"/>
      <c r="D33" s="2782" t="s">
        <v>341</v>
      </c>
      <c r="E33" s="2783" t="s">
        <v>340</v>
      </c>
      <c r="F33" s="2784" t="s">
        <v>340</v>
      </c>
      <c r="G33" s="2785" t="s">
        <v>259</v>
      </c>
      <c r="H33" s="2786"/>
      <c r="I33" s="2786"/>
      <c r="J33" s="2786"/>
      <c r="K33" s="2786"/>
      <c r="L33" s="2786"/>
      <c r="M33" s="2786"/>
      <c r="N33" s="2781">
        <f>+'EM-TUN'!CC21</f>
        <v>0</v>
      </c>
      <c r="O33" s="2781"/>
      <c r="P33" s="2781"/>
      <c r="Q33" s="2781"/>
      <c r="R33" s="2781">
        <f>+N33*20</f>
        <v>0</v>
      </c>
      <c r="S33" s="2781"/>
      <c r="T33" s="2781"/>
      <c r="U33" s="2781"/>
    </row>
    <row r="34" spans="2:24" ht="20.25" customHeight="1">
      <c r="B34" s="2778">
        <v>16</v>
      </c>
      <c r="C34" s="2778"/>
      <c r="D34" s="2782" t="s">
        <v>268</v>
      </c>
      <c r="E34" s="2783"/>
      <c r="F34" s="2784"/>
      <c r="G34" s="2787" t="s">
        <v>257</v>
      </c>
      <c r="H34" s="2788"/>
      <c r="I34" s="2788"/>
      <c r="J34" s="2788"/>
      <c r="K34" s="2788"/>
      <c r="L34" s="2788"/>
      <c r="M34" s="2788"/>
      <c r="N34" s="2781">
        <f>+'EM-TUN'!CC22</f>
        <v>0</v>
      </c>
      <c r="O34" s="2781"/>
      <c r="P34" s="2781"/>
      <c r="Q34" s="2781"/>
      <c r="R34" s="2781">
        <f t="shared" si="0"/>
        <v>0</v>
      </c>
      <c r="S34" s="2781"/>
      <c r="T34" s="2781"/>
      <c r="U34" s="2781"/>
      <c r="X34" s="176" t="s">
        <v>262</v>
      </c>
    </row>
    <row r="35" spans="2:24" ht="20.25" customHeight="1">
      <c r="B35" s="2778">
        <v>17</v>
      </c>
      <c r="C35" s="2778"/>
      <c r="D35" s="2782" t="s">
        <v>268</v>
      </c>
      <c r="E35" s="2783"/>
      <c r="F35" s="2784"/>
      <c r="G35" s="2789" t="s">
        <v>259</v>
      </c>
      <c r="H35" s="2789"/>
      <c r="I35" s="2789"/>
      <c r="J35" s="2789"/>
      <c r="K35" s="2789"/>
      <c r="L35" s="2789"/>
      <c r="M35" s="2790"/>
      <c r="N35" s="2781">
        <f>+'EM-TUN'!CC23</f>
        <v>0</v>
      </c>
      <c r="O35" s="2781"/>
      <c r="P35" s="2781"/>
      <c r="Q35" s="2781"/>
      <c r="R35" s="2781">
        <f t="shared" si="0"/>
        <v>0</v>
      </c>
      <c r="S35" s="2781"/>
      <c r="T35" s="2781"/>
      <c r="U35" s="2781"/>
      <c r="X35" s="176" t="s">
        <v>262</v>
      </c>
    </row>
    <row r="36" spans="2:24" ht="20.25" customHeight="1">
      <c r="B36" s="2778">
        <v>18</v>
      </c>
      <c r="C36" s="2778"/>
      <c r="D36" s="2782" t="s">
        <v>269</v>
      </c>
      <c r="E36" s="2783"/>
      <c r="F36" s="2784"/>
      <c r="G36" s="2789" t="s">
        <v>259</v>
      </c>
      <c r="H36" s="2789"/>
      <c r="I36" s="2789"/>
      <c r="J36" s="2789"/>
      <c r="K36" s="2789"/>
      <c r="L36" s="2789"/>
      <c r="M36" s="2790"/>
      <c r="N36" s="2781">
        <f>+'EM-TUN'!CC24</f>
        <v>0</v>
      </c>
      <c r="O36" s="2781"/>
      <c r="P36" s="2781"/>
      <c r="Q36" s="2781"/>
      <c r="R36" s="2781">
        <f t="shared" si="0"/>
        <v>0</v>
      </c>
      <c r="S36" s="2781"/>
      <c r="T36" s="2781"/>
      <c r="U36" s="2781"/>
      <c r="X36" s="176" t="s">
        <v>262</v>
      </c>
    </row>
    <row r="37" spans="2:24" ht="20.25" customHeight="1">
      <c r="B37" s="2778">
        <v>19</v>
      </c>
      <c r="C37" s="2778"/>
      <c r="D37" s="2782" t="s">
        <v>270</v>
      </c>
      <c r="E37" s="2783"/>
      <c r="F37" s="2784"/>
      <c r="G37" s="2789" t="s">
        <v>256</v>
      </c>
      <c r="H37" s="2789"/>
      <c r="I37" s="2789"/>
      <c r="J37" s="2789"/>
      <c r="K37" s="2789"/>
      <c r="L37" s="2789"/>
      <c r="M37" s="2790"/>
      <c r="N37" s="2781">
        <f>+'EM-TUN'!CC25</f>
        <v>0</v>
      </c>
      <c r="O37" s="2781"/>
      <c r="P37" s="2781"/>
      <c r="Q37" s="2781"/>
      <c r="R37" s="2781">
        <f t="shared" si="0"/>
        <v>0</v>
      </c>
      <c r="S37" s="2781"/>
      <c r="T37" s="2781"/>
      <c r="U37" s="2781"/>
      <c r="X37" s="176" t="s">
        <v>262</v>
      </c>
    </row>
    <row r="38" spans="2:24" ht="20.25" customHeight="1">
      <c r="B38" s="2778">
        <v>20</v>
      </c>
      <c r="C38" s="2778"/>
      <c r="D38" s="2782" t="s">
        <v>270</v>
      </c>
      <c r="E38" s="2783"/>
      <c r="F38" s="2784"/>
      <c r="G38" s="2789" t="s">
        <v>257</v>
      </c>
      <c r="H38" s="2789"/>
      <c r="I38" s="2789"/>
      <c r="J38" s="2789"/>
      <c r="K38" s="2789"/>
      <c r="L38" s="2789"/>
      <c r="M38" s="2790"/>
      <c r="N38" s="2781">
        <f>+'EM-TUN'!CC26</f>
        <v>0</v>
      </c>
      <c r="O38" s="2781"/>
      <c r="P38" s="2781"/>
      <c r="Q38" s="2781"/>
      <c r="R38" s="2781">
        <f t="shared" si="0"/>
        <v>0</v>
      </c>
      <c r="S38" s="2781"/>
      <c r="T38" s="2781"/>
      <c r="U38" s="2781"/>
      <c r="X38" s="176" t="s">
        <v>262</v>
      </c>
    </row>
    <row r="39" spans="2:24" ht="20.25" customHeight="1">
      <c r="B39" s="2778">
        <v>21</v>
      </c>
      <c r="C39" s="2778"/>
      <c r="D39" s="2779" t="s">
        <v>271</v>
      </c>
      <c r="E39" s="2779"/>
      <c r="F39" s="2779"/>
      <c r="G39" s="2789" t="s">
        <v>259</v>
      </c>
      <c r="H39" s="2789"/>
      <c r="I39" s="2789"/>
      <c r="J39" s="2789"/>
      <c r="K39" s="2789"/>
      <c r="L39" s="2789"/>
      <c r="M39" s="2790"/>
      <c r="N39" s="2781">
        <f>+'EM-TUN'!CC27</f>
        <v>0</v>
      </c>
      <c r="O39" s="2781"/>
      <c r="P39" s="2781"/>
      <c r="Q39" s="2781"/>
      <c r="R39" s="2781">
        <f t="shared" si="0"/>
        <v>0</v>
      </c>
      <c r="S39" s="2781"/>
      <c r="T39" s="2781"/>
      <c r="U39" s="2781"/>
    </row>
    <row r="40" spans="2:24" ht="20.25" customHeight="1">
      <c r="B40" s="2778">
        <v>22</v>
      </c>
      <c r="C40" s="2778"/>
      <c r="D40" s="2779" t="s">
        <v>272</v>
      </c>
      <c r="E40" s="2779"/>
      <c r="F40" s="2779"/>
      <c r="G40" s="2789" t="s">
        <v>256</v>
      </c>
      <c r="H40" s="2789"/>
      <c r="I40" s="2789"/>
      <c r="J40" s="2789"/>
      <c r="K40" s="2789"/>
      <c r="L40" s="2789"/>
      <c r="M40" s="2790"/>
      <c r="N40" s="2781">
        <f>+'EM-TUN'!CC28</f>
        <v>0</v>
      </c>
      <c r="O40" s="2781"/>
      <c r="P40" s="2781"/>
      <c r="Q40" s="2781"/>
      <c r="R40" s="2781">
        <f t="shared" si="0"/>
        <v>0</v>
      </c>
      <c r="S40" s="2781"/>
      <c r="T40" s="2781"/>
      <c r="U40" s="2781"/>
      <c r="X40" s="176" t="s">
        <v>262</v>
      </c>
    </row>
    <row r="41" spans="2:24" ht="20.25" customHeight="1">
      <c r="B41" s="2778">
        <v>23</v>
      </c>
      <c r="C41" s="2778"/>
      <c r="D41" s="2779" t="s">
        <v>272</v>
      </c>
      <c r="E41" s="2779"/>
      <c r="F41" s="2779"/>
      <c r="G41" s="2789" t="s">
        <v>273</v>
      </c>
      <c r="H41" s="2789"/>
      <c r="I41" s="2789"/>
      <c r="J41" s="2789"/>
      <c r="K41" s="2789"/>
      <c r="L41" s="2789"/>
      <c r="M41" s="2790"/>
      <c r="N41" s="2781">
        <f>+'EM-TUN'!CC29</f>
        <v>0</v>
      </c>
      <c r="O41" s="2781"/>
      <c r="P41" s="2781"/>
      <c r="Q41" s="2781"/>
      <c r="R41" s="2781">
        <f t="shared" si="0"/>
        <v>0</v>
      </c>
      <c r="S41" s="2781"/>
      <c r="T41" s="2781"/>
      <c r="U41" s="2781"/>
      <c r="X41" s="176" t="s">
        <v>262</v>
      </c>
    </row>
    <row r="42" spans="2:24" ht="20.25" customHeight="1">
      <c r="B42" s="2778">
        <v>24</v>
      </c>
      <c r="C42" s="2778"/>
      <c r="D42" s="2779" t="s">
        <v>274</v>
      </c>
      <c r="E42" s="2779"/>
      <c r="F42" s="2779"/>
      <c r="G42" s="2789" t="s">
        <v>275</v>
      </c>
      <c r="H42" s="2789"/>
      <c r="I42" s="2789"/>
      <c r="J42" s="2789"/>
      <c r="K42" s="2789"/>
      <c r="L42" s="2789"/>
      <c r="M42" s="2790"/>
      <c r="N42" s="2781">
        <f>+'EM-TUN'!CC30</f>
        <v>0</v>
      </c>
      <c r="O42" s="2781"/>
      <c r="P42" s="2781"/>
      <c r="Q42" s="2781"/>
      <c r="R42" s="2781">
        <f t="shared" si="0"/>
        <v>0</v>
      </c>
      <c r="S42" s="2781"/>
      <c r="T42" s="2781"/>
      <c r="U42" s="2781"/>
    </row>
    <row r="43" spans="2:24" ht="20.25" customHeight="1">
      <c r="B43" s="2778">
        <v>25</v>
      </c>
      <c r="C43" s="2778"/>
      <c r="D43" s="2779" t="s">
        <v>276</v>
      </c>
      <c r="E43" s="2779"/>
      <c r="F43" s="2779"/>
      <c r="G43" s="2789" t="s">
        <v>277</v>
      </c>
      <c r="H43" s="2789"/>
      <c r="I43" s="2789"/>
      <c r="J43" s="2789"/>
      <c r="K43" s="2789"/>
      <c r="L43" s="2789"/>
      <c r="M43" s="2790"/>
      <c r="N43" s="2781">
        <f>+'EM-TUN'!CC31</f>
        <v>0</v>
      </c>
      <c r="O43" s="2781"/>
      <c r="P43" s="2781"/>
      <c r="Q43" s="2781"/>
      <c r="R43" s="2781">
        <f t="shared" ref="R43:R53" si="1">+N43*20</f>
        <v>0</v>
      </c>
      <c r="S43" s="2781"/>
      <c r="T43" s="2781"/>
      <c r="U43" s="2781"/>
      <c r="X43" s="176" t="s">
        <v>262</v>
      </c>
    </row>
    <row r="44" spans="2:24" ht="20.25" customHeight="1">
      <c r="B44" s="2778">
        <v>26</v>
      </c>
      <c r="C44" s="2778"/>
      <c r="D44" s="2779" t="s">
        <v>278</v>
      </c>
      <c r="E44" s="2779"/>
      <c r="F44" s="2779"/>
      <c r="G44" s="2789" t="s">
        <v>279</v>
      </c>
      <c r="H44" s="2789"/>
      <c r="I44" s="2789"/>
      <c r="J44" s="2789"/>
      <c r="K44" s="2789"/>
      <c r="L44" s="2789"/>
      <c r="M44" s="2790"/>
      <c r="N44" s="2781">
        <f>+'EM-TUN'!CC32</f>
        <v>0</v>
      </c>
      <c r="O44" s="2781"/>
      <c r="P44" s="2781"/>
      <c r="Q44" s="2781"/>
      <c r="R44" s="2781">
        <f t="shared" si="1"/>
        <v>0</v>
      </c>
      <c r="S44" s="2781"/>
      <c r="T44" s="2781"/>
      <c r="U44" s="2781"/>
      <c r="X44" s="176" t="s">
        <v>262</v>
      </c>
    </row>
    <row r="45" spans="2:24" ht="20.25" customHeight="1">
      <c r="B45" s="2778">
        <v>27</v>
      </c>
      <c r="C45" s="2778"/>
      <c r="D45" s="2779" t="s">
        <v>278</v>
      </c>
      <c r="E45" s="2779"/>
      <c r="F45" s="2779"/>
      <c r="G45" s="2789" t="s">
        <v>280</v>
      </c>
      <c r="H45" s="2789"/>
      <c r="I45" s="2789"/>
      <c r="J45" s="2789"/>
      <c r="K45" s="2789"/>
      <c r="L45" s="2789"/>
      <c r="M45" s="2790"/>
      <c r="N45" s="2781">
        <f>+'EM-TUN'!CC33</f>
        <v>0</v>
      </c>
      <c r="O45" s="2781"/>
      <c r="P45" s="2781"/>
      <c r="Q45" s="2781"/>
      <c r="R45" s="2781">
        <f t="shared" si="1"/>
        <v>0</v>
      </c>
      <c r="S45" s="2781"/>
      <c r="T45" s="2781"/>
      <c r="U45" s="2781"/>
      <c r="X45" s="176" t="s">
        <v>262</v>
      </c>
    </row>
    <row r="46" spans="2:24" ht="20.25" customHeight="1">
      <c r="B46" s="2778">
        <v>28</v>
      </c>
      <c r="C46" s="2778"/>
      <c r="D46" s="2779" t="s">
        <v>278</v>
      </c>
      <c r="E46" s="2779"/>
      <c r="F46" s="2779"/>
      <c r="G46" s="2789" t="s">
        <v>256</v>
      </c>
      <c r="H46" s="2789"/>
      <c r="I46" s="2789"/>
      <c r="J46" s="2789"/>
      <c r="K46" s="2789"/>
      <c r="L46" s="2789"/>
      <c r="M46" s="2790"/>
      <c r="N46" s="2781">
        <f>+'EM-TUN'!CC34</f>
        <v>0</v>
      </c>
      <c r="O46" s="2781"/>
      <c r="P46" s="2781"/>
      <c r="Q46" s="2781"/>
      <c r="R46" s="2781">
        <f t="shared" si="1"/>
        <v>0</v>
      </c>
      <c r="S46" s="2781"/>
      <c r="T46" s="2781"/>
      <c r="U46" s="2781"/>
      <c r="X46" s="176" t="s">
        <v>262</v>
      </c>
    </row>
    <row r="47" spans="2:24" ht="20.25" customHeight="1">
      <c r="B47" s="2778">
        <v>29</v>
      </c>
      <c r="C47" s="2778"/>
      <c r="D47" s="2779" t="s">
        <v>281</v>
      </c>
      <c r="E47" s="2779"/>
      <c r="F47" s="2779"/>
      <c r="G47" s="2789" t="s">
        <v>282</v>
      </c>
      <c r="H47" s="2789"/>
      <c r="I47" s="2789"/>
      <c r="J47" s="2789"/>
      <c r="K47" s="2789"/>
      <c r="L47" s="2789"/>
      <c r="M47" s="2790"/>
      <c r="N47" s="2781">
        <f>+'EM-TUN'!CC35</f>
        <v>0</v>
      </c>
      <c r="O47" s="2781"/>
      <c r="P47" s="2781"/>
      <c r="Q47" s="2781"/>
      <c r="R47" s="2781">
        <f t="shared" si="1"/>
        <v>0</v>
      </c>
      <c r="S47" s="2781"/>
      <c r="T47" s="2781"/>
      <c r="U47" s="2781"/>
    </row>
    <row r="48" spans="2:24" ht="20.25" customHeight="1">
      <c r="B48" s="2778">
        <v>30</v>
      </c>
      <c r="C48" s="2778"/>
      <c r="D48" s="2779" t="s">
        <v>283</v>
      </c>
      <c r="E48" s="2779"/>
      <c r="F48" s="2779"/>
      <c r="G48" s="2789" t="s">
        <v>284</v>
      </c>
      <c r="H48" s="2789"/>
      <c r="I48" s="2789"/>
      <c r="J48" s="2789"/>
      <c r="K48" s="2789"/>
      <c r="L48" s="2789"/>
      <c r="M48" s="2790"/>
      <c r="N48" s="2781">
        <f>+'EM-TUN'!CC36</f>
        <v>0</v>
      </c>
      <c r="O48" s="2781"/>
      <c r="P48" s="2781"/>
      <c r="Q48" s="2781"/>
      <c r="R48" s="2781">
        <f t="shared" si="1"/>
        <v>0</v>
      </c>
      <c r="S48" s="2781"/>
      <c r="T48" s="2781"/>
      <c r="U48" s="2781"/>
      <c r="X48" s="176" t="s">
        <v>262</v>
      </c>
    </row>
    <row r="49" spans="2:24" ht="20.25" customHeight="1">
      <c r="B49" s="2778">
        <v>31</v>
      </c>
      <c r="C49" s="2778"/>
      <c r="D49" s="2779" t="s">
        <v>285</v>
      </c>
      <c r="E49" s="2779"/>
      <c r="F49" s="2779"/>
      <c r="G49" s="2789" t="s">
        <v>284</v>
      </c>
      <c r="H49" s="2789"/>
      <c r="I49" s="2789"/>
      <c r="J49" s="2789"/>
      <c r="K49" s="2789"/>
      <c r="L49" s="2789"/>
      <c r="M49" s="2790"/>
      <c r="N49" s="2781">
        <f>+'EM-TUN'!CC37</f>
        <v>0</v>
      </c>
      <c r="O49" s="2781"/>
      <c r="P49" s="2781"/>
      <c r="Q49" s="2781"/>
      <c r="R49" s="2781">
        <f t="shared" si="1"/>
        <v>0</v>
      </c>
      <c r="S49" s="2781"/>
      <c r="T49" s="2781"/>
      <c r="U49" s="2781"/>
      <c r="X49" s="176" t="s">
        <v>262</v>
      </c>
    </row>
    <row r="50" spans="2:24" ht="20.25" customHeight="1">
      <c r="B50" s="2778">
        <v>32</v>
      </c>
      <c r="C50" s="2778"/>
      <c r="D50" s="2779" t="s">
        <v>589</v>
      </c>
      <c r="E50" s="2779"/>
      <c r="F50" s="2779"/>
      <c r="G50" s="2789" t="s">
        <v>342</v>
      </c>
      <c r="H50" s="2789"/>
      <c r="I50" s="2789"/>
      <c r="J50" s="2789"/>
      <c r="K50" s="2789"/>
      <c r="L50" s="2789"/>
      <c r="M50" s="2790"/>
      <c r="N50" s="2781">
        <f>+'EM-TUN'!CC38</f>
        <v>0</v>
      </c>
      <c r="O50" s="2781"/>
      <c r="P50" s="2781"/>
      <c r="Q50" s="2781"/>
      <c r="R50" s="2781">
        <f t="shared" si="1"/>
        <v>0</v>
      </c>
      <c r="S50" s="2781"/>
      <c r="T50" s="2781"/>
      <c r="U50" s="2781"/>
    </row>
    <row r="51" spans="2:24" ht="20.25" customHeight="1">
      <c r="B51" s="2778">
        <v>33</v>
      </c>
      <c r="C51" s="2778"/>
      <c r="D51" s="2779" t="s">
        <v>286</v>
      </c>
      <c r="E51" s="2779"/>
      <c r="F51" s="2779"/>
      <c r="G51" s="2789" t="s">
        <v>287</v>
      </c>
      <c r="H51" s="2789"/>
      <c r="I51" s="2789"/>
      <c r="J51" s="2789"/>
      <c r="K51" s="2789"/>
      <c r="L51" s="2789"/>
      <c r="M51" s="2790"/>
      <c r="N51" s="2781">
        <f>+'EM-TUN'!CC39</f>
        <v>0</v>
      </c>
      <c r="O51" s="2781"/>
      <c r="P51" s="2781"/>
      <c r="Q51" s="2781"/>
      <c r="R51" s="2781">
        <f t="shared" si="1"/>
        <v>0</v>
      </c>
      <c r="S51" s="2781"/>
      <c r="T51" s="2781"/>
      <c r="U51" s="2781"/>
    </row>
    <row r="52" spans="2:24" ht="20.25" customHeight="1">
      <c r="B52" s="2778">
        <v>34</v>
      </c>
      <c r="C52" s="2778"/>
      <c r="D52" s="2779" t="s">
        <v>286</v>
      </c>
      <c r="E52" s="2779"/>
      <c r="F52" s="2779"/>
      <c r="G52" s="2789" t="s">
        <v>288</v>
      </c>
      <c r="H52" s="2789"/>
      <c r="I52" s="2789"/>
      <c r="J52" s="2789"/>
      <c r="K52" s="2789"/>
      <c r="L52" s="2789"/>
      <c r="M52" s="2790"/>
      <c r="N52" s="2781">
        <f>+'EM-TUN'!CC40</f>
        <v>0</v>
      </c>
      <c r="O52" s="2781"/>
      <c r="P52" s="2781"/>
      <c r="Q52" s="2781"/>
      <c r="R52" s="2781">
        <f t="shared" si="1"/>
        <v>0</v>
      </c>
      <c r="S52" s="2781"/>
      <c r="T52" s="2781"/>
      <c r="U52" s="2781"/>
    </row>
    <row r="53" spans="2:24" ht="20.25" customHeight="1">
      <c r="B53" s="2778">
        <v>35</v>
      </c>
      <c r="C53" s="2778"/>
      <c r="D53" s="2779" t="s">
        <v>289</v>
      </c>
      <c r="E53" s="2779"/>
      <c r="F53" s="2779"/>
      <c r="G53" s="2789" t="s">
        <v>582</v>
      </c>
      <c r="H53" s="2789"/>
      <c r="I53" s="2789"/>
      <c r="J53" s="2789"/>
      <c r="K53" s="2789"/>
      <c r="L53" s="2789"/>
      <c r="M53" s="2790"/>
      <c r="N53" s="2781">
        <f>+'EM-TUN'!CC45</f>
        <v>0</v>
      </c>
      <c r="O53" s="2781"/>
      <c r="P53" s="2781"/>
      <c r="Q53" s="2781"/>
      <c r="R53" s="2781">
        <f t="shared" si="1"/>
        <v>0</v>
      </c>
      <c r="S53" s="2781"/>
      <c r="T53" s="2781"/>
      <c r="U53" s="2781"/>
    </row>
    <row r="54" spans="2:24" ht="20.25" customHeight="1">
      <c r="B54" s="2778">
        <v>36</v>
      </c>
      <c r="C54" s="2778"/>
      <c r="D54" s="2779" t="s">
        <v>289</v>
      </c>
      <c r="E54" s="2779"/>
      <c r="F54" s="2779"/>
      <c r="G54" s="2789" t="s">
        <v>290</v>
      </c>
      <c r="H54" s="2789"/>
      <c r="I54" s="2789"/>
      <c r="J54" s="2789"/>
      <c r="K54" s="2789"/>
      <c r="L54" s="2789"/>
      <c r="M54" s="2790"/>
      <c r="N54" s="2781">
        <f>+'EM-TUN'!CC42</f>
        <v>0</v>
      </c>
      <c r="O54" s="2781"/>
      <c r="P54" s="2781"/>
      <c r="Q54" s="2781"/>
      <c r="R54" s="2781">
        <f t="shared" si="0"/>
        <v>0</v>
      </c>
      <c r="S54" s="2781"/>
      <c r="T54" s="2781"/>
      <c r="U54" s="2781"/>
      <c r="X54" s="176" t="s">
        <v>262</v>
      </c>
    </row>
    <row r="55" spans="2:24" ht="20.25" customHeight="1">
      <c r="B55" s="2778">
        <v>37</v>
      </c>
      <c r="C55" s="2778"/>
      <c r="D55" s="2779" t="s">
        <v>291</v>
      </c>
      <c r="E55" s="2779"/>
      <c r="F55" s="2779"/>
      <c r="G55" s="2778" t="s">
        <v>279</v>
      </c>
      <c r="H55" s="2778"/>
      <c r="I55" s="2778"/>
      <c r="J55" s="2778"/>
      <c r="K55" s="2778"/>
      <c r="L55" s="2778"/>
      <c r="M55" s="2780"/>
      <c r="N55" s="2781">
        <f>+'EM-TUN'!CC43</f>
        <v>0</v>
      </c>
      <c r="O55" s="2781"/>
      <c r="P55" s="2781"/>
      <c r="Q55" s="2781"/>
      <c r="R55" s="2781">
        <f t="shared" ref="R55:R60" si="2">+N55*20</f>
        <v>0</v>
      </c>
      <c r="S55" s="2781"/>
      <c r="T55" s="2781"/>
      <c r="U55" s="2781"/>
    </row>
    <row r="56" spans="2:24" ht="20.25" customHeight="1">
      <c r="B56" s="2778">
        <v>38</v>
      </c>
      <c r="C56" s="2778"/>
      <c r="D56" s="2779" t="s">
        <v>291</v>
      </c>
      <c r="E56" s="2779"/>
      <c r="F56" s="2779"/>
      <c r="G56" s="2789" t="s">
        <v>255</v>
      </c>
      <c r="H56" s="2789"/>
      <c r="I56" s="2789"/>
      <c r="J56" s="2789"/>
      <c r="K56" s="2789"/>
      <c r="L56" s="2789"/>
      <c r="M56" s="2790"/>
      <c r="N56" s="2781">
        <f>+'EM-TUN'!CC46</f>
        <v>0</v>
      </c>
      <c r="O56" s="2781"/>
      <c r="P56" s="2781"/>
      <c r="Q56" s="2781"/>
      <c r="R56" s="2781">
        <f>+N56*20</f>
        <v>0</v>
      </c>
      <c r="S56" s="2781"/>
      <c r="T56" s="2781"/>
      <c r="U56" s="2781"/>
    </row>
    <row r="57" spans="2:24" ht="20.25" customHeight="1">
      <c r="B57" s="2778">
        <v>39</v>
      </c>
      <c r="C57" s="2778"/>
      <c r="D57" s="2779" t="s">
        <v>289</v>
      </c>
      <c r="E57" s="2779"/>
      <c r="F57" s="2779"/>
      <c r="G57" s="2789" t="s">
        <v>590</v>
      </c>
      <c r="H57" s="2789"/>
      <c r="I57" s="2789"/>
      <c r="J57" s="2789"/>
      <c r="K57" s="2789"/>
      <c r="L57" s="2789"/>
      <c r="M57" s="2790"/>
      <c r="N57" s="2781">
        <f>+'EM-TUN'!CC48</f>
        <v>0</v>
      </c>
      <c r="O57" s="2781"/>
      <c r="P57" s="2781"/>
      <c r="Q57" s="2781"/>
      <c r="R57" s="2781">
        <f>+N57*20</f>
        <v>0</v>
      </c>
      <c r="S57" s="2781"/>
      <c r="T57" s="2781"/>
      <c r="U57" s="2781"/>
    </row>
    <row r="58" spans="2:24" ht="20.25" customHeight="1">
      <c r="B58" s="2778">
        <v>40</v>
      </c>
      <c r="C58" s="2778"/>
      <c r="D58" s="2779" t="s">
        <v>291</v>
      </c>
      <c r="E58" s="2779"/>
      <c r="F58" s="2779"/>
      <c r="G58" s="2778" t="s">
        <v>256</v>
      </c>
      <c r="H58" s="2778"/>
      <c r="I58" s="2778"/>
      <c r="J58" s="2778"/>
      <c r="K58" s="2778"/>
      <c r="L58" s="2778"/>
      <c r="M58" s="2780"/>
      <c r="N58" s="2781">
        <f>+'EM-TUN'!CC49</f>
        <v>0</v>
      </c>
      <c r="O58" s="2781"/>
      <c r="P58" s="2781"/>
      <c r="Q58" s="2781"/>
      <c r="R58" s="2781">
        <f>+N58*20</f>
        <v>0</v>
      </c>
      <c r="S58" s="2781"/>
      <c r="T58" s="2781"/>
      <c r="U58" s="2781"/>
    </row>
    <row r="59" spans="2:24" ht="20.25" customHeight="1">
      <c r="B59" s="2778">
        <v>41</v>
      </c>
      <c r="C59" s="2778"/>
      <c r="D59" s="2779" t="s">
        <v>291</v>
      </c>
      <c r="E59" s="2779"/>
      <c r="F59" s="2779"/>
      <c r="G59" s="2778" t="s">
        <v>273</v>
      </c>
      <c r="H59" s="2778"/>
      <c r="I59" s="2778"/>
      <c r="J59" s="2778"/>
      <c r="K59" s="2778"/>
      <c r="L59" s="2778"/>
      <c r="M59" s="2780"/>
      <c r="N59" s="2781">
        <f>+'EM-TUN'!CC51</f>
        <v>0</v>
      </c>
      <c r="O59" s="2781"/>
      <c r="P59" s="2781"/>
      <c r="Q59" s="2781"/>
      <c r="R59" s="2781">
        <f>+N59*20</f>
        <v>0</v>
      </c>
      <c r="S59" s="2781"/>
      <c r="T59" s="2781"/>
      <c r="U59" s="2781"/>
    </row>
    <row r="60" spans="2:24" ht="20.25" customHeight="1">
      <c r="B60" s="2778">
        <v>42</v>
      </c>
      <c r="C60" s="2778"/>
      <c r="D60" s="2779" t="s">
        <v>292</v>
      </c>
      <c r="E60" s="2779"/>
      <c r="F60" s="2779"/>
      <c r="G60" s="2842" t="s">
        <v>293</v>
      </c>
      <c r="H60" s="2842"/>
      <c r="I60" s="2842"/>
      <c r="J60" s="2842"/>
      <c r="K60" s="2842"/>
      <c r="L60" s="2842"/>
      <c r="M60" s="2843"/>
      <c r="N60" s="2781">
        <f>+'EM-TUN'!CC52</f>
        <v>0</v>
      </c>
      <c r="O60" s="2781"/>
      <c r="P60" s="2781"/>
      <c r="Q60" s="2781"/>
      <c r="R60" s="2781">
        <f t="shared" si="2"/>
        <v>0</v>
      </c>
      <c r="S60" s="2781"/>
      <c r="T60" s="2781"/>
      <c r="U60" s="2781"/>
    </row>
    <row r="61" spans="2:24" s="191" customFormat="1" ht="30" customHeight="1">
      <c r="B61" s="2854" t="s">
        <v>3</v>
      </c>
      <c r="C61" s="2854"/>
      <c r="D61" s="2854"/>
      <c r="E61" s="2854"/>
      <c r="F61" s="2854"/>
      <c r="G61" s="2854"/>
      <c r="H61" s="2854"/>
      <c r="I61" s="2854"/>
      <c r="J61" s="2854"/>
      <c r="K61" s="2854"/>
      <c r="L61" s="2854"/>
      <c r="M61" s="2854"/>
      <c r="N61" s="2855">
        <f>SUM(N19:Q60)</f>
        <v>0</v>
      </c>
      <c r="O61" s="2856"/>
      <c r="P61" s="2856"/>
      <c r="Q61" s="2857"/>
      <c r="R61" s="2858">
        <f>SUM(R19:U60)</f>
        <v>0</v>
      </c>
      <c r="S61" s="2858"/>
      <c r="T61" s="2858"/>
      <c r="U61" s="2858"/>
    </row>
    <row r="64" spans="2:24" ht="41.25" customHeight="1">
      <c r="B64" s="2852" t="s">
        <v>294</v>
      </c>
      <c r="C64" s="2852"/>
      <c r="D64" s="2852"/>
      <c r="E64" s="2852"/>
      <c r="F64" s="2852"/>
      <c r="G64" s="2859" t="s">
        <v>295</v>
      </c>
      <c r="H64" s="2860"/>
      <c r="I64" s="2860"/>
      <c r="J64" s="2860"/>
      <c r="K64" s="2860"/>
      <c r="L64" s="2860"/>
      <c r="M64" s="2860"/>
      <c r="N64" s="2861"/>
      <c r="O64" s="2852" t="s">
        <v>296</v>
      </c>
      <c r="P64" s="2852"/>
      <c r="Q64" s="2852"/>
      <c r="R64" s="2852"/>
      <c r="S64" s="2852"/>
      <c r="T64" s="2852"/>
      <c r="U64" s="2852"/>
    </row>
    <row r="65" spans="2:21" ht="21.75" customHeight="1">
      <c r="B65" s="2844"/>
      <c r="C65" s="2845"/>
      <c r="D65" s="2845"/>
      <c r="E65" s="2845"/>
      <c r="F65" s="2846"/>
      <c r="G65" s="2850"/>
      <c r="H65" s="2850"/>
      <c r="I65" s="2850"/>
      <c r="J65" s="2850"/>
      <c r="K65" s="2850"/>
      <c r="L65" s="2850"/>
      <c r="M65" s="2850"/>
      <c r="N65" s="2851"/>
      <c r="O65" s="2853"/>
      <c r="P65" s="2853"/>
      <c r="Q65" s="2853"/>
      <c r="R65" s="2853"/>
      <c r="S65" s="2853"/>
      <c r="T65" s="2853"/>
      <c r="U65" s="2853"/>
    </row>
    <row r="66" spans="2:21" ht="36.75" customHeight="1">
      <c r="B66" s="2844"/>
      <c r="C66" s="2845"/>
      <c r="D66" s="2845"/>
      <c r="E66" s="2845"/>
      <c r="F66" s="2846"/>
      <c r="G66" s="2850"/>
      <c r="H66" s="2850"/>
      <c r="I66" s="2850"/>
      <c r="J66" s="2850"/>
      <c r="K66" s="2850"/>
      <c r="L66" s="2850"/>
      <c r="M66" s="2850"/>
      <c r="N66" s="2851"/>
      <c r="O66" s="2853"/>
      <c r="P66" s="2853"/>
      <c r="Q66" s="2853"/>
      <c r="R66" s="2853"/>
      <c r="S66" s="2853"/>
      <c r="T66" s="2853"/>
      <c r="U66" s="2853"/>
    </row>
    <row r="67" spans="2:21" ht="42.75" customHeight="1">
      <c r="B67" s="2847"/>
      <c r="C67" s="2848"/>
      <c r="D67" s="2848"/>
      <c r="E67" s="2848"/>
      <c r="F67" s="2849"/>
      <c r="G67" s="2850"/>
      <c r="H67" s="2850"/>
      <c r="I67" s="2850"/>
      <c r="J67" s="2850"/>
      <c r="K67" s="2850"/>
      <c r="L67" s="2850"/>
      <c r="M67" s="2850"/>
      <c r="N67" s="2851"/>
      <c r="O67" s="2853"/>
      <c r="P67" s="2853"/>
      <c r="Q67" s="2853"/>
      <c r="R67" s="2853"/>
      <c r="S67" s="2853"/>
      <c r="T67" s="2853"/>
      <c r="U67" s="2853"/>
    </row>
  </sheetData>
  <mergeCells count="257">
    <mergeCell ref="B65:F67"/>
    <mergeCell ref="G65:N67"/>
    <mergeCell ref="O64:U64"/>
    <mergeCell ref="O65:U67"/>
    <mergeCell ref="B61:M61"/>
    <mergeCell ref="N61:Q61"/>
    <mergeCell ref="R61:U61"/>
    <mergeCell ref="B64:F64"/>
    <mergeCell ref="G64:N64"/>
    <mergeCell ref="B59:C59"/>
    <mergeCell ref="D59:F59"/>
    <mergeCell ref="G59:M59"/>
    <mergeCell ref="N59:Q59"/>
    <mergeCell ref="R59:U59"/>
    <mergeCell ref="B60:C60"/>
    <mergeCell ref="D60:F60"/>
    <mergeCell ref="G60:M60"/>
    <mergeCell ref="N60:Q60"/>
    <mergeCell ref="R60:U60"/>
    <mergeCell ref="B56:C56"/>
    <mergeCell ref="D56:F56"/>
    <mergeCell ref="G56:M56"/>
    <mergeCell ref="N56:Q56"/>
    <mergeCell ref="R56:U56"/>
    <mergeCell ref="B57:C57"/>
    <mergeCell ref="D57:F57"/>
    <mergeCell ref="G57:M57"/>
    <mergeCell ref="N57:Q57"/>
    <mergeCell ref="R57:U57"/>
    <mergeCell ref="B54:C54"/>
    <mergeCell ref="D54:F54"/>
    <mergeCell ref="G54:M54"/>
    <mergeCell ref="N54:Q54"/>
    <mergeCell ref="R54:U54"/>
    <mergeCell ref="B55:C55"/>
    <mergeCell ref="D55:F55"/>
    <mergeCell ref="G55:M55"/>
    <mergeCell ref="N55:Q55"/>
    <mergeCell ref="R55:U55"/>
    <mergeCell ref="B52:C52"/>
    <mergeCell ref="D52:F52"/>
    <mergeCell ref="G52:M52"/>
    <mergeCell ref="N52:Q52"/>
    <mergeCell ref="R52:U52"/>
    <mergeCell ref="B53:C53"/>
    <mergeCell ref="D53:F53"/>
    <mergeCell ref="G53:M53"/>
    <mergeCell ref="N53:Q53"/>
    <mergeCell ref="R53:U53"/>
    <mergeCell ref="B50:C50"/>
    <mergeCell ref="D50:F50"/>
    <mergeCell ref="G50:M50"/>
    <mergeCell ref="N50:Q50"/>
    <mergeCell ref="R50:U50"/>
    <mergeCell ref="B51:C51"/>
    <mergeCell ref="D51:F51"/>
    <mergeCell ref="G51:M51"/>
    <mergeCell ref="N51:Q51"/>
    <mergeCell ref="R51:U51"/>
    <mergeCell ref="B48:C48"/>
    <mergeCell ref="D48:F48"/>
    <mergeCell ref="G48:M48"/>
    <mergeCell ref="N48:Q48"/>
    <mergeCell ref="R48:U48"/>
    <mergeCell ref="B49:C49"/>
    <mergeCell ref="D49:F49"/>
    <mergeCell ref="G49:M49"/>
    <mergeCell ref="N49:Q49"/>
    <mergeCell ref="R49:U49"/>
    <mergeCell ref="B46:C46"/>
    <mergeCell ref="D46:F46"/>
    <mergeCell ref="G46:M46"/>
    <mergeCell ref="N46:Q46"/>
    <mergeCell ref="R46:U46"/>
    <mergeCell ref="B47:C47"/>
    <mergeCell ref="D47:F47"/>
    <mergeCell ref="G47:M47"/>
    <mergeCell ref="N47:Q47"/>
    <mergeCell ref="R47:U47"/>
    <mergeCell ref="B44:C44"/>
    <mergeCell ref="D44:F44"/>
    <mergeCell ref="G44:M44"/>
    <mergeCell ref="N44:Q44"/>
    <mergeCell ref="R44:U44"/>
    <mergeCell ref="B45:C45"/>
    <mergeCell ref="D45:F45"/>
    <mergeCell ref="G45:M45"/>
    <mergeCell ref="N45:Q45"/>
    <mergeCell ref="R45:U45"/>
    <mergeCell ref="B42:C42"/>
    <mergeCell ref="D42:F42"/>
    <mergeCell ref="G42:M42"/>
    <mergeCell ref="N42:Q42"/>
    <mergeCell ref="R42:U42"/>
    <mergeCell ref="B43:C43"/>
    <mergeCell ref="D43:F43"/>
    <mergeCell ref="G43:M43"/>
    <mergeCell ref="N43:Q43"/>
    <mergeCell ref="R43:U43"/>
    <mergeCell ref="B40:C40"/>
    <mergeCell ref="D40:F40"/>
    <mergeCell ref="G40:M40"/>
    <mergeCell ref="N40:Q40"/>
    <mergeCell ref="R40:U40"/>
    <mergeCell ref="B41:C41"/>
    <mergeCell ref="D41:F41"/>
    <mergeCell ref="G41:M41"/>
    <mergeCell ref="N41:Q41"/>
    <mergeCell ref="R41:U41"/>
    <mergeCell ref="B38:C38"/>
    <mergeCell ref="D38:F38"/>
    <mergeCell ref="G38:M38"/>
    <mergeCell ref="N38:Q38"/>
    <mergeCell ref="R38:U38"/>
    <mergeCell ref="B39:C39"/>
    <mergeCell ref="D39:F39"/>
    <mergeCell ref="G39:M39"/>
    <mergeCell ref="N39:Q39"/>
    <mergeCell ref="R39:U39"/>
    <mergeCell ref="R35:U35"/>
    <mergeCell ref="B36:C36"/>
    <mergeCell ref="D36:F36"/>
    <mergeCell ref="G36:M36"/>
    <mergeCell ref="N36:Q36"/>
    <mergeCell ref="R36:U36"/>
    <mergeCell ref="B37:C37"/>
    <mergeCell ref="D37:F37"/>
    <mergeCell ref="G37:M37"/>
    <mergeCell ref="N37:Q37"/>
    <mergeCell ref="R37:U37"/>
    <mergeCell ref="B30:C30"/>
    <mergeCell ref="D30:F30"/>
    <mergeCell ref="G30:M30"/>
    <mergeCell ref="N30:Q30"/>
    <mergeCell ref="R30:U30"/>
    <mergeCell ref="B31:C31"/>
    <mergeCell ref="D31:F31"/>
    <mergeCell ref="G31:M31"/>
    <mergeCell ref="N31:Q31"/>
    <mergeCell ref="R31:U31"/>
    <mergeCell ref="B28:C28"/>
    <mergeCell ref="D28:F28"/>
    <mergeCell ref="G28:M28"/>
    <mergeCell ref="N28:Q28"/>
    <mergeCell ref="R28:U28"/>
    <mergeCell ref="B29:C29"/>
    <mergeCell ref="D29:F29"/>
    <mergeCell ref="G29:M29"/>
    <mergeCell ref="N29:Q29"/>
    <mergeCell ref="R29:U29"/>
    <mergeCell ref="B26:C26"/>
    <mergeCell ref="D26:F26"/>
    <mergeCell ref="G26:M26"/>
    <mergeCell ref="N26:Q26"/>
    <mergeCell ref="R26:U26"/>
    <mergeCell ref="B27:C27"/>
    <mergeCell ref="D27:F27"/>
    <mergeCell ref="G27:M27"/>
    <mergeCell ref="N27:Q27"/>
    <mergeCell ref="R27:U27"/>
    <mergeCell ref="B24:C24"/>
    <mergeCell ref="D24:F24"/>
    <mergeCell ref="G24:M24"/>
    <mergeCell ref="N24:Q24"/>
    <mergeCell ref="R24:U24"/>
    <mergeCell ref="B25:C25"/>
    <mergeCell ref="D25:F25"/>
    <mergeCell ref="G25:M25"/>
    <mergeCell ref="N25:Q25"/>
    <mergeCell ref="R25:U25"/>
    <mergeCell ref="B22:C22"/>
    <mergeCell ref="D22:F22"/>
    <mergeCell ref="G22:M22"/>
    <mergeCell ref="N22:Q22"/>
    <mergeCell ref="R22:U22"/>
    <mergeCell ref="B23:C23"/>
    <mergeCell ref="D23:F23"/>
    <mergeCell ref="G23:M23"/>
    <mergeCell ref="N23:Q23"/>
    <mergeCell ref="R23:U23"/>
    <mergeCell ref="B20:C20"/>
    <mergeCell ref="D20:F20"/>
    <mergeCell ref="G20:M20"/>
    <mergeCell ref="N20:Q20"/>
    <mergeCell ref="R20:U20"/>
    <mergeCell ref="B21:C21"/>
    <mergeCell ref="D21:F21"/>
    <mergeCell ref="G21:M21"/>
    <mergeCell ref="N21:Q21"/>
    <mergeCell ref="R21:U21"/>
    <mergeCell ref="B18:C18"/>
    <mergeCell ref="D18:F18"/>
    <mergeCell ref="G18:M18"/>
    <mergeCell ref="N18:Q18"/>
    <mergeCell ref="R18:U18"/>
    <mergeCell ref="B19:C19"/>
    <mergeCell ref="D19:F19"/>
    <mergeCell ref="G19:M19"/>
    <mergeCell ref="N19:Q19"/>
    <mergeCell ref="R19:U19"/>
    <mergeCell ref="A12:C12"/>
    <mergeCell ref="D12:Q12"/>
    <mergeCell ref="S12:V12"/>
    <mergeCell ref="A13:C13"/>
    <mergeCell ref="D13:V13"/>
    <mergeCell ref="C15:D16"/>
    <mergeCell ref="E15:I16"/>
    <mergeCell ref="R15:T15"/>
    <mergeCell ref="O16:Q16"/>
    <mergeCell ref="R16:T16"/>
    <mergeCell ref="A9:C9"/>
    <mergeCell ref="D9:R9"/>
    <mergeCell ref="T9:V9"/>
    <mergeCell ref="A10:C10"/>
    <mergeCell ref="D10:H10"/>
    <mergeCell ref="I10:J10"/>
    <mergeCell ref="K10:R10"/>
    <mergeCell ref="T10:V10"/>
    <mergeCell ref="S7:V7"/>
    <mergeCell ref="A8:C8"/>
    <mergeCell ref="D8:K8"/>
    <mergeCell ref="L8:M8"/>
    <mergeCell ref="N8:R8"/>
    <mergeCell ref="S8:V8"/>
    <mergeCell ref="A2:E5"/>
    <mergeCell ref="F2:R5"/>
    <mergeCell ref="S2:V2"/>
    <mergeCell ref="S3:T3"/>
    <mergeCell ref="U3:V3"/>
    <mergeCell ref="S4:T4"/>
    <mergeCell ref="U4:V4"/>
    <mergeCell ref="S5:T5"/>
    <mergeCell ref="U5:V5"/>
    <mergeCell ref="B58:C58"/>
    <mergeCell ref="D58:F58"/>
    <mergeCell ref="G58:M58"/>
    <mergeCell ref="N58:Q58"/>
    <mergeCell ref="R58:U58"/>
    <mergeCell ref="B32:C32"/>
    <mergeCell ref="B33:C33"/>
    <mergeCell ref="D32:F32"/>
    <mergeCell ref="D33:F33"/>
    <mergeCell ref="G32:M32"/>
    <mergeCell ref="G33:M33"/>
    <mergeCell ref="N32:Q32"/>
    <mergeCell ref="N33:Q33"/>
    <mergeCell ref="R32:U32"/>
    <mergeCell ref="R33:U33"/>
    <mergeCell ref="B34:C34"/>
    <mergeCell ref="D34:F34"/>
    <mergeCell ref="G34:M34"/>
    <mergeCell ref="N34:Q34"/>
    <mergeCell ref="R34:U34"/>
    <mergeCell ref="B35:C35"/>
    <mergeCell ref="D35:F35"/>
    <mergeCell ref="G35:M35"/>
    <mergeCell ref="N35:Q35"/>
  </mergeCells>
  <hyperlinks>
    <hyperlink ref="K10" r:id="rId1" xr:uid="{1E70E7FF-5A7F-44A3-9CF3-04218E6C8CDE}"/>
  </hyperlinks>
  <printOptions verticalCentered="1"/>
  <pageMargins left="0.47" right="0.12" top="0.42" bottom="0.4" header="0.3" footer="0.3"/>
  <pageSetup paperSize="9" scale="58" orientation="portrait" horizontalDpi="4294967293" r:id="rId2"/>
  <colBreaks count="1" manualBreakCount="1">
    <brk id="22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7448A-99D6-4B6F-B1C2-25CCA1B9C836}">
  <sheetPr codeName="Hoja24">
    <pageSetUpPr fitToPage="1"/>
  </sheetPr>
  <dimension ref="A1:BP104"/>
  <sheetViews>
    <sheetView topLeftCell="AX1" zoomScale="55" zoomScaleNormal="55" zoomScalePageLayoutView="70" workbookViewId="0">
      <selection activeCell="C32" sqref="C32"/>
    </sheetView>
  </sheetViews>
  <sheetFormatPr baseColWidth="10" defaultRowHeight="15"/>
  <cols>
    <col min="1" max="1" width="10" customWidth="1"/>
    <col min="2" max="2" width="86" customWidth="1"/>
    <col min="3" max="3" width="16.42578125" customWidth="1"/>
    <col min="4" max="4" width="16.140625" customWidth="1"/>
    <col min="5" max="5" width="18" customWidth="1"/>
    <col min="6" max="6" width="16.85546875" customWidth="1"/>
    <col min="7" max="7" width="17" customWidth="1"/>
    <col min="8" max="8" width="21.28515625" customWidth="1"/>
    <col min="9" max="9" width="23" customWidth="1"/>
    <col min="10" max="10" width="24.5703125" customWidth="1"/>
    <col min="11" max="11" width="19" bestFit="1" customWidth="1"/>
    <col min="12" max="12" width="17.85546875" bestFit="1" customWidth="1"/>
    <col min="13" max="13" width="54.7109375" customWidth="1"/>
    <col min="14" max="24" width="25.42578125" hidden="1" customWidth="1"/>
    <col min="25" max="25" width="22.5703125" hidden="1" customWidth="1"/>
    <col min="27" max="27" width="9.140625" customWidth="1"/>
    <col min="28" max="28" width="87.85546875" customWidth="1"/>
    <col min="29" max="29" width="23.7109375" customWidth="1"/>
    <col min="30" max="30" width="23.42578125" customWidth="1"/>
    <col min="31" max="31" width="54.28515625" customWidth="1"/>
    <col min="32" max="32" width="11.42578125" customWidth="1"/>
    <col min="33" max="33" width="9.85546875" customWidth="1"/>
    <col min="34" max="34" width="83.85546875" customWidth="1"/>
    <col min="35" max="35" width="21.7109375" customWidth="1"/>
    <col min="36" max="37" width="23.7109375" customWidth="1"/>
    <col min="38" max="38" width="24.42578125" customWidth="1"/>
    <col min="39" max="39" width="24.28515625" customWidth="1"/>
    <col min="40" max="40" width="18.28515625" customWidth="1"/>
    <col min="41" max="41" width="19.28515625" customWidth="1"/>
    <col min="42" max="42" width="23.140625" customWidth="1"/>
    <col min="43" max="43" width="23.7109375" customWidth="1"/>
    <col min="44" max="44" width="23" customWidth="1"/>
    <col min="45" max="46" width="23.85546875" customWidth="1"/>
    <col min="47" max="47" width="19.42578125" bestFit="1" customWidth="1"/>
    <col min="48" max="48" width="44.5703125" customWidth="1"/>
    <col min="53" max="53" width="12.28515625" customWidth="1"/>
    <col min="54" max="54" width="24.140625" bestFit="1" customWidth="1"/>
    <col min="55" max="55" width="37.42578125" customWidth="1"/>
    <col min="56" max="56" width="30.42578125" customWidth="1"/>
    <col min="57" max="57" width="31.42578125" customWidth="1"/>
    <col min="58" max="58" width="31" customWidth="1"/>
    <col min="59" max="59" width="32.7109375" customWidth="1"/>
    <col min="60" max="60" width="28.85546875" customWidth="1"/>
    <col min="61" max="61" width="17.5703125" bestFit="1" customWidth="1"/>
    <col min="62" max="62" width="20.7109375" customWidth="1"/>
    <col min="63" max="63" width="24" customWidth="1"/>
    <col min="64" max="64" width="23.7109375" customWidth="1"/>
    <col min="65" max="65" width="25.85546875" customWidth="1"/>
    <col min="66" max="69" width="138.5703125" customWidth="1"/>
  </cols>
  <sheetData>
    <row r="1" spans="1:68" ht="36" customHeight="1">
      <c r="A1" s="2865" t="s">
        <v>532</v>
      </c>
      <c r="B1" s="2865"/>
      <c r="C1" s="2865"/>
      <c r="D1" s="2865"/>
      <c r="E1" s="2865"/>
      <c r="F1" s="2865"/>
      <c r="G1" s="2865"/>
      <c r="H1" s="2865"/>
      <c r="I1" s="2865"/>
      <c r="J1" s="2865"/>
      <c r="K1" s="2865"/>
      <c r="L1" s="2865"/>
      <c r="M1" s="2865"/>
      <c r="N1" s="751"/>
      <c r="O1" s="751"/>
      <c r="P1" s="751"/>
      <c r="Q1" s="751"/>
      <c r="R1" s="751"/>
      <c r="S1" s="751"/>
      <c r="T1" s="751"/>
      <c r="U1" s="751"/>
      <c r="V1" s="751"/>
      <c r="W1" s="751"/>
      <c r="X1" s="751"/>
      <c r="Y1" s="751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2892" t="s">
        <v>567</v>
      </c>
      <c r="BC1" s="2892"/>
      <c r="BD1" s="2892"/>
      <c r="BE1" s="2892"/>
      <c r="BF1" s="2892"/>
      <c r="BG1" s="2892"/>
      <c r="BH1" s="2892"/>
      <c r="BI1" s="2892"/>
      <c r="BJ1" s="2892"/>
      <c r="BK1" s="2892"/>
      <c r="BL1" s="2892"/>
      <c r="BM1" s="752"/>
      <c r="BN1" s="753"/>
      <c r="BO1" s="753"/>
    </row>
    <row r="2" spans="1:68" ht="42" customHeight="1">
      <c r="A2" s="2872" t="s">
        <v>534</v>
      </c>
      <c r="B2" s="2872"/>
      <c r="C2" s="2872"/>
      <c r="D2" s="754" t="s">
        <v>535</v>
      </c>
      <c r="E2" s="754" t="s">
        <v>536</v>
      </c>
      <c r="F2" s="754" t="s">
        <v>537</v>
      </c>
      <c r="G2" s="754" t="s">
        <v>539</v>
      </c>
      <c r="H2" s="754" t="s">
        <v>540</v>
      </c>
      <c r="I2" s="754" t="s">
        <v>541</v>
      </c>
      <c r="J2" s="754" t="s">
        <v>542</v>
      </c>
      <c r="K2" s="754" t="s">
        <v>544</v>
      </c>
      <c r="L2" s="754" t="s">
        <v>545</v>
      </c>
      <c r="M2" s="754" t="s">
        <v>546</v>
      </c>
      <c r="N2" s="751"/>
      <c r="O2" s="751"/>
      <c r="P2" s="751"/>
      <c r="Q2" s="751"/>
      <c r="R2" s="751"/>
      <c r="S2" s="751"/>
      <c r="T2" s="751"/>
      <c r="U2" s="751"/>
      <c r="V2" s="751"/>
      <c r="W2" s="751"/>
      <c r="X2" s="751"/>
      <c r="Y2" s="751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755"/>
      <c r="BO2" s="755"/>
      <c r="BP2" s="755"/>
    </row>
    <row r="3" spans="1:68" ht="40.5" customHeight="1" thickBot="1">
      <c r="A3" s="756" t="s">
        <v>543</v>
      </c>
      <c r="B3" s="757">
        <v>20</v>
      </c>
      <c r="C3" s="758"/>
      <c r="D3" s="759">
        <f>SUM($C$7:$C$55)</f>
        <v>0</v>
      </c>
      <c r="E3" s="760">
        <f>SUM($D$7:$D$55)</f>
        <v>0</v>
      </c>
      <c r="F3" s="759">
        <f>SUM($E$7:$E$55)</f>
        <v>0</v>
      </c>
      <c r="G3" s="760">
        <f>SUM($G$7:$G$55)</f>
        <v>0</v>
      </c>
      <c r="H3" s="759">
        <f>SUM($H$7:$H$55)</f>
        <v>0</v>
      </c>
      <c r="I3" s="760">
        <f>SUM($I$7:$I$55)</f>
        <v>0</v>
      </c>
      <c r="J3" s="759">
        <f>SUM($J$7:$J$55)</f>
        <v>0</v>
      </c>
      <c r="K3" s="761">
        <f>SUM($K$7:$K$55)</f>
        <v>0</v>
      </c>
      <c r="L3" s="761">
        <f>SUM($L$7:$L$55)</f>
        <v>0</v>
      </c>
      <c r="M3" s="761" t="str">
        <f>""</f>
        <v/>
      </c>
      <c r="N3" s="751"/>
      <c r="O3" s="751"/>
      <c r="P3" s="751"/>
      <c r="Q3" s="751"/>
      <c r="R3" s="751"/>
      <c r="S3" s="751"/>
      <c r="T3" s="751"/>
      <c r="U3" s="751"/>
      <c r="V3" s="751"/>
      <c r="W3" s="751"/>
      <c r="X3" s="751"/>
      <c r="Y3" s="751"/>
      <c r="Z3" s="105"/>
      <c r="AA3" s="105"/>
      <c r="AB3" s="105"/>
      <c r="AC3" s="105"/>
      <c r="AD3" s="105"/>
      <c r="AE3" s="105"/>
      <c r="AF3" s="105"/>
      <c r="AG3" s="105"/>
      <c r="AH3" s="105"/>
      <c r="AI3" s="105"/>
      <c r="AJ3" s="105"/>
      <c r="AK3" s="105"/>
      <c r="AL3" s="105"/>
      <c r="AM3" s="105"/>
      <c r="AN3" s="105"/>
      <c r="AO3" s="105"/>
      <c r="AP3" s="105"/>
      <c r="AQ3" s="105"/>
      <c r="AR3" s="105"/>
      <c r="AS3" s="105"/>
      <c r="AT3" s="105"/>
      <c r="AU3" s="105"/>
      <c r="AV3" s="105"/>
      <c r="AW3" s="105"/>
      <c r="AX3" s="105"/>
      <c r="AY3" s="105"/>
      <c r="AZ3" s="105"/>
      <c r="BA3" s="105"/>
      <c r="BB3" s="11" t="str">
        <f>IF(PP!B3="","",PP!B3)</f>
        <v/>
      </c>
      <c r="BC3" s="2893" t="str">
        <f>IF(PP!C3="","",PP!C3)</f>
        <v>PARTE DE PRODUCCIÓN</v>
      </c>
      <c r="BD3" s="2893"/>
      <c r="BE3" s="2893"/>
      <c r="BF3" s="762" t="str">
        <f>IF(PP!F3="","",PP!F3)</f>
        <v/>
      </c>
      <c r="BG3" s="762" t="str">
        <f>IF(PP!G3="","",PP!G3)</f>
        <v/>
      </c>
      <c r="BH3" s="762" t="str">
        <f>IF(PP!H3="","",PP!H3)</f>
        <v/>
      </c>
      <c r="BI3" s="762" t="str">
        <f>IF(PP!I3="","",PP!I3)</f>
        <v/>
      </c>
      <c r="BJ3" s="762"/>
      <c r="BK3" s="762"/>
      <c r="BL3" s="762" t="str">
        <f>IF(PP!J3="","",PP!J3)</f>
        <v/>
      </c>
      <c r="BM3" s="763" t="str">
        <f>IF(PP!K3="","",PP!K3)</f>
        <v/>
      </c>
      <c r="BN3" s="764" t="str">
        <f>IF(PP!L3="","",PP!L3)</f>
        <v/>
      </c>
      <c r="BO3" s="765" t="str">
        <f>IF(PP!M3="","",PP!M3)</f>
        <v/>
      </c>
      <c r="BP3" s="755"/>
    </row>
    <row r="4" spans="1:68" ht="21" customHeight="1" thickBot="1">
      <c r="A4" s="2866" t="s">
        <v>533</v>
      </c>
      <c r="B4" s="2867"/>
      <c r="C4" s="2867"/>
      <c r="D4" s="2867"/>
      <c r="E4" s="2867"/>
      <c r="F4" s="2867"/>
      <c r="G4" s="2867"/>
      <c r="H4" s="2867"/>
      <c r="I4" s="2867"/>
      <c r="J4" s="2867"/>
      <c r="K4" s="2867"/>
      <c r="L4" s="2867"/>
      <c r="M4" s="2868"/>
      <c r="N4" s="921"/>
      <c r="O4" s="751"/>
      <c r="P4" s="751"/>
      <c r="Q4" s="751"/>
      <c r="R4" s="751"/>
      <c r="S4" s="751"/>
      <c r="T4" s="751"/>
      <c r="U4" s="751"/>
      <c r="V4" s="751"/>
      <c r="W4" s="751"/>
      <c r="X4" s="751"/>
      <c r="Y4" s="751"/>
      <c r="Z4" s="105"/>
      <c r="AA4" s="105"/>
      <c r="AB4" s="105"/>
      <c r="AC4" s="105"/>
      <c r="AD4" s="105"/>
      <c r="AE4" s="105"/>
      <c r="AF4" s="10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5"/>
      <c r="AS4" s="105"/>
      <c r="AT4" s="105"/>
      <c r="AU4" s="105"/>
      <c r="AV4" s="105"/>
      <c r="AW4" s="105"/>
      <c r="AX4" s="105"/>
      <c r="AY4" s="105"/>
      <c r="AZ4" s="105"/>
      <c r="BA4" s="105"/>
      <c r="BB4" s="11" t="str">
        <f>IF(PP!B4="","",PP!B4)</f>
        <v/>
      </c>
      <c r="BC4" s="2893"/>
      <c r="BD4" s="2893"/>
      <c r="BE4" s="2893"/>
      <c r="BF4" s="762" t="str">
        <f>IF(PP!F4="","",PP!F4)</f>
        <v/>
      </c>
      <c r="BG4" s="762" t="str">
        <f>IF(PP!G4="","",PP!G4)</f>
        <v/>
      </c>
      <c r="BH4" s="762" t="str">
        <f>IF(PP!H4="","",PP!H4)</f>
        <v/>
      </c>
      <c r="BI4" s="762" t="str">
        <f>IF(PP!I4="","",PP!I4)</f>
        <v/>
      </c>
      <c r="BJ4" s="762"/>
      <c r="BK4" s="762"/>
      <c r="BL4" s="762" t="str">
        <f>IF(PP!J4="","",PP!J4)</f>
        <v/>
      </c>
      <c r="BM4" s="763" t="str">
        <f>IF(PP!K4="","",PP!K4)</f>
        <v/>
      </c>
      <c r="BN4" s="764" t="str">
        <f>IF(PP!L4="","",PP!L4)</f>
        <v/>
      </c>
      <c r="BO4" s="765" t="str">
        <f>IF(PP!M4="","",PP!M4)</f>
        <v/>
      </c>
      <c r="BP4" s="755"/>
    </row>
    <row r="5" spans="1:68" ht="27.95" customHeight="1" thickBot="1">
      <c r="A5" s="2869" t="s">
        <v>415</v>
      </c>
      <c r="B5" s="2871"/>
      <c r="C5" s="2869" t="s">
        <v>529</v>
      </c>
      <c r="D5" s="2870"/>
      <c r="E5" s="2871"/>
      <c r="F5" s="2869" t="s">
        <v>530</v>
      </c>
      <c r="G5" s="2870"/>
      <c r="H5" s="2871"/>
      <c r="I5" s="2869" t="s">
        <v>531</v>
      </c>
      <c r="J5" s="2871"/>
      <c r="K5" s="2862" t="s">
        <v>547</v>
      </c>
      <c r="L5" s="2863"/>
      <c r="M5" s="2863"/>
      <c r="N5" s="2864"/>
      <c r="O5" s="751"/>
      <c r="P5" s="751"/>
      <c r="Q5" s="751"/>
      <c r="R5" s="751"/>
      <c r="S5" s="751"/>
      <c r="T5" s="751"/>
      <c r="U5" s="751"/>
      <c r="V5" s="751"/>
      <c r="W5" s="751"/>
      <c r="X5" s="751"/>
      <c r="Y5" s="751"/>
      <c r="Z5" s="105"/>
      <c r="AA5" s="2875" t="s">
        <v>551</v>
      </c>
      <c r="AB5" s="2876"/>
      <c r="AC5" s="2876"/>
      <c r="AD5" s="2876"/>
      <c r="AE5" s="2877"/>
      <c r="AF5" s="105"/>
      <c r="AG5" s="2873" t="s">
        <v>552</v>
      </c>
      <c r="AH5" s="2873"/>
      <c r="AI5" s="2873"/>
      <c r="AJ5" s="2873"/>
      <c r="AK5" s="2873"/>
      <c r="AL5" s="2873"/>
      <c r="AM5" s="2873"/>
      <c r="AN5" s="2873"/>
      <c r="AO5" s="2873"/>
      <c r="AP5" s="2873"/>
      <c r="AQ5" s="2873"/>
      <c r="AR5" s="2873"/>
      <c r="AS5" s="2873"/>
      <c r="AT5" s="2873"/>
      <c r="AU5" s="2873"/>
      <c r="AV5" s="2873"/>
      <c r="AW5" s="105"/>
      <c r="AX5" s="105"/>
      <c r="AY5" s="105"/>
      <c r="AZ5" s="105"/>
      <c r="BA5" s="105"/>
      <c r="BB5" s="787" t="str">
        <f>IF(PP!B5="","",PP!B5)</f>
        <v/>
      </c>
      <c r="BC5" s="788" t="str">
        <f>IF(PP!C5="","",PP!C5)</f>
        <v/>
      </c>
      <c r="BD5" s="788" t="str">
        <f>IF(PP!D5="","",PP!D5)</f>
        <v/>
      </c>
      <c r="BE5" s="789" t="str">
        <f>IF(PP!E5="","",PP!E5)</f>
        <v/>
      </c>
      <c r="BF5" s="789" t="str">
        <f>IF(PP!F5="","",PP!F5)</f>
        <v/>
      </c>
      <c r="BG5" s="789" t="str">
        <f>IF(PP!G5="","",PP!G5)</f>
        <v/>
      </c>
      <c r="BH5" s="789" t="str">
        <f>IF(PP!H5="","",PP!H5)</f>
        <v/>
      </c>
      <c r="BI5" s="789" t="str">
        <f>IF(PP!I5="","",PP!I5)</f>
        <v/>
      </c>
      <c r="BJ5" s="789"/>
      <c r="BK5" s="789"/>
      <c r="BL5" s="789" t="str">
        <f>IF(PP!J5="","",PP!J5)</f>
        <v/>
      </c>
      <c r="BM5" s="763" t="str">
        <f>IF(PP!K5="","",PP!K5)</f>
        <v/>
      </c>
      <c r="BN5" s="764" t="str">
        <f>IF(PP!L5="","",PP!L5)</f>
        <v/>
      </c>
      <c r="BO5" s="765" t="str">
        <f>IF(PP!M5="","",PP!M5)</f>
        <v/>
      </c>
      <c r="BP5" s="755"/>
    </row>
    <row r="6" spans="1:68" ht="73.5" customHeight="1" thickBot="1">
      <c r="A6" s="922" t="s">
        <v>15</v>
      </c>
      <c r="B6" s="922" t="s">
        <v>415</v>
      </c>
      <c r="C6" s="922" t="s">
        <v>535</v>
      </c>
      <c r="D6" s="923" t="s">
        <v>536</v>
      </c>
      <c r="E6" s="922" t="s">
        <v>537</v>
      </c>
      <c r="F6" s="922" t="s">
        <v>538</v>
      </c>
      <c r="G6" s="922" t="s">
        <v>539</v>
      </c>
      <c r="H6" s="922" t="s">
        <v>540</v>
      </c>
      <c r="I6" s="922" t="s">
        <v>541</v>
      </c>
      <c r="J6" s="922" t="s">
        <v>542</v>
      </c>
      <c r="K6" s="922" t="s">
        <v>544</v>
      </c>
      <c r="L6" s="922" t="s">
        <v>545</v>
      </c>
      <c r="M6" s="922" t="s">
        <v>546</v>
      </c>
      <c r="N6" s="924" t="s">
        <v>525</v>
      </c>
      <c r="O6" s="751" t="s">
        <v>517</v>
      </c>
      <c r="P6" s="751" t="s">
        <v>518</v>
      </c>
      <c r="Q6" s="751" t="s">
        <v>523</v>
      </c>
      <c r="R6" s="751" t="s">
        <v>519</v>
      </c>
      <c r="S6" s="751" t="s">
        <v>526</v>
      </c>
      <c r="T6" s="751" t="s">
        <v>522</v>
      </c>
      <c r="U6" s="751" t="s">
        <v>524</v>
      </c>
      <c r="V6" s="751" t="s">
        <v>521</v>
      </c>
      <c r="W6" s="751" t="s">
        <v>527</v>
      </c>
      <c r="X6" s="751" t="s">
        <v>520</v>
      </c>
      <c r="Y6" s="751" t="s">
        <v>528</v>
      </c>
      <c r="Z6" s="105"/>
      <c r="AA6" s="914" t="s">
        <v>15</v>
      </c>
      <c r="AB6" s="915" t="s">
        <v>415</v>
      </c>
      <c r="AC6" s="916" t="s">
        <v>544</v>
      </c>
      <c r="AD6" s="915" t="s">
        <v>545</v>
      </c>
      <c r="AE6" s="917" t="s">
        <v>546</v>
      </c>
      <c r="AF6" s="105"/>
      <c r="AG6" s="896" t="s">
        <v>15</v>
      </c>
      <c r="AH6" s="896" t="s">
        <v>415</v>
      </c>
      <c r="AI6" s="897" t="s">
        <v>553</v>
      </c>
      <c r="AJ6" s="897" t="s">
        <v>554</v>
      </c>
      <c r="AK6" s="897" t="s">
        <v>555</v>
      </c>
      <c r="AL6" s="897" t="s">
        <v>556</v>
      </c>
      <c r="AM6" s="897" t="s">
        <v>557</v>
      </c>
      <c r="AN6" s="897" t="s">
        <v>558</v>
      </c>
      <c r="AO6" s="897" t="s">
        <v>559</v>
      </c>
      <c r="AP6" s="896" t="s">
        <v>560</v>
      </c>
      <c r="AQ6" s="896" t="s">
        <v>561</v>
      </c>
      <c r="AR6" s="896" t="s">
        <v>562</v>
      </c>
      <c r="AS6" s="896" t="s">
        <v>563</v>
      </c>
      <c r="AT6" s="896" t="s">
        <v>564</v>
      </c>
      <c r="AU6" s="897" t="s">
        <v>565</v>
      </c>
      <c r="AV6" s="897" t="s">
        <v>449</v>
      </c>
      <c r="AW6" s="105"/>
      <c r="AX6" s="105"/>
      <c r="AY6" s="105"/>
      <c r="AZ6" s="105"/>
      <c r="BA6" s="105"/>
      <c r="BB6" s="787" t="str">
        <f>IF(PP!B6="","",PP!B6)</f>
        <v/>
      </c>
      <c r="BC6" s="788" t="str">
        <f>IF(PP!C6="","",PP!C6)</f>
        <v/>
      </c>
      <c r="BD6" s="788" t="str">
        <f>IF(PP!D6="","",PP!D6)</f>
        <v/>
      </c>
      <c r="BE6" s="789" t="str">
        <f>IF(PP!E6="","",PP!E6)</f>
        <v/>
      </c>
      <c r="BF6" s="789" t="str">
        <f>IF(PP!F6="","",PP!F6)</f>
        <v/>
      </c>
      <c r="BG6" s="789" t="str">
        <f>IF(PP!G6="","",PP!G6)</f>
        <v/>
      </c>
      <c r="BH6" s="789" t="str">
        <f>IF(PP!H6="","",PP!H6)</f>
        <v/>
      </c>
      <c r="BI6" s="789" t="str">
        <f>IF(PP!I6="","",PP!I6)</f>
        <v/>
      </c>
      <c r="BJ6" s="789"/>
      <c r="BK6" s="789"/>
      <c r="BL6" s="2885" t="s">
        <v>568</v>
      </c>
      <c r="BM6" s="105"/>
      <c r="BN6" s="764" t="str">
        <f>IF(PP!L6="","",PP!L6)</f>
        <v/>
      </c>
      <c r="BO6" s="765" t="str">
        <f>IF(PP!M6="","",PP!M6)</f>
        <v/>
      </c>
      <c r="BP6" s="755"/>
    </row>
    <row r="7" spans="1:68" ht="27" customHeight="1" thickBot="1">
      <c r="A7" s="925" t="str">
        <f>IFERROR(INDEX($N$7:$N$55,_xlfn.AGGREGATE(15,6,(ROW($X$7:$X$55)-ROW($X$7)+1)/($X$7:$X$55&gt;0),ROWS($B$7:B7))),"")</f>
        <v/>
      </c>
      <c r="B7" s="926" t="str">
        <f>IFERROR(UPPER(INDEX($O$7:$Y$55,_xlfn.AGGREGATE(15,6,(ROW($X$7:$X$55)-ROW($X$7)+1)/($X$7:$X$55&gt;0),ROWS($B$7:B7)),1)),"")</f>
        <v/>
      </c>
      <c r="C7" s="927" t="str">
        <f>IFERROR(INDEX($O$7:$Y$55,_xlfn.AGGREGATE(15,6,(ROW($X$7:$X$55)-ROW($X$7)+1)/($X$7:$X$55&gt;0),ROWS($B$7:B7)),2),"")</f>
        <v/>
      </c>
      <c r="D7" s="928" t="str">
        <f>IFERROR(INDEX($O$7:$Y$55,_xlfn.AGGREGATE(15,6,(ROW($X$7:$X$55)-ROW($X$7)+1)/($X$7:$X$55&gt;0),ROWS($B$7:B7)),4),"")</f>
        <v/>
      </c>
      <c r="E7" s="927" t="str">
        <f t="shared" ref="E7:E38" si="0">IF($B7="","",IFERROR(IF($D7&gt;0,INT($D7/$B$3),""),""))</f>
        <v/>
      </c>
      <c r="F7" s="927" t="str">
        <f>IFERROR(INDEX($O$7:$Y$55,_xlfn.AGGREGATE(15,6,(ROW($X$7:$X$55)-ROW($X$7)+1)/($X$7:$X$55&gt;0),ROWS($B$7:B7)),6),"")</f>
        <v/>
      </c>
      <c r="G7" s="929" t="str">
        <f>IFERROR(INDEX($O$7:$Y$55,_xlfn.AGGREGATE(15,6,(ROW($X$7:$X$55)-ROW($X$7)+1)/($X$7:$X$55&gt;0),ROWS($B$7:B7)),8),"")</f>
        <v/>
      </c>
      <c r="H7" s="927" t="str">
        <f t="shared" ref="H7:H38" si="1">IF($B7="","",IFERROR(IF($G7&gt;0,INT($G7/$B$3),""),""))</f>
        <v/>
      </c>
      <c r="I7" s="929" t="str">
        <f>IFERROR(INDEX($O$7:$Y$55,_xlfn.AGGREGATE(15,6,(ROW($X$7:$X$55)-ROW($X$7)+1)/($X$7:$X$55&gt;0),ROWS($B$7:B7)),10),"")</f>
        <v/>
      </c>
      <c r="J7" s="927" t="str">
        <f t="shared" ref="J7:J38" si="2">IF($B7="","",IFERROR(IF($I7&gt;0,INT($I7/$B$3),""),""))</f>
        <v/>
      </c>
      <c r="K7" s="930" t="str">
        <f t="shared" ref="K7:K38" si="3">IF($B7="","",IFERROR(MOD($D7,$B$3),""))</f>
        <v/>
      </c>
      <c r="L7" s="930" t="str">
        <f t="shared" ref="L7:L38" si="4">IF($B7="","",IFERROR(MOD($G7,$B$3),""))</f>
        <v/>
      </c>
      <c r="M7" s="931" t="str">
        <f t="shared" ref="M7:M38" si="5">IF($B7="","",IF(AND($K7&gt;0,$L7&gt;0),"PLACAS / TÚNEL (SEPARADOS)",IF($K7&gt;0,"PLACAS",IF($L7&gt;0,"TÚNEL",""))))</f>
        <v/>
      </c>
      <c r="N7" s="932">
        <f>'ENV. PLACAS'!C6</f>
        <v>1</v>
      </c>
      <c r="O7" s="751" t="str">
        <f>IFERROR(UPPER('ENV. PLACAS'!D6),"")</f>
        <v>ANILLAS BLANCAS SM ST</v>
      </c>
      <c r="P7" s="768">
        <f>'ENV. PLACAS'!AC6</f>
        <v>0</v>
      </c>
      <c r="Q7" s="768">
        <f>'ENV. PLACAS'!AD6</f>
        <v>0</v>
      </c>
      <c r="R7" s="751">
        <f>'ENV. PLACAS'!AE6</f>
        <v>0</v>
      </c>
      <c r="S7" s="751" t="str">
        <f t="shared" ref="S7:S54" si="6">IFERROR(IF(R7&gt;0,R7/$B$3,""),"")</f>
        <v/>
      </c>
      <c r="T7" s="751">
        <f>SUMIF('RES-EN'!$D$6:$D$53,O7,'RES-EN'!$Q$6:$Q$53)</f>
        <v>0</v>
      </c>
      <c r="U7" s="751">
        <f>SUMIF('RES-EN'!$D$6:$D$53,O7,'RES-EN'!$R$6:$R$53)</f>
        <v>0</v>
      </c>
      <c r="V7" s="751">
        <f>SUMIF('RES-EN'!$D$6:$D$53,O7,'RES-EN'!$S$6:$S$53)</f>
        <v>0</v>
      </c>
      <c r="W7" s="751" t="str">
        <f t="shared" ref="W7:W38" si="7">IFERROR(IF(V7&gt;0,V7/$B$3,""),"")</f>
        <v/>
      </c>
      <c r="X7" s="751">
        <f t="shared" ref="X7:X54" si="8">SUM(R7,V7)</f>
        <v>0</v>
      </c>
      <c r="Y7" s="751" t="str">
        <f t="shared" ref="Y7:Y38" si="9">IFERROR(IF(X7&gt;0,X7/$B$3,""),"")</f>
        <v/>
      </c>
      <c r="Z7" s="105"/>
      <c r="AA7" s="918" t="str">
        <f>IFERROR(INDEX($N$7:$N$55,_xlfn.AGGREGATE(15,6,(ROW($O$7:$O$55)-ROW($O$7)+1)/(((MOD($R$7:$R$55,$B$3)&gt;0)+(MOD($V$7:$V$55,$B$3)&gt;0))&gt;0),ROWS($AA$7:AA7))),"")</f>
        <v/>
      </c>
      <c r="AB7" s="919" t="str">
        <f t="shared" ref="AB7:AB38" si="10">IF($AA7="","",INDEX($O$7:$O$55,MATCH($AA7,$N$7:$N$55,0)))</f>
        <v/>
      </c>
      <c r="AC7" s="900" t="str">
        <f t="shared" ref="AC7:AC38" si="11">IF($AA7="","",IF(MOD(INDEX($R$7:$R$55,MATCH($AA7,$N$7:$N$55,0)),$B$3)&gt;0,MOD(INDEX($R$7:$R$55,MATCH($AA7,$N$7:$N$55,0)),$B$3),""))</f>
        <v/>
      </c>
      <c r="AD7" s="900" t="str">
        <f t="shared" ref="AD7:AD38" si="12">IF($AA7="","",IF(MOD(INDEX($V$7:$V$55,MATCH($AA7,$N$7:$N$55,0)),$B$3)&gt;0,MOD(INDEX($V$7:$V$55,MATCH($AA7,$N$7:$N$55,0)),$B$3),""))</f>
        <v/>
      </c>
      <c r="AE7" s="920" t="str">
        <f t="shared" ref="AE7:AE38" si="13">IF($AA7="","",IF(AND(N(AC7)&gt;0,N(AD7)&gt;0),"PLACAS / TÚNEL (SEPARADOS)",IF(N(AC7)&gt;0,"PLACAS",IF(N(AD7)&gt;0,"TÚNEL",""))))</f>
        <v/>
      </c>
      <c r="AF7" s="105"/>
      <c r="AG7" s="898" t="str">
        <f t="shared" ref="AG7:AG38" si="14">IF($AA7="","",$AA7)</f>
        <v/>
      </c>
      <c r="AH7" s="899" t="str">
        <f t="shared" ref="AH7:AH38" si="15">IF($AA7="","",$AB7)</f>
        <v/>
      </c>
      <c r="AI7" s="900" t="str">
        <f t="shared" ref="AI7:AI38" si="16">IF($AA7="","",$AC7)</f>
        <v/>
      </c>
      <c r="AJ7" s="900" t="str">
        <f t="shared" ref="AJ7:AJ38" si="17">IF($AA7="","",$AD7)</f>
        <v/>
      </c>
      <c r="AK7" s="901"/>
      <c r="AL7" s="901"/>
      <c r="AM7" s="902" t="str">
        <f t="shared" ref="AM7:AM38" si="18">IF($AG7="","",INT(N(INDEX($R$7:$R$55,MATCH($AG7,$N$7:$N$55,0)))/$B$3))</f>
        <v/>
      </c>
      <c r="AN7" s="902" t="str">
        <f t="shared" ref="AN7:AN38" si="19">IF($AG7="","",INT(N(INDEX($V$7:$V$55,MATCH($AG7,$N$7:$N$55,0)))/$B$3))</f>
        <v/>
      </c>
      <c r="AO7" s="902" t="str">
        <f t="shared" ref="AO7:AO38" si="20">IF($AG7="","",INT((N($AI7)+N($AK7))/$B$3))</f>
        <v/>
      </c>
      <c r="AP7" s="900" t="str">
        <f t="shared" ref="AP7:AP38" si="21">IF($AG7="","",MOD(N($AI7)+N($AK7),$B$3))</f>
        <v/>
      </c>
      <c r="AQ7" s="902" t="str">
        <f t="shared" ref="AQ7:AQ38" si="22">IF($AG7="","",INT((N($AJ7)+N($AL7))/$B$3))</f>
        <v/>
      </c>
      <c r="AR7" s="900" t="str">
        <f t="shared" ref="AR7:AR38" si="23">IF($AG7="","",MOD(N($AJ7)+N($AL7),$B$3))</f>
        <v/>
      </c>
      <c r="AS7" s="902" t="str">
        <f t="shared" ref="AS7:AS38" si="24">IF($AG7="","",N($AM7)+N($AO7))</f>
        <v/>
      </c>
      <c r="AT7" s="902" t="str">
        <f t="shared" ref="AT7:AT38" si="25">IF($AG7="","",N($AN7)+N($AQ7))</f>
        <v/>
      </c>
      <c r="AU7" s="902" t="str">
        <f t="shared" ref="AU7:AU38" si="26">IF($AG7="","",N($AS7)+N($AT7))</f>
        <v/>
      </c>
      <c r="AV7" s="903" t="str">
        <f t="shared" ref="AV7:AV38" si="27">IF($AG7="","",IF(OR(N($AO7)&gt;0,N($AQ7)&gt;0),"SACO COMPLETO UNIDO",IF(OR(N($AI7)&gt;0,N($AJ7)&gt;0,N($AK7)&gt;0,N($AL7)&gt;0),"SALDO SOBRANTE","")))</f>
        <v/>
      </c>
      <c r="AW7" s="105"/>
      <c r="AX7" s="105"/>
      <c r="AY7" s="105"/>
      <c r="AZ7" s="105"/>
      <c r="BA7" s="105"/>
      <c r="BB7" s="787" t="str">
        <f>IF(PP!B7="","",PP!B7)</f>
        <v/>
      </c>
      <c r="BC7" s="788" t="str">
        <f>IF(PP!C7="","",PP!C7)</f>
        <v/>
      </c>
      <c r="BD7" s="788" t="str">
        <f>IF(PP!D7="","",PP!D7)</f>
        <v/>
      </c>
      <c r="BE7" s="788" t="str">
        <f>IF(PP!E7="","",PP!E7)</f>
        <v/>
      </c>
      <c r="BF7" s="788" t="str">
        <f>IF(PP!F7="","",PP!F7)</f>
        <v/>
      </c>
      <c r="BG7" s="788" t="str">
        <f>IF(PP!G7="","",PP!G7)</f>
        <v/>
      </c>
      <c r="BH7" s="788" t="str">
        <f>IF(PP!H7="","",PP!H7)</f>
        <v/>
      </c>
      <c r="BI7" s="788" t="str">
        <f>IF(PP!I7="","",PP!I7)</f>
        <v/>
      </c>
      <c r="BJ7" s="788"/>
      <c r="BK7" s="788"/>
      <c r="BL7" s="2885"/>
      <c r="BN7" s="773" t="str">
        <f>IF(PP!L7="","",PP!L7)</f>
        <v/>
      </c>
      <c r="BO7" s="765" t="str">
        <f>IF(PP!M7="","",PP!M7)</f>
        <v/>
      </c>
      <c r="BP7" s="755"/>
    </row>
    <row r="8" spans="1:68" ht="27" customHeight="1" thickBot="1">
      <c r="A8" s="933" t="str">
        <f>IFERROR(INDEX($N$7:$N$55,_xlfn.AGGREGATE(15,6,(ROW($X$7:$X$55)-ROW($X$7)+1)/($X$7:$X$55&gt;0),ROWS($B$7:B8))),"")</f>
        <v/>
      </c>
      <c r="B8" s="934" t="str">
        <f>IFERROR(UPPER(INDEX($O$7:$Y$55,_xlfn.AGGREGATE(15,6,(ROW($X$7:$X$55)-ROW($X$7)+1)/($X$7:$X$55&gt;0),ROWS($B$7:B8)),1)),"")</f>
        <v/>
      </c>
      <c r="C8" s="935" t="str">
        <f>IFERROR(INDEX($O$7:$Y$55,_xlfn.AGGREGATE(15,6,(ROW($X$7:$X$55)-ROW($X$7)+1)/($X$7:$X$55&gt;0),ROWS($B$7:B8)),2),"")</f>
        <v/>
      </c>
      <c r="D8" s="928" t="str">
        <f>IFERROR(INDEX($O$7:$Y$55,_xlfn.AGGREGATE(15,6,(ROW($X$7:$X$55)-ROW($X$7)+1)/($X$7:$X$55&gt;0),ROWS($B$7:B8)),4),"")</f>
        <v/>
      </c>
      <c r="E8" s="935" t="str">
        <f t="shared" si="0"/>
        <v/>
      </c>
      <c r="F8" s="935" t="str">
        <f>IFERROR(INDEX($O$7:$Y$55,_xlfn.AGGREGATE(15,6,(ROW($X$7:$X$55)-ROW($X$7)+1)/($X$7:$X$55&gt;0),ROWS($B$7:B8)),6),"")</f>
        <v/>
      </c>
      <c r="G8" s="928" t="str">
        <f>IFERROR(INDEX($O$7:$Y$55,_xlfn.AGGREGATE(15,6,(ROW($X$7:$X$55)-ROW($X$7)+1)/($X$7:$X$55&gt;0),ROWS($B$7:B8)),8),"")</f>
        <v/>
      </c>
      <c r="H8" s="935" t="str">
        <f t="shared" si="1"/>
        <v/>
      </c>
      <c r="I8" s="928" t="str">
        <f>IFERROR(INDEX($O$7:$Y$55,_xlfn.AGGREGATE(15,6,(ROW($X$7:$X$55)-ROW($X$7)+1)/($X$7:$X$55&gt;0),ROWS($B$7:B8)),10),"")</f>
        <v/>
      </c>
      <c r="J8" s="935" t="str">
        <f t="shared" si="2"/>
        <v/>
      </c>
      <c r="K8" s="936" t="str">
        <f t="shared" si="3"/>
        <v/>
      </c>
      <c r="L8" s="936" t="str">
        <f t="shared" si="4"/>
        <v/>
      </c>
      <c r="M8" s="937" t="str">
        <f t="shared" si="5"/>
        <v/>
      </c>
      <c r="N8" s="932">
        <f>'ENV. PLACAS'!C7</f>
        <v>2</v>
      </c>
      <c r="O8" s="751" t="str">
        <f>IFERROR(UPPER('ENV. PLACAS'!D7),"")</f>
        <v>ANILLAS AMARILLAS SM ST</v>
      </c>
      <c r="P8" s="768">
        <f>'ENV. PLACAS'!AC7</f>
        <v>0</v>
      </c>
      <c r="Q8" s="768">
        <f>'ENV. PLACAS'!AD7</f>
        <v>0</v>
      </c>
      <c r="R8" s="751">
        <f>'ENV. PLACAS'!AE7</f>
        <v>0</v>
      </c>
      <c r="S8" s="751" t="str">
        <f t="shared" si="6"/>
        <v/>
      </c>
      <c r="T8" s="751">
        <f>SUMIF('RES-EN'!$D$6:$D$53,O8,'RES-EN'!$Q$6:$Q$53)</f>
        <v>0</v>
      </c>
      <c r="U8" s="751">
        <f>SUMIF('RES-EN'!$D$6:$D$53,O8,'RES-EN'!$R$6:$R$53)</f>
        <v>0</v>
      </c>
      <c r="V8" s="751">
        <f>SUMIF('RES-EN'!$D$6:$D$53,O8,'RES-EN'!$S$6:$S$53)</f>
        <v>0</v>
      </c>
      <c r="W8" s="751" t="str">
        <f t="shared" si="7"/>
        <v/>
      </c>
      <c r="X8" s="751">
        <f t="shared" si="8"/>
        <v>0</v>
      </c>
      <c r="Y8" s="751" t="str">
        <f t="shared" si="9"/>
        <v/>
      </c>
      <c r="Z8" s="105"/>
      <c r="AA8" s="918" t="str">
        <f>IFERROR(INDEX($N$7:$N$55,_xlfn.AGGREGATE(15,6,(ROW($O$7:$O$55)-ROW($O$7)+1)/(((MOD($R$7:$R$55,$B$3)&gt;0)+(MOD($V$7:$V$55,$B$3)&gt;0))&gt;0),ROWS($AA$7:AA8))),"")</f>
        <v/>
      </c>
      <c r="AB8" s="919" t="str">
        <f t="shared" si="10"/>
        <v/>
      </c>
      <c r="AC8" s="900" t="str">
        <f t="shared" si="11"/>
        <v/>
      </c>
      <c r="AD8" s="900" t="str">
        <f t="shared" si="12"/>
        <v/>
      </c>
      <c r="AE8" s="920" t="str">
        <f t="shared" si="13"/>
        <v/>
      </c>
      <c r="AF8" s="105"/>
      <c r="AG8" s="898" t="str">
        <f t="shared" si="14"/>
        <v/>
      </c>
      <c r="AH8" s="899" t="str">
        <f t="shared" si="15"/>
        <v/>
      </c>
      <c r="AI8" s="900" t="str">
        <f t="shared" si="16"/>
        <v/>
      </c>
      <c r="AJ8" s="900" t="str">
        <f t="shared" si="17"/>
        <v/>
      </c>
      <c r="AK8" s="901"/>
      <c r="AL8" s="901"/>
      <c r="AM8" s="902" t="str">
        <f t="shared" si="18"/>
        <v/>
      </c>
      <c r="AN8" s="902" t="str">
        <f t="shared" si="19"/>
        <v/>
      </c>
      <c r="AO8" s="902" t="str">
        <f t="shared" si="20"/>
        <v/>
      </c>
      <c r="AP8" s="900" t="str">
        <f t="shared" si="21"/>
        <v/>
      </c>
      <c r="AQ8" s="902" t="str">
        <f t="shared" si="22"/>
        <v/>
      </c>
      <c r="AR8" s="900" t="str">
        <f t="shared" si="23"/>
        <v/>
      </c>
      <c r="AS8" s="902" t="str">
        <f t="shared" si="24"/>
        <v/>
      </c>
      <c r="AT8" s="902" t="str">
        <f t="shared" si="25"/>
        <v/>
      </c>
      <c r="AU8" s="902" t="str">
        <f t="shared" si="26"/>
        <v/>
      </c>
      <c r="AV8" s="903" t="str">
        <f t="shared" si="27"/>
        <v/>
      </c>
      <c r="AW8" s="105"/>
      <c r="AX8" s="105"/>
      <c r="AY8" s="105"/>
      <c r="AZ8" s="105"/>
      <c r="BA8" s="105"/>
      <c r="BB8" s="790" t="str">
        <f>IF(PP!C8="","",PP!C8)</f>
        <v>CLIENTE :</v>
      </c>
      <c r="BC8" s="791"/>
      <c r="BD8" s="792" t="s">
        <v>450</v>
      </c>
      <c r="BE8" s="18"/>
      <c r="BF8" s="788" t="str">
        <f>IF(PP!F8="","",PP!F8)</f>
        <v/>
      </c>
      <c r="BG8" s="788" t="str">
        <f>IF(PP!G8="","",PP!G8)</f>
        <v/>
      </c>
      <c r="BH8" s="788" t="str">
        <f>IF(PP!H8="","",PP!H8)</f>
        <v/>
      </c>
      <c r="BI8" s="788" t="str">
        <f>IF(PP!I8="","",PP!I8)</f>
        <v/>
      </c>
      <c r="BJ8" s="788"/>
      <c r="BK8" s="788"/>
      <c r="BL8" s="788" t="str">
        <f>IF(PP!J8="","",PP!J8)</f>
        <v/>
      </c>
      <c r="BM8" s="776" t="str">
        <f>IF(PP!K8="","",PP!K8)</f>
        <v/>
      </c>
      <c r="BN8" s="773" t="str">
        <f>IF(PP!L8="","",PP!L8)</f>
        <v/>
      </c>
      <c r="BO8" s="765" t="str">
        <f>IF(PP!M8="","",PP!M8)</f>
        <v/>
      </c>
      <c r="BP8" s="755"/>
    </row>
    <row r="9" spans="1:68" ht="27" customHeight="1">
      <c r="A9" s="933" t="str">
        <f>IFERROR(INDEX($N$7:$N$55,_xlfn.AGGREGATE(15,6,(ROW($X$7:$X$55)-ROW($X$7)+1)/($X$7:$X$55&gt;0),ROWS($B$7:B9))),"")</f>
        <v/>
      </c>
      <c r="B9" s="934" t="str">
        <f>IFERROR(UPPER(INDEX($O$7:$Y$55,_xlfn.AGGREGATE(15,6,(ROW($X$7:$X$55)-ROW($X$7)+1)/($X$7:$X$55&gt;0),ROWS($B$7:B9)),1)),"")</f>
        <v/>
      </c>
      <c r="C9" s="935" t="str">
        <f>IFERROR(INDEX($O$7:$Y$55,_xlfn.AGGREGATE(15,6,(ROW($X$7:$X$55)-ROW($X$7)+1)/($X$7:$X$55&gt;0),ROWS($B$7:B9)),2),"")</f>
        <v/>
      </c>
      <c r="D9" s="928" t="str">
        <f>IFERROR(INDEX($O$7:$Y$55,_xlfn.AGGREGATE(15,6,(ROW($X$7:$X$55)-ROW($X$7)+1)/($X$7:$X$55&gt;0),ROWS($B$7:B9)),4),"")</f>
        <v/>
      </c>
      <c r="E9" s="935" t="str">
        <f t="shared" si="0"/>
        <v/>
      </c>
      <c r="F9" s="935" t="str">
        <f>IFERROR(INDEX($O$7:$Y$55,_xlfn.AGGREGATE(15,6,(ROW($X$7:$X$55)-ROW($X$7)+1)/($X$7:$X$55&gt;0),ROWS($B$7:B9)),6),"")</f>
        <v/>
      </c>
      <c r="G9" s="928" t="str">
        <f>IFERROR(INDEX($O$7:$Y$55,_xlfn.AGGREGATE(15,6,(ROW($X$7:$X$55)-ROW($X$7)+1)/($X$7:$X$55&gt;0),ROWS($B$7:B9)),8),"")</f>
        <v/>
      </c>
      <c r="H9" s="935" t="str">
        <f t="shared" si="1"/>
        <v/>
      </c>
      <c r="I9" s="928" t="str">
        <f>IFERROR(INDEX($O$7:$Y$55,_xlfn.AGGREGATE(15,6,(ROW($X$7:$X$55)-ROW($X$7)+1)/($X$7:$X$55&gt;0),ROWS($B$7:B9)),10),"")</f>
        <v/>
      </c>
      <c r="J9" s="935" t="str">
        <f t="shared" si="2"/>
        <v/>
      </c>
      <c r="K9" s="936" t="str">
        <f t="shared" si="3"/>
        <v/>
      </c>
      <c r="L9" s="936" t="str">
        <f t="shared" si="4"/>
        <v/>
      </c>
      <c r="M9" s="937" t="str">
        <f t="shared" si="5"/>
        <v/>
      </c>
      <c r="N9" s="932">
        <f>'ENV. PLACAS'!C8</f>
        <v>3</v>
      </c>
      <c r="O9" s="751" t="str">
        <f>IFERROR(UPPER('ENV. PLACAS'!D8),"")</f>
        <v>ANILLAS BLANCAS SM ST MEDIANA</v>
      </c>
      <c r="P9" s="768">
        <f>'ENV. PLACAS'!AC8</f>
        <v>0</v>
      </c>
      <c r="Q9" s="768">
        <f>'ENV. PLACAS'!AD8</f>
        <v>0</v>
      </c>
      <c r="R9" s="751">
        <f>'ENV. PLACAS'!AE8</f>
        <v>0</v>
      </c>
      <c r="S9" s="751" t="str">
        <f t="shared" si="6"/>
        <v/>
      </c>
      <c r="T9" s="751">
        <f>SUMIF('RES-EN'!$D$6:$D$53,O9,'RES-EN'!$Q$6:$Q$53)</f>
        <v>0</v>
      </c>
      <c r="U9" s="751">
        <f>SUMIF('RES-EN'!$D$6:$D$53,O9,'RES-EN'!$R$6:$R$53)</f>
        <v>0</v>
      </c>
      <c r="V9" s="751">
        <f>SUMIF('RES-EN'!$D$6:$D$53,O9,'RES-EN'!$S$6:$S$53)</f>
        <v>0</v>
      </c>
      <c r="W9" s="751" t="str">
        <f t="shared" si="7"/>
        <v/>
      </c>
      <c r="X9" s="751">
        <f t="shared" si="8"/>
        <v>0</v>
      </c>
      <c r="Y9" s="751" t="str">
        <f t="shared" si="9"/>
        <v/>
      </c>
      <c r="Z9" s="105"/>
      <c r="AA9" s="918" t="str">
        <f>IFERROR(INDEX($N$7:$N$55,_xlfn.AGGREGATE(15,6,(ROW($O$7:$O$55)-ROW($O$7)+1)/(((MOD($R$7:$R$55,$B$3)&gt;0)+(MOD($V$7:$V$55,$B$3)&gt;0))&gt;0),ROWS($AA$7:AA9))),"")</f>
        <v/>
      </c>
      <c r="AB9" s="919" t="str">
        <f t="shared" si="10"/>
        <v/>
      </c>
      <c r="AC9" s="900" t="str">
        <f t="shared" si="11"/>
        <v/>
      </c>
      <c r="AD9" s="900" t="str">
        <f t="shared" si="12"/>
        <v/>
      </c>
      <c r="AE9" s="920" t="str">
        <f t="shared" si="13"/>
        <v/>
      </c>
      <c r="AF9" s="105"/>
      <c r="AG9" s="898" t="str">
        <f t="shared" si="14"/>
        <v/>
      </c>
      <c r="AH9" s="899" t="str">
        <f t="shared" si="15"/>
        <v/>
      </c>
      <c r="AI9" s="900" t="str">
        <f t="shared" si="16"/>
        <v/>
      </c>
      <c r="AJ9" s="900" t="str">
        <f t="shared" si="17"/>
        <v/>
      </c>
      <c r="AK9" s="901"/>
      <c r="AL9" s="901"/>
      <c r="AM9" s="902" t="str">
        <f t="shared" si="18"/>
        <v/>
      </c>
      <c r="AN9" s="902" t="str">
        <f t="shared" si="19"/>
        <v/>
      </c>
      <c r="AO9" s="902" t="str">
        <f t="shared" si="20"/>
        <v/>
      </c>
      <c r="AP9" s="900" t="str">
        <f t="shared" si="21"/>
        <v/>
      </c>
      <c r="AQ9" s="902" t="str">
        <f t="shared" si="22"/>
        <v/>
      </c>
      <c r="AR9" s="900" t="str">
        <f t="shared" si="23"/>
        <v/>
      </c>
      <c r="AS9" s="902" t="str">
        <f t="shared" si="24"/>
        <v/>
      </c>
      <c r="AT9" s="902" t="str">
        <f t="shared" si="25"/>
        <v/>
      </c>
      <c r="AU9" s="902" t="str">
        <f t="shared" si="26"/>
        <v/>
      </c>
      <c r="AV9" s="903" t="str">
        <f t="shared" si="27"/>
        <v/>
      </c>
      <c r="AW9" s="105"/>
      <c r="AX9" s="105"/>
      <c r="AY9" s="105"/>
      <c r="AZ9" s="105"/>
      <c r="BA9" s="105"/>
      <c r="BB9" s="793" t="str">
        <f>IF(PP!C9="","",PP!C9)</f>
        <v xml:space="preserve">MATERIA PRIMA: </v>
      </c>
      <c r="BC9" s="794"/>
      <c r="BD9" s="795" t="str">
        <f>IF(PP!E9="","",PP!E9)</f>
        <v>POTA A GRANEL</v>
      </c>
      <c r="BE9" s="18"/>
      <c r="BF9" s="788" t="str">
        <f>IF(PP!F9="","",PP!F9)</f>
        <v/>
      </c>
      <c r="BG9" s="788" t="str">
        <f>IF(PP!G9="","",PP!G9)</f>
        <v/>
      </c>
      <c r="BH9" s="788" t="str">
        <f>IF(PP!H9="","",PP!H9)</f>
        <v/>
      </c>
      <c r="BI9" s="788" t="str">
        <f>IF(PP!I9="","",PP!I9)</f>
        <v/>
      </c>
      <c r="BJ9" s="788"/>
      <c r="BK9" s="788"/>
      <c r="BL9" s="787" t="str">
        <f>IF(PP!J9="","",PP!J9)</f>
        <v/>
      </c>
      <c r="BM9" s="16" t="str">
        <f>IF(PP!K9="","",PP!K9)</f>
        <v/>
      </c>
      <c r="BN9" s="764" t="str">
        <f>IF(PP!L9="","",PP!L9)</f>
        <v/>
      </c>
      <c r="BO9" s="765" t="str">
        <f>IF(PP!M9="","",PP!M9)</f>
        <v/>
      </c>
      <c r="BP9" s="755"/>
    </row>
    <row r="10" spans="1:68" ht="27" customHeight="1">
      <c r="A10" s="933" t="str">
        <f>IFERROR(INDEX($N$7:$N$55,_xlfn.AGGREGATE(15,6,(ROW($X$7:$X$55)-ROW($X$7)+1)/($X$7:$X$55&gt;0),ROWS($B$7:B10))),"")</f>
        <v/>
      </c>
      <c r="B10" s="934" t="str">
        <f>IFERROR(UPPER(INDEX($O$7:$Y$55,_xlfn.AGGREGATE(15,6,(ROW($X$7:$X$55)-ROW($X$7)+1)/($X$7:$X$55&gt;0),ROWS($B$7:B10)),1)),"")</f>
        <v/>
      </c>
      <c r="C10" s="935" t="str">
        <f>IFERROR(INDEX($O$7:$Y$55,_xlfn.AGGREGATE(15,6,(ROW($X$7:$X$55)-ROW($X$7)+1)/($X$7:$X$55&gt;0),ROWS($B$7:B10)),2),"")</f>
        <v/>
      </c>
      <c r="D10" s="928" t="str">
        <f>IFERROR(INDEX($O$7:$Y$55,_xlfn.AGGREGATE(15,6,(ROW($X$7:$X$55)-ROW($X$7)+1)/($X$7:$X$55&gt;0),ROWS($B$7:B10)),4),"")</f>
        <v/>
      </c>
      <c r="E10" s="935" t="str">
        <f t="shared" si="0"/>
        <v/>
      </c>
      <c r="F10" s="935" t="str">
        <f>IFERROR(INDEX($O$7:$Y$55,_xlfn.AGGREGATE(15,6,(ROW($X$7:$X$55)-ROW($X$7)+1)/($X$7:$X$55&gt;0),ROWS($B$7:B10)),6),"")</f>
        <v/>
      </c>
      <c r="G10" s="928" t="str">
        <f>IFERROR(INDEX($O$7:$Y$55,_xlfn.AGGREGATE(15,6,(ROW($X$7:$X$55)-ROW($X$7)+1)/($X$7:$X$55&gt;0),ROWS($B$7:B10)),8),"")</f>
        <v/>
      </c>
      <c r="H10" s="935" t="str">
        <f t="shared" si="1"/>
        <v/>
      </c>
      <c r="I10" s="928" t="str">
        <f>IFERROR(INDEX($O$7:$Y$55,_xlfn.AGGREGATE(15,6,(ROW($X$7:$X$55)-ROW($X$7)+1)/($X$7:$X$55&gt;0),ROWS($B$7:B10)),10),"")</f>
        <v/>
      </c>
      <c r="J10" s="935" t="str">
        <f t="shared" si="2"/>
        <v/>
      </c>
      <c r="K10" s="936" t="str">
        <f t="shared" si="3"/>
        <v/>
      </c>
      <c r="L10" s="936" t="str">
        <f t="shared" si="4"/>
        <v/>
      </c>
      <c r="M10" s="937" t="str">
        <f t="shared" si="5"/>
        <v/>
      </c>
      <c r="N10" s="932">
        <f>'ENV. PLACAS'!C9</f>
        <v>4</v>
      </c>
      <c r="O10" s="751" t="str">
        <f>IFERROR(UPPER('ENV. PLACAS'!D9),"")</f>
        <v>ALETA FRESCA CORTE CRUZ</v>
      </c>
      <c r="P10" s="768">
        <f>'ENV. PLACAS'!AC9</f>
        <v>0</v>
      </c>
      <c r="Q10" s="768">
        <f>'ENV. PLACAS'!AD9</f>
        <v>0</v>
      </c>
      <c r="R10" s="751">
        <f>'ENV. PLACAS'!AE9</f>
        <v>0</v>
      </c>
      <c r="S10" s="751" t="str">
        <f t="shared" si="6"/>
        <v/>
      </c>
      <c r="T10" s="751">
        <f>SUMIF('RES-EN'!$D$6:$D$53,O10,'RES-EN'!$Q$6:$Q$53)</f>
        <v>0</v>
      </c>
      <c r="U10" s="751">
        <f>SUMIF('RES-EN'!$D$6:$D$53,O10,'RES-EN'!$R$6:$R$53)</f>
        <v>0</v>
      </c>
      <c r="V10" s="751">
        <f>SUMIF('RES-EN'!$D$6:$D$53,O10,'RES-EN'!$S$6:$S$53)</f>
        <v>0</v>
      </c>
      <c r="W10" s="751" t="str">
        <f t="shared" si="7"/>
        <v/>
      </c>
      <c r="X10" s="751">
        <f t="shared" si="8"/>
        <v>0</v>
      </c>
      <c r="Y10" s="751" t="str">
        <f t="shared" si="9"/>
        <v/>
      </c>
      <c r="Z10" s="105"/>
      <c r="AA10" s="918" t="str">
        <f>IFERROR(INDEX($N$7:$N$55,_xlfn.AGGREGATE(15,6,(ROW($O$7:$O$55)-ROW($O$7)+1)/(((MOD($R$7:$R$55,$B$3)&gt;0)+(MOD($V$7:$V$55,$B$3)&gt;0))&gt;0),ROWS($AA$7:AA10))),"")</f>
        <v/>
      </c>
      <c r="AB10" s="919" t="str">
        <f t="shared" si="10"/>
        <v/>
      </c>
      <c r="AC10" s="900" t="str">
        <f t="shared" si="11"/>
        <v/>
      </c>
      <c r="AD10" s="900" t="str">
        <f t="shared" si="12"/>
        <v/>
      </c>
      <c r="AE10" s="920" t="str">
        <f t="shared" si="13"/>
        <v/>
      </c>
      <c r="AF10" s="105"/>
      <c r="AG10" s="898" t="str">
        <f t="shared" si="14"/>
        <v/>
      </c>
      <c r="AH10" s="899" t="str">
        <f t="shared" si="15"/>
        <v/>
      </c>
      <c r="AI10" s="900" t="str">
        <f t="shared" si="16"/>
        <v/>
      </c>
      <c r="AJ10" s="900" t="str">
        <f t="shared" si="17"/>
        <v/>
      </c>
      <c r="AK10" s="901"/>
      <c r="AL10" s="901"/>
      <c r="AM10" s="902" t="str">
        <f t="shared" si="18"/>
        <v/>
      </c>
      <c r="AN10" s="902" t="str">
        <f t="shared" si="19"/>
        <v/>
      </c>
      <c r="AO10" s="902" t="str">
        <f t="shared" si="20"/>
        <v/>
      </c>
      <c r="AP10" s="900" t="str">
        <f t="shared" si="21"/>
        <v/>
      </c>
      <c r="AQ10" s="902" t="str">
        <f t="shared" si="22"/>
        <v/>
      </c>
      <c r="AR10" s="900" t="str">
        <f t="shared" si="23"/>
        <v/>
      </c>
      <c r="AS10" s="902" t="str">
        <f t="shared" si="24"/>
        <v/>
      </c>
      <c r="AT10" s="902" t="str">
        <f t="shared" si="25"/>
        <v/>
      </c>
      <c r="AU10" s="902" t="str">
        <f t="shared" si="26"/>
        <v/>
      </c>
      <c r="AV10" s="903" t="str">
        <f t="shared" si="27"/>
        <v/>
      </c>
      <c r="AW10" s="105"/>
      <c r="AX10" s="105"/>
      <c r="AY10" s="105"/>
      <c r="AZ10" s="105"/>
      <c r="BA10" s="105"/>
      <c r="BB10" s="796" t="str">
        <f>IF(PP!C10="","",PP!C10)</f>
        <v>FECHA RECEPCIÓN:</v>
      </c>
      <c r="BC10" s="797"/>
      <c r="BD10" s="798">
        <f>IF(PP!E10="","",PP!E10)</f>
        <v>46199</v>
      </c>
      <c r="BE10" s="18"/>
      <c r="BF10" s="788" t="str">
        <f>IF(PP!F10="","",PP!F10)</f>
        <v/>
      </c>
      <c r="BG10" s="788" t="str">
        <f>IF(PP!G10="","",PP!G10)</f>
        <v/>
      </c>
      <c r="BH10" s="788" t="str">
        <f>IF(PP!H10="","",PP!H10)</f>
        <v/>
      </c>
      <c r="BI10" s="788" t="str">
        <f>IF(PP!I10="","",PP!I10)</f>
        <v/>
      </c>
      <c r="BJ10" s="788"/>
      <c r="BK10" s="788"/>
      <c r="BL10" s="799" t="str">
        <f>IF(PP!J10="","",PP!J10)</f>
        <v/>
      </c>
      <c r="BM10" s="16" t="str">
        <f>IF(PP!K10="","",PP!K10)</f>
        <v/>
      </c>
      <c r="BN10" s="764" t="str">
        <f>IF(PP!L10="","",PP!L10)</f>
        <v/>
      </c>
      <c r="BO10" s="765" t="str">
        <f>IF(PP!M10="","",PP!M10)</f>
        <v/>
      </c>
      <c r="BP10" s="755"/>
    </row>
    <row r="11" spans="1:68" ht="27" customHeight="1">
      <c r="A11" s="933" t="str">
        <f>IFERROR(INDEX($N$7:$N$55,_xlfn.AGGREGATE(15,6,(ROW($X$7:$X$55)-ROW($X$7)+1)/($X$7:$X$55&gt;0),ROWS($B$7:B11))),"")</f>
        <v/>
      </c>
      <c r="B11" s="934" t="str">
        <f>IFERROR(UPPER(INDEX($O$7:$Y$55,_xlfn.AGGREGATE(15,6,(ROW($X$7:$X$55)-ROW($X$7)+1)/($X$7:$X$55&gt;0),ROWS($B$7:B11)),1)),"")</f>
        <v/>
      </c>
      <c r="C11" s="935" t="str">
        <f>IFERROR(INDEX($O$7:$Y$55,_xlfn.AGGREGATE(15,6,(ROW($X$7:$X$55)-ROW($X$7)+1)/($X$7:$X$55&gt;0),ROWS($B$7:B11)),2),"")</f>
        <v/>
      </c>
      <c r="D11" s="928" t="str">
        <f>IFERROR(INDEX($O$7:$Y$55,_xlfn.AGGREGATE(15,6,(ROW($X$7:$X$55)-ROW($X$7)+1)/($X$7:$X$55&gt;0),ROWS($B$7:B11)),4),"")</f>
        <v/>
      </c>
      <c r="E11" s="935" t="str">
        <f t="shared" si="0"/>
        <v/>
      </c>
      <c r="F11" s="935" t="str">
        <f>IFERROR(INDEX($O$7:$Y$55,_xlfn.AGGREGATE(15,6,(ROW($X$7:$X$55)-ROW($X$7)+1)/($X$7:$X$55&gt;0),ROWS($B$7:B11)),6),"")</f>
        <v/>
      </c>
      <c r="G11" s="928" t="str">
        <f>IFERROR(INDEX($O$7:$Y$55,_xlfn.AGGREGATE(15,6,(ROW($X$7:$X$55)-ROW($X$7)+1)/($X$7:$X$55&gt;0),ROWS($B$7:B11)),8),"")</f>
        <v/>
      </c>
      <c r="H11" s="935" t="str">
        <f t="shared" si="1"/>
        <v/>
      </c>
      <c r="I11" s="928" t="str">
        <f>IFERROR(INDEX($O$7:$Y$55,_xlfn.AGGREGATE(15,6,(ROW($X$7:$X$55)-ROW($X$7)+1)/($X$7:$X$55&gt;0),ROWS($B$7:B11)),10),"")</f>
        <v/>
      </c>
      <c r="J11" s="935" t="str">
        <f t="shared" si="2"/>
        <v/>
      </c>
      <c r="K11" s="936" t="str">
        <f t="shared" si="3"/>
        <v/>
      </c>
      <c r="L11" s="936" t="str">
        <f t="shared" si="4"/>
        <v/>
      </c>
      <c r="M11" s="937" t="str">
        <f t="shared" si="5"/>
        <v/>
      </c>
      <c r="N11" s="932">
        <f>'ENV. PLACAS'!C10</f>
        <v>5</v>
      </c>
      <c r="O11" s="751" t="str">
        <f>IFERROR(UPPER('ENV. PLACAS'!D10),"")</f>
        <v>ALETA ENTERA 100-500 G/PZA</v>
      </c>
      <c r="P11" s="768">
        <f>'ENV. PLACAS'!AC10</f>
        <v>0</v>
      </c>
      <c r="Q11" s="768">
        <f>'ENV. PLACAS'!AD10</f>
        <v>0</v>
      </c>
      <c r="R11" s="751">
        <f>'ENV. PLACAS'!AE10</f>
        <v>0</v>
      </c>
      <c r="S11" s="751" t="str">
        <f t="shared" si="6"/>
        <v/>
      </c>
      <c r="T11" s="751">
        <f>SUMIF('RES-EN'!$D$6:$D$53,O11,'RES-EN'!$Q$6:$Q$53)</f>
        <v>0</v>
      </c>
      <c r="U11" s="751">
        <f>SUMIF('RES-EN'!$D$6:$D$53,O11,'RES-EN'!$R$6:$R$53)</f>
        <v>0</v>
      </c>
      <c r="V11" s="751">
        <f>SUMIF('RES-EN'!$D$6:$D$53,O11,'RES-EN'!$S$6:$S$53)</f>
        <v>0</v>
      </c>
      <c r="W11" s="751" t="str">
        <f t="shared" si="7"/>
        <v/>
      </c>
      <c r="X11" s="751">
        <f t="shared" si="8"/>
        <v>0</v>
      </c>
      <c r="Y11" s="751" t="str">
        <f t="shared" si="9"/>
        <v/>
      </c>
      <c r="Z11" s="105"/>
      <c r="AA11" s="918" t="str">
        <f>IFERROR(INDEX($N$7:$N$55,_xlfn.AGGREGATE(15,6,(ROW($O$7:$O$55)-ROW($O$7)+1)/(((MOD($R$7:$R$55,$B$3)&gt;0)+(MOD($V$7:$V$55,$B$3)&gt;0))&gt;0),ROWS($AA$7:AA11))),"")</f>
        <v/>
      </c>
      <c r="AB11" s="919" t="str">
        <f t="shared" si="10"/>
        <v/>
      </c>
      <c r="AC11" s="900" t="str">
        <f t="shared" si="11"/>
        <v/>
      </c>
      <c r="AD11" s="900" t="str">
        <f t="shared" si="12"/>
        <v/>
      </c>
      <c r="AE11" s="920" t="str">
        <f t="shared" si="13"/>
        <v/>
      </c>
      <c r="AF11" s="105"/>
      <c r="AG11" s="898" t="str">
        <f t="shared" si="14"/>
        <v/>
      </c>
      <c r="AH11" s="899" t="str">
        <f t="shared" si="15"/>
        <v/>
      </c>
      <c r="AI11" s="900" t="str">
        <f t="shared" si="16"/>
        <v/>
      </c>
      <c r="AJ11" s="900" t="str">
        <f t="shared" si="17"/>
        <v/>
      </c>
      <c r="AK11" s="901"/>
      <c r="AL11" s="901"/>
      <c r="AM11" s="902" t="str">
        <f t="shared" si="18"/>
        <v/>
      </c>
      <c r="AN11" s="902" t="str">
        <f t="shared" si="19"/>
        <v/>
      </c>
      <c r="AO11" s="902" t="str">
        <f t="shared" si="20"/>
        <v/>
      </c>
      <c r="AP11" s="900" t="str">
        <f t="shared" si="21"/>
        <v/>
      </c>
      <c r="AQ11" s="902" t="str">
        <f t="shared" si="22"/>
        <v/>
      </c>
      <c r="AR11" s="900" t="str">
        <f t="shared" si="23"/>
        <v/>
      </c>
      <c r="AS11" s="902" t="str">
        <f t="shared" si="24"/>
        <v/>
      </c>
      <c r="AT11" s="902" t="str">
        <f t="shared" si="25"/>
        <v/>
      </c>
      <c r="AU11" s="902" t="str">
        <f t="shared" si="26"/>
        <v/>
      </c>
      <c r="AV11" s="903" t="str">
        <f t="shared" si="27"/>
        <v/>
      </c>
      <c r="AW11" s="105"/>
      <c r="AX11" s="105"/>
      <c r="AY11" s="105"/>
      <c r="AZ11" s="105"/>
      <c r="BA11" s="105"/>
      <c r="BB11" s="796" t="str">
        <f>IF(PP!C11="","",PP!C11)</f>
        <v>FECHA DE EMPAQUE:</v>
      </c>
      <c r="BC11" s="797"/>
      <c r="BD11" s="800">
        <f>IF(PP!E11="","",PP!E11)</f>
        <v>46200</v>
      </c>
      <c r="BE11" s="18"/>
      <c r="BF11" s="787" t="str">
        <f>IF(PP!F11="","",PP!F11)</f>
        <v/>
      </c>
      <c r="BG11" s="787" t="str">
        <f>IF(PP!G11="","",PP!G11)</f>
        <v/>
      </c>
      <c r="BH11" s="787" t="str">
        <f>IF(PP!H11="","",PP!H11)</f>
        <v/>
      </c>
      <c r="BI11" s="801" t="str">
        <f>IF(PP!I11="","",PP!I11)</f>
        <v/>
      </c>
      <c r="BJ11" s="801"/>
      <c r="BK11" s="801"/>
      <c r="BL11" s="799" t="str">
        <f>IF(PP!J11="","",PP!J11)</f>
        <v/>
      </c>
      <c r="BM11" s="16" t="str">
        <f>IF(PP!K11="","",PP!K11)</f>
        <v/>
      </c>
      <c r="BN11" s="764" t="str">
        <f>IF(PP!L11="","",PP!L11)</f>
        <v/>
      </c>
      <c r="BO11" s="765" t="str">
        <f>IF(PP!M11="","",PP!M11)</f>
        <v/>
      </c>
      <c r="BP11" s="755"/>
    </row>
    <row r="12" spans="1:68" ht="27" customHeight="1">
      <c r="A12" s="933" t="str">
        <f>IFERROR(INDEX($N$7:$N$55,_xlfn.AGGREGATE(15,6,(ROW($X$7:$X$55)-ROW($X$7)+1)/($X$7:$X$55&gt;0),ROWS($B$7:B12))),"")</f>
        <v/>
      </c>
      <c r="B12" s="934" t="str">
        <f>IFERROR(UPPER(INDEX($O$7:$Y$55,_xlfn.AGGREGATE(15,6,(ROW($X$7:$X$55)-ROW($X$7)+1)/($X$7:$X$55&gt;0),ROWS($B$7:B12)),1)),"")</f>
        <v/>
      </c>
      <c r="C12" s="935" t="str">
        <f>IFERROR(INDEX($O$7:$Y$55,_xlfn.AGGREGATE(15,6,(ROW($X$7:$X$55)-ROW($X$7)+1)/($X$7:$X$55&gt;0),ROWS($B$7:B12)),2),"")</f>
        <v/>
      </c>
      <c r="D12" s="928" t="str">
        <f>IFERROR(INDEX($O$7:$Y$55,_xlfn.AGGREGATE(15,6,(ROW($X$7:$X$55)-ROW($X$7)+1)/($X$7:$X$55&gt;0),ROWS($B$7:B12)),4),"")</f>
        <v/>
      </c>
      <c r="E12" s="935" t="str">
        <f t="shared" si="0"/>
        <v/>
      </c>
      <c r="F12" s="935" t="str">
        <f>IFERROR(INDEX($O$7:$Y$55,_xlfn.AGGREGATE(15,6,(ROW($X$7:$X$55)-ROW($X$7)+1)/($X$7:$X$55&gt;0),ROWS($B$7:B12)),6),"")</f>
        <v/>
      </c>
      <c r="G12" s="928" t="str">
        <f>IFERROR(INDEX($O$7:$Y$55,_xlfn.AGGREGATE(15,6,(ROW($X$7:$X$55)-ROW($X$7)+1)/($X$7:$X$55&gt;0),ROWS($B$7:B12)),8),"")</f>
        <v/>
      </c>
      <c r="H12" s="935" t="str">
        <f t="shared" si="1"/>
        <v/>
      </c>
      <c r="I12" s="928" t="str">
        <f>IFERROR(INDEX($O$7:$Y$55,_xlfn.AGGREGATE(15,6,(ROW($X$7:$X$55)-ROW($X$7)+1)/($X$7:$X$55&gt;0),ROWS($B$7:B12)),10),"")</f>
        <v/>
      </c>
      <c r="J12" s="935" t="str">
        <f t="shared" si="2"/>
        <v/>
      </c>
      <c r="K12" s="936" t="str">
        <f t="shared" si="3"/>
        <v/>
      </c>
      <c r="L12" s="936" t="str">
        <f t="shared" si="4"/>
        <v/>
      </c>
      <c r="M12" s="937" t="str">
        <f t="shared" si="5"/>
        <v/>
      </c>
      <c r="N12" s="932">
        <f>'ENV. PLACAS'!C11</f>
        <v>6</v>
      </c>
      <c r="O12" s="751" t="str">
        <f>IFERROR(UPPER('ENV. PLACAS'!D11),"")</f>
        <v>ALETA ENTERA 500-1000 G/PZA</v>
      </c>
      <c r="P12" s="768">
        <f>'ENV. PLACAS'!AC11</f>
        <v>0</v>
      </c>
      <c r="Q12" s="768">
        <f>'ENV. PLACAS'!AD11</f>
        <v>0</v>
      </c>
      <c r="R12" s="751">
        <f>'ENV. PLACAS'!AE11</f>
        <v>0</v>
      </c>
      <c r="S12" s="751" t="str">
        <f t="shared" si="6"/>
        <v/>
      </c>
      <c r="T12" s="751">
        <f>SUMIF('RES-EN'!$D$6:$D$53,O12,'RES-EN'!$Q$6:$Q$53)</f>
        <v>0</v>
      </c>
      <c r="U12" s="751">
        <f>SUMIF('RES-EN'!$D$6:$D$53,O12,'RES-EN'!$R$6:$R$53)</f>
        <v>0</v>
      </c>
      <c r="V12" s="751">
        <f>SUMIF('RES-EN'!$D$6:$D$53,O12,'RES-EN'!$S$6:$S$53)</f>
        <v>0</v>
      </c>
      <c r="W12" s="751" t="str">
        <f t="shared" si="7"/>
        <v/>
      </c>
      <c r="X12" s="751">
        <f t="shared" si="8"/>
        <v>0</v>
      </c>
      <c r="Y12" s="751" t="str">
        <f t="shared" si="9"/>
        <v/>
      </c>
      <c r="Z12" s="105"/>
      <c r="AA12" s="918" t="str">
        <f>IFERROR(INDEX($N$7:$N$55,_xlfn.AGGREGATE(15,6,(ROW($O$7:$O$55)-ROW($O$7)+1)/(((MOD($R$7:$R$55,$B$3)&gt;0)+(MOD($V$7:$V$55,$B$3)&gt;0))&gt;0),ROWS($AA$7:AA12))),"")</f>
        <v/>
      </c>
      <c r="AB12" s="919" t="str">
        <f t="shared" si="10"/>
        <v/>
      </c>
      <c r="AC12" s="900" t="str">
        <f t="shared" si="11"/>
        <v/>
      </c>
      <c r="AD12" s="900" t="str">
        <f t="shared" si="12"/>
        <v/>
      </c>
      <c r="AE12" s="920" t="str">
        <f t="shared" si="13"/>
        <v/>
      </c>
      <c r="AF12" s="105"/>
      <c r="AG12" s="898" t="str">
        <f t="shared" si="14"/>
        <v/>
      </c>
      <c r="AH12" s="899" t="str">
        <f t="shared" si="15"/>
        <v/>
      </c>
      <c r="AI12" s="900" t="str">
        <f t="shared" si="16"/>
        <v/>
      </c>
      <c r="AJ12" s="900" t="str">
        <f t="shared" si="17"/>
        <v/>
      </c>
      <c r="AK12" s="901"/>
      <c r="AL12" s="901"/>
      <c r="AM12" s="902" t="str">
        <f t="shared" si="18"/>
        <v/>
      </c>
      <c r="AN12" s="902" t="str">
        <f t="shared" si="19"/>
        <v/>
      </c>
      <c r="AO12" s="902" t="str">
        <f t="shared" si="20"/>
        <v/>
      </c>
      <c r="AP12" s="900" t="str">
        <f t="shared" si="21"/>
        <v/>
      </c>
      <c r="AQ12" s="902" t="str">
        <f t="shared" si="22"/>
        <v/>
      </c>
      <c r="AR12" s="900" t="str">
        <f t="shared" si="23"/>
        <v/>
      </c>
      <c r="AS12" s="902" t="str">
        <f t="shared" si="24"/>
        <v/>
      </c>
      <c r="AT12" s="902" t="str">
        <f t="shared" si="25"/>
        <v/>
      </c>
      <c r="AU12" s="902" t="str">
        <f t="shared" si="26"/>
        <v/>
      </c>
      <c r="AV12" s="903" t="str">
        <f t="shared" si="27"/>
        <v/>
      </c>
      <c r="AW12" s="105"/>
      <c r="AX12" s="105"/>
      <c r="AY12" s="105"/>
      <c r="AZ12" s="105"/>
      <c r="BA12" s="105"/>
      <c r="BB12" s="796" t="str">
        <f>IF(PP!C12="","",PP!C12)</f>
        <v>EMPAQUE:</v>
      </c>
      <c r="BC12" s="797"/>
      <c r="BD12" s="802">
        <f>IF(PP!E12="","",PP!E12)</f>
        <v>0</v>
      </c>
      <c r="BE12" s="18"/>
      <c r="BF12" s="787" t="str">
        <f>IF(PP!F12="","",PP!F12)</f>
        <v/>
      </c>
      <c r="BG12" s="787" t="str">
        <f>IF(PP!G12="","",PP!G12)</f>
        <v/>
      </c>
      <c r="BH12" s="787" t="str">
        <f>IF(PP!H12="","",PP!H12)</f>
        <v/>
      </c>
      <c r="BI12" s="788" t="str">
        <f>IF(PP!I12="","",PP!I12)</f>
        <v/>
      </c>
      <c r="BJ12" s="788"/>
      <c r="BK12" s="788"/>
      <c r="BL12" s="803" t="str">
        <f>IF(PP!J12="","",PP!J12)</f>
        <v/>
      </c>
      <c r="BM12" s="16" t="str">
        <f>IF(PP!K12="","",PP!K12)</f>
        <v/>
      </c>
      <c r="BN12" s="764" t="str">
        <f>IF(PP!L12="","",PP!L12)</f>
        <v/>
      </c>
      <c r="BO12" s="765" t="str">
        <f>IF(PP!M12="","",PP!M12)</f>
        <v/>
      </c>
      <c r="BP12" s="755"/>
    </row>
    <row r="13" spans="1:68" ht="27" customHeight="1">
      <c r="A13" s="933" t="str">
        <f>IFERROR(INDEX($N$7:$N$55,_xlfn.AGGREGATE(15,6,(ROW($X$7:$X$55)-ROW($X$7)+1)/($X$7:$X$55&gt;0),ROWS($B$7:B13))),"")</f>
        <v/>
      </c>
      <c r="B13" s="934" t="str">
        <f>IFERROR(UPPER(INDEX($O$7:$Y$55,_xlfn.AGGREGATE(15,6,(ROW($X$7:$X$55)-ROW($X$7)+1)/($X$7:$X$55&gt;0),ROWS($B$7:B13)),1)),"")</f>
        <v/>
      </c>
      <c r="C13" s="935" t="str">
        <f>IFERROR(INDEX($O$7:$Y$55,_xlfn.AGGREGATE(15,6,(ROW($X$7:$X$55)-ROW($X$7)+1)/($X$7:$X$55&gt;0),ROWS($B$7:B13)),2),"")</f>
        <v/>
      </c>
      <c r="D13" s="928" t="str">
        <f>IFERROR(INDEX($O$7:$Y$55,_xlfn.AGGREGATE(15,6,(ROW($X$7:$X$55)-ROW($X$7)+1)/($X$7:$X$55&gt;0),ROWS($B$7:B13)),4),"")</f>
        <v/>
      </c>
      <c r="E13" s="935" t="str">
        <f t="shared" si="0"/>
        <v/>
      </c>
      <c r="F13" s="935" t="str">
        <f>IFERROR(INDEX($O$7:$Y$55,_xlfn.AGGREGATE(15,6,(ROW($X$7:$X$55)-ROW($X$7)+1)/($X$7:$X$55&gt;0),ROWS($B$7:B13)),6),"")</f>
        <v/>
      </c>
      <c r="G13" s="928" t="str">
        <f>IFERROR(INDEX($O$7:$Y$55,_xlfn.AGGREGATE(15,6,(ROW($X$7:$X$55)-ROW($X$7)+1)/($X$7:$X$55&gt;0),ROWS($B$7:B13)),8),"")</f>
        <v/>
      </c>
      <c r="H13" s="935" t="str">
        <f t="shared" si="1"/>
        <v/>
      </c>
      <c r="I13" s="928" t="str">
        <f>IFERROR(INDEX($O$7:$Y$55,_xlfn.AGGREGATE(15,6,(ROW($X$7:$X$55)-ROW($X$7)+1)/($X$7:$X$55&gt;0),ROWS($B$7:B13)),10),"")</f>
        <v/>
      </c>
      <c r="J13" s="935" t="str">
        <f t="shared" si="2"/>
        <v/>
      </c>
      <c r="K13" s="936" t="str">
        <f t="shared" si="3"/>
        <v/>
      </c>
      <c r="L13" s="936" t="str">
        <f t="shared" si="4"/>
        <v/>
      </c>
      <c r="M13" s="937" t="str">
        <f t="shared" si="5"/>
        <v/>
      </c>
      <c r="N13" s="932">
        <f>'ENV. PLACAS'!C12</f>
        <v>7</v>
      </c>
      <c r="O13" s="751" t="str">
        <f>IFERROR(UPPER('ENV. PLACAS'!D12),"")</f>
        <v>ALETA ENTERA 1.0-2.0 KG/PZA</v>
      </c>
      <c r="P13" s="768">
        <f>'ENV. PLACAS'!AC12</f>
        <v>0</v>
      </c>
      <c r="Q13" s="768">
        <f>'ENV. PLACAS'!AD12</f>
        <v>0</v>
      </c>
      <c r="R13" s="751">
        <f>'ENV. PLACAS'!AE12</f>
        <v>0</v>
      </c>
      <c r="S13" s="751" t="str">
        <f t="shared" si="6"/>
        <v/>
      </c>
      <c r="T13" s="751">
        <f>SUMIF('RES-EN'!$D$6:$D$53,O13,'RES-EN'!$Q$6:$Q$53)</f>
        <v>0</v>
      </c>
      <c r="U13" s="751">
        <f>SUMIF('RES-EN'!$D$6:$D$53,O13,'RES-EN'!$R$6:$R$53)</f>
        <v>0</v>
      </c>
      <c r="V13" s="751">
        <f>SUMIF('RES-EN'!$D$6:$D$53,O13,'RES-EN'!$S$6:$S$53)</f>
        <v>0</v>
      </c>
      <c r="W13" s="751" t="str">
        <f t="shared" si="7"/>
        <v/>
      </c>
      <c r="X13" s="751">
        <f t="shared" si="8"/>
        <v>0</v>
      </c>
      <c r="Y13" s="751" t="str">
        <f t="shared" si="9"/>
        <v/>
      </c>
      <c r="Z13" s="105"/>
      <c r="AA13" s="918" t="str">
        <f>IFERROR(INDEX($N$7:$N$55,_xlfn.AGGREGATE(15,6,(ROW($O$7:$O$55)-ROW($O$7)+1)/(((MOD($R$7:$R$55,$B$3)&gt;0)+(MOD($V$7:$V$55,$B$3)&gt;0))&gt;0),ROWS($AA$7:AA13))),"")</f>
        <v/>
      </c>
      <c r="AB13" s="919" t="str">
        <f t="shared" si="10"/>
        <v/>
      </c>
      <c r="AC13" s="900" t="str">
        <f t="shared" si="11"/>
        <v/>
      </c>
      <c r="AD13" s="900" t="str">
        <f t="shared" si="12"/>
        <v/>
      </c>
      <c r="AE13" s="920" t="str">
        <f t="shared" si="13"/>
        <v/>
      </c>
      <c r="AF13" s="105"/>
      <c r="AG13" s="898" t="str">
        <f t="shared" si="14"/>
        <v/>
      </c>
      <c r="AH13" s="899" t="str">
        <f t="shared" si="15"/>
        <v/>
      </c>
      <c r="AI13" s="900" t="str">
        <f t="shared" si="16"/>
        <v/>
      </c>
      <c r="AJ13" s="900" t="str">
        <f t="shared" si="17"/>
        <v/>
      </c>
      <c r="AK13" s="901"/>
      <c r="AL13" s="901"/>
      <c r="AM13" s="902" t="str">
        <f t="shared" si="18"/>
        <v/>
      </c>
      <c r="AN13" s="902" t="str">
        <f t="shared" si="19"/>
        <v/>
      </c>
      <c r="AO13" s="902" t="str">
        <f t="shared" si="20"/>
        <v/>
      </c>
      <c r="AP13" s="900" t="str">
        <f t="shared" si="21"/>
        <v/>
      </c>
      <c r="AQ13" s="902" t="str">
        <f t="shared" si="22"/>
        <v/>
      </c>
      <c r="AR13" s="900" t="str">
        <f t="shared" si="23"/>
        <v/>
      </c>
      <c r="AS13" s="902" t="str">
        <f t="shared" si="24"/>
        <v/>
      </c>
      <c r="AT13" s="902" t="str">
        <f t="shared" si="25"/>
        <v/>
      </c>
      <c r="AU13" s="902" t="str">
        <f t="shared" si="26"/>
        <v/>
      </c>
      <c r="AV13" s="903" t="str">
        <f t="shared" si="27"/>
        <v/>
      </c>
      <c r="AW13" s="105"/>
      <c r="AX13" s="105"/>
      <c r="AY13" s="105"/>
      <c r="AZ13" s="105"/>
      <c r="BA13" s="105"/>
      <c r="BB13" s="796" t="str">
        <f>IF(PP!C13="","",PP!C13)</f>
        <v>LOTE PLANTA:</v>
      </c>
      <c r="BC13" s="797"/>
      <c r="BD13" s="804" t="str">
        <f>IF(PP!E13="","",PP!E13)</f>
        <v>1055PPF26062026</v>
      </c>
      <c r="BE13" s="805" t="e">
        <f>+BL72/BL20</f>
        <v>#DIV/0!</v>
      </c>
      <c r="BF13" s="18"/>
      <c r="BG13" s="805" t="str">
        <f>IF(PP!G13="","",PP!G13)</f>
        <v/>
      </c>
      <c r="BH13" s="805" t="str">
        <f>IF(PP!H13="","",PP!H13)</f>
        <v/>
      </c>
      <c r="BI13" s="788" t="str">
        <f>IF(PP!I13="","",PP!I13)</f>
        <v/>
      </c>
      <c r="BJ13" s="788"/>
      <c r="BK13" s="788"/>
      <c r="BL13" s="799" t="str">
        <f>IF(PP!J13="","",PP!J13)</f>
        <v/>
      </c>
      <c r="BM13" s="16" t="str">
        <f>IF(PP!K13="","",PP!K13)</f>
        <v/>
      </c>
      <c r="BN13" s="764" t="str">
        <f>IF(PP!L13="","",PP!L13)</f>
        <v/>
      </c>
      <c r="BO13" s="765" t="str">
        <f>IF(PP!M13="","",PP!M13)</f>
        <v/>
      </c>
      <c r="BP13" s="755"/>
    </row>
    <row r="14" spans="1:68" ht="26.25" thickBot="1">
      <c r="A14" s="933" t="str">
        <f>IFERROR(INDEX($N$7:$N$55,_xlfn.AGGREGATE(15,6,(ROW($X$7:$X$55)-ROW($X$7)+1)/($X$7:$X$55&gt;0),ROWS($B$7:B14))),"")</f>
        <v/>
      </c>
      <c r="B14" s="934" t="str">
        <f>IFERROR(UPPER(INDEX($O$7:$Y$55,_xlfn.AGGREGATE(15,6,(ROW($X$7:$X$55)-ROW($X$7)+1)/($X$7:$X$55&gt;0),ROWS($B$7:B14)),1)),"")</f>
        <v/>
      </c>
      <c r="C14" s="935" t="str">
        <f>IFERROR(INDEX($O$7:$Y$55,_xlfn.AGGREGATE(15,6,(ROW($X$7:$X$55)-ROW($X$7)+1)/($X$7:$X$55&gt;0),ROWS($B$7:B14)),2),"")</f>
        <v/>
      </c>
      <c r="D14" s="928" t="str">
        <f>IFERROR(INDEX($O$7:$Y$55,_xlfn.AGGREGATE(15,6,(ROW($X$7:$X$55)-ROW($X$7)+1)/($X$7:$X$55&gt;0),ROWS($B$7:B14)),4),"")</f>
        <v/>
      </c>
      <c r="E14" s="935" t="str">
        <f t="shared" si="0"/>
        <v/>
      </c>
      <c r="F14" s="935" t="str">
        <f>IFERROR(INDEX($O$7:$Y$55,_xlfn.AGGREGATE(15,6,(ROW($X$7:$X$55)-ROW($X$7)+1)/($X$7:$X$55&gt;0),ROWS($B$7:B14)),6),"")</f>
        <v/>
      </c>
      <c r="G14" s="928" t="str">
        <f>IFERROR(INDEX($O$7:$Y$55,_xlfn.AGGREGATE(15,6,(ROW($X$7:$X$55)-ROW($X$7)+1)/($X$7:$X$55&gt;0),ROWS($B$7:B14)),8),"")</f>
        <v/>
      </c>
      <c r="H14" s="935" t="str">
        <f t="shared" si="1"/>
        <v/>
      </c>
      <c r="I14" s="928" t="str">
        <f>IFERROR(INDEX($O$7:$Y$55,_xlfn.AGGREGATE(15,6,(ROW($X$7:$X$55)-ROW($X$7)+1)/($X$7:$X$55&gt;0),ROWS($B$7:B14)),10),"")</f>
        <v/>
      </c>
      <c r="J14" s="935" t="str">
        <f t="shared" si="2"/>
        <v/>
      </c>
      <c r="K14" s="936" t="str">
        <f t="shared" si="3"/>
        <v/>
      </c>
      <c r="L14" s="936" t="str">
        <f t="shared" si="4"/>
        <v/>
      </c>
      <c r="M14" s="937" t="str">
        <f t="shared" si="5"/>
        <v/>
      </c>
      <c r="N14" s="932">
        <f>'ENV. PLACAS'!C13</f>
        <v>8</v>
      </c>
      <c r="O14" s="751" t="str">
        <f>IFERROR(UPPER('ENV. PLACAS'!D13),"")</f>
        <v>ALETA FRESCA PARTIDA 2.0-4.0 KG/PZA</v>
      </c>
      <c r="P14" s="768">
        <f>'ENV. PLACAS'!AC13</f>
        <v>0</v>
      </c>
      <c r="Q14" s="768">
        <f>'ENV. PLACAS'!AD13</f>
        <v>0</v>
      </c>
      <c r="R14" s="751">
        <f>'ENV. PLACAS'!AE13</f>
        <v>0</v>
      </c>
      <c r="S14" s="751" t="str">
        <f t="shared" si="6"/>
        <v/>
      </c>
      <c r="T14" s="751">
        <f>SUMIF('RES-EN'!$D$6:$D$53,O14,'RES-EN'!$Q$6:$Q$53)</f>
        <v>0</v>
      </c>
      <c r="U14" s="751">
        <f>SUMIF('RES-EN'!$D$6:$D$53,O14,'RES-EN'!$R$6:$R$53)</f>
        <v>0</v>
      </c>
      <c r="V14" s="751">
        <f>SUMIF('RES-EN'!$D$6:$D$53,O14,'RES-EN'!$S$6:$S$53)</f>
        <v>0</v>
      </c>
      <c r="W14" s="751" t="str">
        <f t="shared" si="7"/>
        <v/>
      </c>
      <c r="X14" s="751">
        <f t="shared" si="8"/>
        <v>0</v>
      </c>
      <c r="Y14" s="751" t="str">
        <f t="shared" si="9"/>
        <v/>
      </c>
      <c r="Z14" s="105"/>
      <c r="AA14" s="918" t="str">
        <f>IFERROR(INDEX($N$7:$N$55,_xlfn.AGGREGATE(15,6,(ROW($O$7:$O$55)-ROW($O$7)+1)/(((MOD($R$7:$R$55,$B$3)&gt;0)+(MOD($V$7:$V$55,$B$3)&gt;0))&gt;0),ROWS($AA$7:AA14))),"")</f>
        <v/>
      </c>
      <c r="AB14" s="919" t="str">
        <f t="shared" si="10"/>
        <v/>
      </c>
      <c r="AC14" s="900" t="str">
        <f t="shared" si="11"/>
        <v/>
      </c>
      <c r="AD14" s="900" t="str">
        <f t="shared" si="12"/>
        <v/>
      </c>
      <c r="AE14" s="920" t="str">
        <f t="shared" si="13"/>
        <v/>
      </c>
      <c r="AF14" s="105"/>
      <c r="AG14" s="898" t="str">
        <f t="shared" si="14"/>
        <v/>
      </c>
      <c r="AH14" s="899" t="str">
        <f t="shared" si="15"/>
        <v/>
      </c>
      <c r="AI14" s="900" t="str">
        <f t="shared" si="16"/>
        <v/>
      </c>
      <c r="AJ14" s="900" t="str">
        <f t="shared" si="17"/>
        <v/>
      </c>
      <c r="AK14" s="901"/>
      <c r="AL14" s="901"/>
      <c r="AM14" s="902" t="str">
        <f t="shared" si="18"/>
        <v/>
      </c>
      <c r="AN14" s="902" t="str">
        <f t="shared" si="19"/>
        <v/>
      </c>
      <c r="AO14" s="902" t="str">
        <f t="shared" si="20"/>
        <v/>
      </c>
      <c r="AP14" s="900" t="str">
        <f t="shared" si="21"/>
        <v/>
      </c>
      <c r="AQ14" s="902" t="str">
        <f t="shared" si="22"/>
        <v/>
      </c>
      <c r="AR14" s="900" t="str">
        <f t="shared" si="23"/>
        <v/>
      </c>
      <c r="AS14" s="902" t="str">
        <f t="shared" si="24"/>
        <v/>
      </c>
      <c r="AT14" s="902" t="str">
        <f t="shared" si="25"/>
        <v/>
      </c>
      <c r="AU14" s="902" t="str">
        <f t="shared" si="26"/>
        <v/>
      </c>
      <c r="AV14" s="903" t="str">
        <f t="shared" si="27"/>
        <v/>
      </c>
      <c r="AW14" s="105"/>
      <c r="AX14" s="105"/>
      <c r="AY14" s="105"/>
      <c r="AZ14" s="105"/>
      <c r="BA14" s="105"/>
      <c r="BB14" s="806" t="str">
        <f>IF(PP!C14="","",PP!C14)</f>
        <v>SERIE:</v>
      </c>
      <c r="BC14" s="807"/>
      <c r="BD14" s="808" t="str">
        <f>IF(PP!E14="","",PP!E14)</f>
        <v>001</v>
      </c>
      <c r="BE14" s="809" t="str">
        <f>IF(PP!F14="","",PP!F14)</f>
        <v xml:space="preserve"> NO TRAJO ESTIBA</v>
      </c>
      <c r="BF14" s="18"/>
      <c r="BG14" s="809" t="str">
        <f>IF(PP!G14="","",PP!G14)</f>
        <v/>
      </c>
      <c r="BH14" s="809" t="str">
        <f>IF(PP!H14="","",PP!H14)</f>
        <v/>
      </c>
      <c r="BI14" s="788" t="str">
        <f>IF(PP!I14="","",PP!I14)</f>
        <v/>
      </c>
      <c r="BJ14" s="788"/>
      <c r="BK14" s="788"/>
      <c r="BL14" s="799" t="str">
        <f>IF(PP!J14="","",PP!J14)</f>
        <v/>
      </c>
      <c r="BM14" s="16" t="str">
        <f>IF(PP!K14="","",PP!K14)</f>
        <v/>
      </c>
      <c r="BN14" s="764" t="str">
        <f>IF(PP!L14="","",PP!L14)</f>
        <v/>
      </c>
      <c r="BO14" s="765" t="str">
        <f>IF(PP!M14="","",PP!M14)</f>
        <v/>
      </c>
      <c r="BP14" s="755"/>
    </row>
    <row r="15" spans="1:68" ht="26.25" thickBot="1">
      <c r="A15" s="933" t="str">
        <f>IFERROR(INDEX($N$7:$N$55,_xlfn.AGGREGATE(15,6,(ROW($X$7:$X$55)-ROW($X$7)+1)/($X$7:$X$55&gt;0),ROWS($B$7:B15))),"")</f>
        <v/>
      </c>
      <c r="B15" s="934" t="str">
        <f>IFERROR(UPPER(INDEX($O$7:$Y$55,_xlfn.AGGREGATE(15,6,(ROW($X$7:$X$55)-ROW($X$7)+1)/($X$7:$X$55&gt;0),ROWS($B$7:B15)),1)),"")</f>
        <v/>
      </c>
      <c r="C15" s="935" t="str">
        <f>IFERROR(INDEX($O$7:$Y$55,_xlfn.AGGREGATE(15,6,(ROW($X$7:$X$55)-ROW($X$7)+1)/($X$7:$X$55&gt;0),ROWS($B$7:B15)),2),"")</f>
        <v/>
      </c>
      <c r="D15" s="928" t="str">
        <f>IFERROR(INDEX($O$7:$Y$55,_xlfn.AGGREGATE(15,6,(ROW($X$7:$X$55)-ROW($X$7)+1)/($X$7:$X$55&gt;0),ROWS($B$7:B15)),4),"")</f>
        <v/>
      </c>
      <c r="E15" s="935" t="str">
        <f t="shared" si="0"/>
        <v/>
      </c>
      <c r="F15" s="935" t="str">
        <f>IFERROR(INDEX($O$7:$Y$55,_xlfn.AGGREGATE(15,6,(ROW($X$7:$X$55)-ROW($X$7)+1)/($X$7:$X$55&gt;0),ROWS($B$7:B15)),6),"")</f>
        <v/>
      </c>
      <c r="G15" s="928" t="str">
        <f>IFERROR(INDEX($O$7:$Y$55,_xlfn.AGGREGATE(15,6,(ROW($X$7:$X$55)-ROW($X$7)+1)/($X$7:$X$55&gt;0),ROWS($B$7:B15)),8),"")</f>
        <v/>
      </c>
      <c r="H15" s="935" t="str">
        <f t="shared" si="1"/>
        <v/>
      </c>
      <c r="I15" s="928" t="str">
        <f>IFERROR(INDEX($O$7:$Y$55,_xlfn.AGGREGATE(15,6,(ROW($X$7:$X$55)-ROW($X$7)+1)/($X$7:$X$55&gt;0),ROWS($B$7:B15)),10),"")</f>
        <v/>
      </c>
      <c r="J15" s="935" t="str">
        <f t="shared" si="2"/>
        <v/>
      </c>
      <c r="K15" s="936" t="str">
        <f t="shared" si="3"/>
        <v/>
      </c>
      <c r="L15" s="936" t="str">
        <f t="shared" si="4"/>
        <v/>
      </c>
      <c r="M15" s="937" t="str">
        <f t="shared" si="5"/>
        <v/>
      </c>
      <c r="N15" s="932">
        <f>'ENV. PLACAS'!C14</f>
        <v>9</v>
      </c>
      <c r="O15" s="751" t="str">
        <f>IFERROR(UPPER('ENV. PLACAS'!D14),"")</f>
        <v>ALETA PRECOCIDA ENTERA 300-UP G/PZA</v>
      </c>
      <c r="P15" s="768">
        <f>'ENV. PLACAS'!AC14</f>
        <v>0</v>
      </c>
      <c r="Q15" s="768">
        <f>'ENV. PLACAS'!AD14</f>
        <v>0</v>
      </c>
      <c r="R15" s="751">
        <f>'ENV. PLACAS'!AE14</f>
        <v>0</v>
      </c>
      <c r="S15" s="751" t="str">
        <f t="shared" si="6"/>
        <v/>
      </c>
      <c r="T15" s="751">
        <f>SUMIF('RES-EN'!$D$6:$D$53,O15,'RES-EN'!$Q$6:$Q$53)</f>
        <v>0</v>
      </c>
      <c r="U15" s="751">
        <f>SUMIF('RES-EN'!$D$6:$D$53,O15,'RES-EN'!$R$6:$R$53)</f>
        <v>0</v>
      </c>
      <c r="V15" s="751">
        <f>SUMIF('RES-EN'!$D$6:$D$53,O15,'RES-EN'!$S$6:$S$53)</f>
        <v>0</v>
      </c>
      <c r="W15" s="751" t="str">
        <f t="shared" si="7"/>
        <v/>
      </c>
      <c r="X15" s="751">
        <f t="shared" si="8"/>
        <v>0</v>
      </c>
      <c r="Y15" s="751" t="str">
        <f t="shared" si="9"/>
        <v/>
      </c>
      <c r="Z15" s="105"/>
      <c r="AA15" s="918" t="str">
        <f>IFERROR(INDEX($N$7:$N$55,_xlfn.AGGREGATE(15,6,(ROW($O$7:$O$55)-ROW($O$7)+1)/(((MOD($R$7:$R$55,$B$3)&gt;0)+(MOD($V$7:$V$55,$B$3)&gt;0))&gt;0),ROWS($AA$7:AA15))),"")</f>
        <v/>
      </c>
      <c r="AB15" s="919" t="str">
        <f t="shared" si="10"/>
        <v/>
      </c>
      <c r="AC15" s="900" t="str">
        <f t="shared" si="11"/>
        <v/>
      </c>
      <c r="AD15" s="900" t="str">
        <f t="shared" si="12"/>
        <v/>
      </c>
      <c r="AE15" s="920" t="str">
        <f t="shared" si="13"/>
        <v/>
      </c>
      <c r="AF15" s="105"/>
      <c r="AG15" s="898" t="str">
        <f t="shared" si="14"/>
        <v/>
      </c>
      <c r="AH15" s="899" t="str">
        <f t="shared" si="15"/>
        <v/>
      </c>
      <c r="AI15" s="900" t="str">
        <f t="shared" si="16"/>
        <v/>
      </c>
      <c r="AJ15" s="900" t="str">
        <f t="shared" si="17"/>
        <v/>
      </c>
      <c r="AK15" s="901"/>
      <c r="AL15" s="901"/>
      <c r="AM15" s="902" t="str">
        <f t="shared" si="18"/>
        <v/>
      </c>
      <c r="AN15" s="902" t="str">
        <f t="shared" si="19"/>
        <v/>
      </c>
      <c r="AO15" s="902" t="str">
        <f t="shared" si="20"/>
        <v/>
      </c>
      <c r="AP15" s="900" t="str">
        <f t="shared" si="21"/>
        <v/>
      </c>
      <c r="AQ15" s="902" t="str">
        <f t="shared" si="22"/>
        <v/>
      </c>
      <c r="AR15" s="900" t="str">
        <f t="shared" si="23"/>
        <v/>
      </c>
      <c r="AS15" s="902" t="str">
        <f t="shared" si="24"/>
        <v/>
      </c>
      <c r="AT15" s="902" t="str">
        <f t="shared" si="25"/>
        <v/>
      </c>
      <c r="AU15" s="902" t="str">
        <f t="shared" si="26"/>
        <v/>
      </c>
      <c r="AV15" s="903" t="str">
        <f t="shared" si="27"/>
        <v/>
      </c>
      <c r="AW15" s="105"/>
      <c r="AX15" s="105"/>
      <c r="AY15" s="105"/>
      <c r="AZ15" s="105"/>
      <c r="BA15" s="105"/>
      <c r="BB15" s="810" t="str">
        <f>IF(PP!C15="","",PP!C15)</f>
        <v>LOTE CLIENTE</v>
      </c>
      <c r="BC15" s="811" t="str">
        <f>IF(PP!D15="","",PP!D15)</f>
        <v/>
      </c>
      <c r="BD15" s="812" t="str">
        <f>IF(PP!E15="","",PP!E15)</f>
        <v>PPF26062026</v>
      </c>
      <c r="BE15" s="18"/>
      <c r="BF15" s="809" t="str">
        <f>IF(PP!F15="","",PP!F15)</f>
        <v/>
      </c>
      <c r="BG15" s="809" t="str">
        <f>IF(PP!G15="","",PP!G15)</f>
        <v/>
      </c>
      <c r="BH15" s="809" t="str">
        <f>IF(PP!H15="","",PP!H15)</f>
        <v/>
      </c>
      <c r="BI15" s="788" t="str">
        <f>IF(PP!I15="","",PP!I15)</f>
        <v/>
      </c>
      <c r="BJ15" s="788"/>
      <c r="BK15" s="788"/>
      <c r="BL15" s="799" t="str">
        <f>IF(PP!J15="","",PP!J15)</f>
        <v/>
      </c>
      <c r="BM15" s="16" t="str">
        <f>IF(PP!K15="","",PP!K15)</f>
        <v/>
      </c>
      <c r="BN15" s="764" t="str">
        <f>IF(PP!L15="","",PP!L15)</f>
        <v/>
      </c>
      <c r="BO15" s="765" t="str">
        <f>IF(PP!M15="","",PP!M15)</f>
        <v/>
      </c>
      <c r="BP15" s="755"/>
    </row>
    <row r="16" spans="1:68" ht="26.25" thickBot="1">
      <c r="A16" s="933" t="str">
        <f>IFERROR(INDEX($N$7:$N$55,_xlfn.AGGREGATE(15,6,(ROW($X$7:$X$55)-ROW($X$7)+1)/($X$7:$X$55&gt;0),ROWS($B$7:B16))),"")</f>
        <v/>
      </c>
      <c r="B16" s="934" t="str">
        <f>IFERROR(UPPER(INDEX($O$7:$Y$55,_xlfn.AGGREGATE(15,6,(ROW($X$7:$X$55)-ROW($X$7)+1)/($X$7:$X$55&gt;0),ROWS($B$7:B16)),1)),"")</f>
        <v/>
      </c>
      <c r="C16" s="935" t="str">
        <f>IFERROR(INDEX($O$7:$Y$55,_xlfn.AGGREGATE(15,6,(ROW($X$7:$X$55)-ROW($X$7)+1)/($X$7:$X$55&gt;0),ROWS($B$7:B16)),2),"")</f>
        <v/>
      </c>
      <c r="D16" s="928" t="str">
        <f>IFERROR(INDEX($O$7:$Y$55,_xlfn.AGGREGATE(15,6,(ROW($X$7:$X$55)-ROW($X$7)+1)/($X$7:$X$55&gt;0),ROWS($B$7:B16)),4),"")</f>
        <v/>
      </c>
      <c r="E16" s="935" t="str">
        <f t="shared" si="0"/>
        <v/>
      </c>
      <c r="F16" s="935" t="str">
        <f>IFERROR(INDEX($O$7:$Y$55,_xlfn.AGGREGATE(15,6,(ROW($X$7:$X$55)-ROW($X$7)+1)/($X$7:$X$55&gt;0),ROWS($B$7:B16)),6),"")</f>
        <v/>
      </c>
      <c r="G16" s="928" t="str">
        <f>IFERROR(INDEX($O$7:$Y$55,_xlfn.AGGREGATE(15,6,(ROW($X$7:$X$55)-ROW($X$7)+1)/($X$7:$X$55&gt;0),ROWS($B$7:B16)),8),"")</f>
        <v/>
      </c>
      <c r="H16" s="935" t="str">
        <f t="shared" si="1"/>
        <v/>
      </c>
      <c r="I16" s="928" t="str">
        <f>IFERROR(INDEX($O$7:$Y$55,_xlfn.AGGREGATE(15,6,(ROW($X$7:$X$55)-ROW($X$7)+1)/($X$7:$X$55&gt;0),ROWS($B$7:B16)),10),"")</f>
        <v/>
      </c>
      <c r="J16" s="935" t="str">
        <f t="shared" si="2"/>
        <v/>
      </c>
      <c r="K16" s="936" t="str">
        <f t="shared" si="3"/>
        <v/>
      </c>
      <c r="L16" s="936" t="str">
        <f t="shared" si="4"/>
        <v/>
      </c>
      <c r="M16" s="937" t="str">
        <f t="shared" si="5"/>
        <v/>
      </c>
      <c r="N16" s="932">
        <f>'ENV. PLACAS'!C15</f>
        <v>10</v>
      </c>
      <c r="O16" s="751" t="str">
        <f>IFERROR(UPPER('ENV. PLACAS'!D15),"")</f>
        <v>ALETA PRECOCIDA PARTIDA 300-UP G/PZA</v>
      </c>
      <c r="P16" s="768">
        <f>'ENV. PLACAS'!AC15</f>
        <v>0</v>
      </c>
      <c r="Q16" s="768">
        <f>'ENV. PLACAS'!AD15</f>
        <v>0</v>
      </c>
      <c r="R16" s="751">
        <f>'ENV. PLACAS'!AE15</f>
        <v>0</v>
      </c>
      <c r="S16" s="751" t="str">
        <f t="shared" si="6"/>
        <v/>
      </c>
      <c r="T16" s="751">
        <f>SUMIF('RES-EN'!$D$6:$D$53,O16,'RES-EN'!$Q$6:$Q$53)</f>
        <v>0</v>
      </c>
      <c r="U16" s="751">
        <f>SUMIF('RES-EN'!$D$6:$D$53,O16,'RES-EN'!$R$6:$R$53)</f>
        <v>0</v>
      </c>
      <c r="V16" s="751">
        <f>SUMIF('RES-EN'!$D$6:$D$53,O16,'RES-EN'!$S$6:$S$53)</f>
        <v>0</v>
      </c>
      <c r="W16" s="751" t="str">
        <f t="shared" si="7"/>
        <v/>
      </c>
      <c r="X16" s="751">
        <f t="shared" si="8"/>
        <v>0</v>
      </c>
      <c r="Y16" s="751" t="str">
        <f t="shared" si="9"/>
        <v/>
      </c>
      <c r="Z16" s="105"/>
      <c r="AA16" s="918" t="str">
        <f>IFERROR(INDEX($N$7:$N$55,_xlfn.AGGREGATE(15,6,(ROW($O$7:$O$55)-ROW($O$7)+1)/(((MOD($R$7:$R$55,$B$3)&gt;0)+(MOD($V$7:$V$55,$B$3)&gt;0))&gt;0),ROWS($AA$7:AA16))),"")</f>
        <v/>
      </c>
      <c r="AB16" s="919" t="str">
        <f t="shared" si="10"/>
        <v/>
      </c>
      <c r="AC16" s="900" t="str">
        <f t="shared" si="11"/>
        <v/>
      </c>
      <c r="AD16" s="900" t="str">
        <f t="shared" si="12"/>
        <v/>
      </c>
      <c r="AE16" s="920" t="str">
        <f t="shared" si="13"/>
        <v/>
      </c>
      <c r="AF16" s="105"/>
      <c r="AG16" s="898" t="str">
        <f t="shared" si="14"/>
        <v/>
      </c>
      <c r="AH16" s="899" t="str">
        <f t="shared" si="15"/>
        <v/>
      </c>
      <c r="AI16" s="900" t="str">
        <f t="shared" si="16"/>
        <v/>
      </c>
      <c r="AJ16" s="900" t="str">
        <f t="shared" si="17"/>
        <v/>
      </c>
      <c r="AK16" s="901"/>
      <c r="AL16" s="901"/>
      <c r="AM16" s="902" t="str">
        <f t="shared" si="18"/>
        <v/>
      </c>
      <c r="AN16" s="902" t="str">
        <f t="shared" si="19"/>
        <v/>
      </c>
      <c r="AO16" s="902" t="str">
        <f t="shared" si="20"/>
        <v/>
      </c>
      <c r="AP16" s="900" t="str">
        <f t="shared" si="21"/>
        <v/>
      </c>
      <c r="AQ16" s="902" t="str">
        <f t="shared" si="22"/>
        <v/>
      </c>
      <c r="AR16" s="900" t="str">
        <f t="shared" si="23"/>
        <v/>
      </c>
      <c r="AS16" s="902" t="str">
        <f t="shared" si="24"/>
        <v/>
      </c>
      <c r="AT16" s="902" t="str">
        <f t="shared" si="25"/>
        <v/>
      </c>
      <c r="AU16" s="902" t="str">
        <f t="shared" si="26"/>
        <v/>
      </c>
      <c r="AV16" s="903" t="str">
        <f t="shared" si="27"/>
        <v/>
      </c>
      <c r="AW16" s="105"/>
      <c r="AX16" s="105"/>
      <c r="AY16" s="105"/>
      <c r="AZ16" s="105"/>
      <c r="BA16" s="105"/>
      <c r="BB16" s="787" t="str">
        <f>IF(PP!B16="","",PP!B16)</f>
        <v/>
      </c>
      <c r="BC16" s="787" t="str">
        <f>IF(PP!C16="","",PP!C16)</f>
        <v/>
      </c>
      <c r="BD16" s="787" t="str">
        <f>IF(PP!D16="","",PP!D16)</f>
        <v/>
      </c>
      <c r="BE16" s="799" t="str">
        <f>IF(PP!E16="","",PP!E16)</f>
        <v/>
      </c>
      <c r="BF16" s="788" t="str">
        <f>IF(PP!F16="","",PP!F16)</f>
        <v/>
      </c>
      <c r="BG16" s="788" t="str">
        <f>IF(PP!G16="","",PP!G16)</f>
        <v/>
      </c>
      <c r="BH16" s="788" t="str">
        <f>IF(PP!H16="","",PP!H16)</f>
        <v/>
      </c>
      <c r="BI16" s="788" t="str">
        <f>IF(PP!I16="","",PP!I16)</f>
        <v/>
      </c>
      <c r="BJ16" s="788"/>
      <c r="BK16" s="788"/>
      <c r="BL16" s="799" t="str">
        <f>IF(PP!J16="","",PP!J16)</f>
        <v/>
      </c>
      <c r="BM16" s="3" t="str">
        <f>IF(PP!K16="","",PP!K16)</f>
        <v/>
      </c>
      <c r="BN16" s="764" t="str">
        <f>IF(PP!L16="","",PP!L16)</f>
        <v/>
      </c>
      <c r="BO16" s="765" t="str">
        <f>IF(PP!M16="","",PP!M16)</f>
        <v/>
      </c>
      <c r="BP16" s="755"/>
    </row>
    <row r="17" spans="1:68" ht="26.25" thickBot="1">
      <c r="A17" s="933" t="str">
        <f>IFERROR(INDEX($N$7:$N$55,_xlfn.AGGREGATE(15,6,(ROW($X$7:$X$55)-ROW($X$7)+1)/($X$7:$X$55&gt;0),ROWS($B$7:B17))),"")</f>
        <v/>
      </c>
      <c r="B17" s="934" t="str">
        <f>IFERROR(UPPER(INDEX($O$7:$Y$55,_xlfn.AGGREGATE(15,6,(ROW($X$7:$X$55)-ROW($X$7)+1)/($X$7:$X$55&gt;0),ROWS($B$7:B17)),1)),"")</f>
        <v/>
      </c>
      <c r="C17" s="935" t="str">
        <f>IFERROR(INDEX($O$7:$Y$55,_xlfn.AGGREGATE(15,6,(ROW($X$7:$X$55)-ROW($X$7)+1)/($X$7:$X$55&gt;0),ROWS($B$7:B17)),2),"")</f>
        <v/>
      </c>
      <c r="D17" s="928" t="str">
        <f>IFERROR(INDEX($O$7:$Y$55,_xlfn.AGGREGATE(15,6,(ROW($X$7:$X$55)-ROW($X$7)+1)/($X$7:$X$55&gt;0),ROWS($B$7:B17)),4),"")</f>
        <v/>
      </c>
      <c r="E17" s="935" t="str">
        <f t="shared" si="0"/>
        <v/>
      </c>
      <c r="F17" s="935" t="str">
        <f>IFERROR(INDEX($O$7:$Y$55,_xlfn.AGGREGATE(15,6,(ROW($X$7:$X$55)-ROW($X$7)+1)/($X$7:$X$55&gt;0),ROWS($B$7:B17)),6),"")</f>
        <v/>
      </c>
      <c r="G17" s="928" t="str">
        <f>IFERROR(INDEX($O$7:$Y$55,_xlfn.AGGREGATE(15,6,(ROW($X$7:$X$55)-ROW($X$7)+1)/($X$7:$X$55&gt;0),ROWS($B$7:B17)),8),"")</f>
        <v/>
      </c>
      <c r="H17" s="935" t="str">
        <f t="shared" si="1"/>
        <v/>
      </c>
      <c r="I17" s="928" t="str">
        <f>IFERROR(INDEX($O$7:$Y$55,_xlfn.AGGREGATE(15,6,(ROW($X$7:$X$55)-ROW($X$7)+1)/($X$7:$X$55&gt;0),ROWS($B$7:B17)),10),"")</f>
        <v/>
      </c>
      <c r="J17" s="935" t="str">
        <f t="shared" si="2"/>
        <v/>
      </c>
      <c r="K17" s="936" t="str">
        <f t="shared" si="3"/>
        <v/>
      </c>
      <c r="L17" s="936" t="str">
        <f t="shared" si="4"/>
        <v/>
      </c>
      <c r="M17" s="937" t="str">
        <f t="shared" si="5"/>
        <v/>
      </c>
      <c r="N17" s="932">
        <f>'ENV. PLACAS'!C16</f>
        <v>11</v>
      </c>
      <c r="O17" s="751" t="str">
        <f>IFERROR(UPPER('ENV. PLACAS'!D16),"")</f>
        <v>BOTON BLANCO SM ST</v>
      </c>
      <c r="P17" s="768">
        <f>'ENV. PLACAS'!AC16</f>
        <v>0</v>
      </c>
      <c r="Q17" s="768">
        <f>'ENV. PLACAS'!AD16</f>
        <v>0</v>
      </c>
      <c r="R17" s="751">
        <f>'ENV. PLACAS'!AE16</f>
        <v>0</v>
      </c>
      <c r="S17" s="751" t="str">
        <f t="shared" si="6"/>
        <v/>
      </c>
      <c r="T17" s="751">
        <f>SUMIF('RES-EN'!$D$6:$D$53,O17,'RES-EN'!$Q$6:$Q$53)</f>
        <v>0</v>
      </c>
      <c r="U17" s="751">
        <f>SUMIF('RES-EN'!$D$6:$D$53,O17,'RES-EN'!$R$6:$R$53)</f>
        <v>0</v>
      </c>
      <c r="V17" s="751">
        <f>SUMIF('RES-EN'!$D$6:$D$53,O17,'RES-EN'!$S$6:$S$53)</f>
        <v>0</v>
      </c>
      <c r="W17" s="751" t="str">
        <f t="shared" si="7"/>
        <v/>
      </c>
      <c r="X17" s="751">
        <f t="shared" si="8"/>
        <v>0</v>
      </c>
      <c r="Y17" s="751" t="str">
        <f t="shared" si="9"/>
        <v/>
      </c>
      <c r="Z17" s="105"/>
      <c r="AA17" s="918" t="str">
        <f>IFERROR(INDEX($N$7:$N$55,_xlfn.AGGREGATE(15,6,(ROW($O$7:$O$55)-ROW($O$7)+1)/(((MOD($R$7:$R$55,$B$3)&gt;0)+(MOD($V$7:$V$55,$B$3)&gt;0))&gt;0),ROWS($AA$7:AA17))),"")</f>
        <v/>
      </c>
      <c r="AB17" s="919" t="str">
        <f t="shared" si="10"/>
        <v/>
      </c>
      <c r="AC17" s="900" t="str">
        <f t="shared" si="11"/>
        <v/>
      </c>
      <c r="AD17" s="900" t="str">
        <f t="shared" si="12"/>
        <v/>
      </c>
      <c r="AE17" s="920" t="str">
        <f t="shared" si="13"/>
        <v/>
      </c>
      <c r="AF17" s="105"/>
      <c r="AG17" s="898" t="str">
        <f t="shared" si="14"/>
        <v/>
      </c>
      <c r="AH17" s="899" t="str">
        <f t="shared" si="15"/>
        <v/>
      </c>
      <c r="AI17" s="900" t="str">
        <f t="shared" si="16"/>
        <v/>
      </c>
      <c r="AJ17" s="900" t="str">
        <f t="shared" si="17"/>
        <v/>
      </c>
      <c r="AK17" s="901"/>
      <c r="AL17" s="901"/>
      <c r="AM17" s="902" t="str">
        <f t="shared" si="18"/>
        <v/>
      </c>
      <c r="AN17" s="902" t="str">
        <f t="shared" si="19"/>
        <v/>
      </c>
      <c r="AO17" s="902" t="str">
        <f t="shared" si="20"/>
        <v/>
      </c>
      <c r="AP17" s="900" t="str">
        <f t="shared" si="21"/>
        <v/>
      </c>
      <c r="AQ17" s="902" t="str">
        <f t="shared" si="22"/>
        <v/>
      </c>
      <c r="AR17" s="900" t="str">
        <f t="shared" si="23"/>
        <v/>
      </c>
      <c r="AS17" s="902" t="str">
        <f t="shared" si="24"/>
        <v/>
      </c>
      <c r="AT17" s="902" t="str">
        <f t="shared" si="25"/>
        <v/>
      </c>
      <c r="AU17" s="902" t="str">
        <f t="shared" si="26"/>
        <v/>
      </c>
      <c r="AV17" s="903" t="str">
        <f t="shared" si="27"/>
        <v/>
      </c>
      <c r="AW17" s="105"/>
      <c r="AX17" s="105"/>
      <c r="AY17" s="105"/>
      <c r="AZ17" s="105"/>
      <c r="BA17" s="105"/>
      <c r="BB17" s="813" t="str">
        <f>IF(PP!C17="","",PP!C17)</f>
        <v>RECEPCIÓN</v>
      </c>
      <c r="BC17" s="814" t="str">
        <f>IF(PP!D17="","",PP!D17)</f>
        <v>PLACAS</v>
      </c>
      <c r="BD17" s="815" t="str">
        <f>IF(PP!E17="","",PP!E17)</f>
        <v/>
      </c>
      <c r="BE17" s="815" t="str">
        <f>IF(PP!F17="","",PP!F17)</f>
        <v/>
      </c>
      <c r="BF17" s="815" t="str">
        <f>IF(PP!G17="","",PP!G17)</f>
        <v/>
      </c>
      <c r="BG17" s="815" t="str">
        <f>IF(PP!H17="","",PP!H17)</f>
        <v/>
      </c>
      <c r="BH17" s="815" t="str">
        <f>IF(PP!I17="","",PP!I17)</f>
        <v/>
      </c>
      <c r="BI17" s="816" t="str">
        <f>IF(PP!J17="","",PP!J17)</f>
        <v/>
      </c>
      <c r="BJ17" s="816"/>
      <c r="BK17" s="816"/>
      <c r="BL17" s="817" t="str">
        <f>IF(PP!K17="","",PP!K17)</f>
        <v>TOTAL (kg)</v>
      </c>
      <c r="BM17" s="105"/>
      <c r="BN17" s="764" t="str">
        <f>IF(PP!L17="","",PP!L17)</f>
        <v/>
      </c>
      <c r="BO17" s="765" t="str">
        <f>IF(PP!M17="","",PP!M17)</f>
        <v/>
      </c>
      <c r="BP17" s="755"/>
    </row>
    <row r="18" spans="1:68" ht="26.25" thickBot="1">
      <c r="A18" s="933" t="str">
        <f>IFERROR(INDEX($N$7:$N$55,_xlfn.AGGREGATE(15,6,(ROW($X$7:$X$55)-ROW($X$7)+1)/($X$7:$X$55&gt;0),ROWS($B$7:B18))),"")</f>
        <v/>
      </c>
      <c r="B18" s="934" t="str">
        <f>IFERROR(UPPER(INDEX($O$7:$Y$55,_xlfn.AGGREGATE(15,6,(ROW($X$7:$X$55)-ROW($X$7)+1)/($X$7:$X$55&gt;0),ROWS($B$7:B18)),1)),"")</f>
        <v/>
      </c>
      <c r="C18" s="935" t="str">
        <f>IFERROR(INDEX($O$7:$Y$55,_xlfn.AGGREGATE(15,6,(ROW($X$7:$X$55)-ROW($X$7)+1)/($X$7:$X$55&gt;0),ROWS($B$7:B18)),2),"")</f>
        <v/>
      </c>
      <c r="D18" s="928" t="str">
        <f>IFERROR(INDEX($O$7:$Y$55,_xlfn.AGGREGATE(15,6,(ROW($X$7:$X$55)-ROW($X$7)+1)/($X$7:$X$55&gt;0),ROWS($B$7:B18)),4),"")</f>
        <v/>
      </c>
      <c r="E18" s="935" t="str">
        <f t="shared" si="0"/>
        <v/>
      </c>
      <c r="F18" s="935" t="str">
        <f>IFERROR(INDEX($O$7:$Y$55,_xlfn.AGGREGATE(15,6,(ROW($X$7:$X$55)-ROW($X$7)+1)/($X$7:$X$55&gt;0),ROWS($B$7:B18)),6),"")</f>
        <v/>
      </c>
      <c r="G18" s="928" t="str">
        <f>IFERROR(INDEX($O$7:$Y$55,_xlfn.AGGREGATE(15,6,(ROW($X$7:$X$55)-ROW($X$7)+1)/($X$7:$X$55&gt;0),ROWS($B$7:B18)),8),"")</f>
        <v/>
      </c>
      <c r="H18" s="935" t="str">
        <f t="shared" si="1"/>
        <v/>
      </c>
      <c r="I18" s="928" t="str">
        <f>IFERROR(INDEX($O$7:$Y$55,_xlfn.AGGREGATE(15,6,(ROW($X$7:$X$55)-ROW($X$7)+1)/($X$7:$X$55&gt;0),ROWS($B$7:B18)),10),"")</f>
        <v/>
      </c>
      <c r="J18" s="935" t="str">
        <f t="shared" si="2"/>
        <v/>
      </c>
      <c r="K18" s="936" t="str">
        <f t="shared" si="3"/>
        <v/>
      </c>
      <c r="L18" s="936" t="str">
        <f t="shared" si="4"/>
        <v/>
      </c>
      <c r="M18" s="937" t="str">
        <f t="shared" si="5"/>
        <v/>
      </c>
      <c r="N18" s="932">
        <f>'ENV. PLACAS'!C17</f>
        <v>12</v>
      </c>
      <c r="O18" s="751" t="str">
        <f>IFERROR(UPPER('ENV. PLACAS'!D17),"")</f>
        <v>BOTON AMARILLO SM ST</v>
      </c>
      <c r="P18" s="768">
        <f>'ENV. PLACAS'!AC17</f>
        <v>0</v>
      </c>
      <c r="Q18" s="768">
        <f>'ENV. PLACAS'!AD17</f>
        <v>0</v>
      </c>
      <c r="R18" s="751">
        <f>'ENV. PLACAS'!AE17</f>
        <v>0</v>
      </c>
      <c r="S18" s="751" t="str">
        <f t="shared" si="6"/>
        <v/>
      </c>
      <c r="T18" s="751">
        <f>SUMIF('RES-EN'!$D$6:$D$53,O18,'RES-EN'!$Q$6:$Q$53)</f>
        <v>0</v>
      </c>
      <c r="U18" s="751">
        <f>SUMIF('RES-EN'!$D$6:$D$53,O18,'RES-EN'!$R$6:$R$53)</f>
        <v>0</v>
      </c>
      <c r="V18" s="751">
        <f>SUMIF('RES-EN'!$D$6:$D$53,O18,'RES-EN'!$S$6:$S$53)</f>
        <v>0</v>
      </c>
      <c r="W18" s="751" t="str">
        <f t="shared" si="7"/>
        <v/>
      </c>
      <c r="X18" s="751">
        <f t="shared" si="8"/>
        <v>0</v>
      </c>
      <c r="Y18" s="751" t="str">
        <f t="shared" si="9"/>
        <v/>
      </c>
      <c r="Z18" s="105"/>
      <c r="AA18" s="918" t="str">
        <f>IFERROR(INDEX($N$7:$N$55,_xlfn.AGGREGATE(15,6,(ROW($O$7:$O$55)-ROW($O$7)+1)/(((MOD($R$7:$R$55,$B$3)&gt;0)+(MOD($V$7:$V$55,$B$3)&gt;0))&gt;0),ROWS($AA$7:AA18))),"")</f>
        <v/>
      </c>
      <c r="AB18" s="919" t="str">
        <f t="shared" si="10"/>
        <v/>
      </c>
      <c r="AC18" s="900" t="str">
        <f t="shared" si="11"/>
        <v/>
      </c>
      <c r="AD18" s="900" t="str">
        <f t="shared" si="12"/>
        <v/>
      </c>
      <c r="AE18" s="920" t="str">
        <f t="shared" si="13"/>
        <v/>
      </c>
      <c r="AF18" s="105"/>
      <c r="AG18" s="898" t="str">
        <f t="shared" si="14"/>
        <v/>
      </c>
      <c r="AH18" s="899" t="str">
        <f t="shared" si="15"/>
        <v/>
      </c>
      <c r="AI18" s="900" t="str">
        <f t="shared" si="16"/>
        <v/>
      </c>
      <c r="AJ18" s="900" t="str">
        <f t="shared" si="17"/>
        <v/>
      </c>
      <c r="AK18" s="901"/>
      <c r="AL18" s="901"/>
      <c r="AM18" s="902" t="str">
        <f t="shared" si="18"/>
        <v/>
      </c>
      <c r="AN18" s="902" t="str">
        <f t="shared" si="19"/>
        <v/>
      </c>
      <c r="AO18" s="902" t="str">
        <f t="shared" si="20"/>
        <v/>
      </c>
      <c r="AP18" s="900" t="str">
        <f t="shared" si="21"/>
        <v/>
      </c>
      <c r="AQ18" s="902" t="str">
        <f t="shared" si="22"/>
        <v/>
      </c>
      <c r="AR18" s="900" t="str">
        <f t="shared" si="23"/>
        <v/>
      </c>
      <c r="AS18" s="902" t="str">
        <f t="shared" si="24"/>
        <v/>
      </c>
      <c r="AT18" s="902" t="str">
        <f t="shared" si="25"/>
        <v/>
      </c>
      <c r="AU18" s="902" t="str">
        <f t="shared" si="26"/>
        <v/>
      </c>
      <c r="AV18" s="903" t="str">
        <f t="shared" si="27"/>
        <v/>
      </c>
      <c r="AW18" s="105"/>
      <c r="AX18" s="105"/>
      <c r="AY18" s="105"/>
      <c r="AZ18" s="105"/>
      <c r="BA18" s="105"/>
      <c r="BB18" s="818" t="str">
        <f>IF(PP!C18="","",PP!C18)</f>
        <v>POTA A GRANEL</v>
      </c>
      <c r="BC18" s="819" t="str">
        <f>IF(PP!D18="","",PP!D18)</f>
        <v>BVM-831</v>
      </c>
      <c r="BD18" s="819" t="str">
        <f>IF(PP!E18="","",PP!E18)</f>
        <v>BLT-949</v>
      </c>
      <c r="BE18" s="819" t="str">
        <f>IF(PP!F18="","",PP!F18)</f>
        <v>BLZ-782</v>
      </c>
      <c r="BF18" s="819" t="str">
        <f>IF(PP!G18="","",PP!G18)</f>
        <v/>
      </c>
      <c r="BG18" s="941" t="str">
        <f>IF(PP!H18="","",PP!H18)</f>
        <v/>
      </c>
      <c r="BH18" s="941" t="str">
        <f>IF(PP!I18="","",PP!I18)</f>
        <v/>
      </c>
      <c r="BI18" s="939" t="str">
        <f>IF(PP!J18="","",PP!J18)</f>
        <v/>
      </c>
      <c r="BJ18" s="939"/>
      <c r="BK18" s="939"/>
      <c r="BL18" s="820" t="str">
        <f>IF(PP!K18="","",PP!K18)</f>
        <v/>
      </c>
      <c r="BM18" s="105"/>
      <c r="BN18" s="764" t="str">
        <f>IF(PP!L18="","",PP!L18)</f>
        <v/>
      </c>
      <c r="BO18" s="765" t="str">
        <f>IF(PP!M18="","",PP!M18)</f>
        <v/>
      </c>
      <c r="BP18" s="755"/>
    </row>
    <row r="19" spans="1:68" ht="26.25" thickBot="1">
      <c r="A19" s="933" t="str">
        <f>IFERROR(INDEX($N$7:$N$55,_xlfn.AGGREGATE(15,6,(ROW($X$7:$X$55)-ROW($X$7)+1)/($X$7:$X$55&gt;0),ROWS($B$7:B19))),"")</f>
        <v/>
      </c>
      <c r="B19" s="934" t="str">
        <f>IFERROR(UPPER(INDEX($O$7:$Y$55,_xlfn.AGGREGATE(15,6,(ROW($X$7:$X$55)-ROW($X$7)+1)/($X$7:$X$55&gt;0),ROWS($B$7:B19)),1)),"")</f>
        <v/>
      </c>
      <c r="C19" s="935" t="str">
        <f>IFERROR(INDEX($O$7:$Y$55,_xlfn.AGGREGATE(15,6,(ROW($X$7:$X$55)-ROW($X$7)+1)/($X$7:$X$55&gt;0),ROWS($B$7:B19)),2),"")</f>
        <v/>
      </c>
      <c r="D19" s="928" t="str">
        <f>IFERROR(INDEX($O$7:$Y$55,_xlfn.AGGREGATE(15,6,(ROW($X$7:$X$55)-ROW($X$7)+1)/($X$7:$X$55&gt;0),ROWS($B$7:B19)),4),"")</f>
        <v/>
      </c>
      <c r="E19" s="935" t="str">
        <f t="shared" si="0"/>
        <v/>
      </c>
      <c r="F19" s="935" t="str">
        <f>IFERROR(INDEX($O$7:$Y$55,_xlfn.AGGREGATE(15,6,(ROW($X$7:$X$55)-ROW($X$7)+1)/($X$7:$X$55&gt;0),ROWS($B$7:B19)),6),"")</f>
        <v/>
      </c>
      <c r="G19" s="928" t="str">
        <f>IFERROR(INDEX($O$7:$Y$55,_xlfn.AGGREGATE(15,6,(ROW($X$7:$X$55)-ROW($X$7)+1)/($X$7:$X$55&gt;0),ROWS($B$7:B19)),8),"")</f>
        <v/>
      </c>
      <c r="H19" s="935" t="str">
        <f t="shared" si="1"/>
        <v/>
      </c>
      <c r="I19" s="928" t="str">
        <f>IFERROR(INDEX($O$7:$Y$55,_xlfn.AGGREGATE(15,6,(ROW($X$7:$X$55)-ROW($X$7)+1)/($X$7:$X$55&gt;0),ROWS($B$7:B19)),10),"")</f>
        <v/>
      </c>
      <c r="J19" s="935" t="str">
        <f t="shared" si="2"/>
        <v/>
      </c>
      <c r="K19" s="936" t="str">
        <f t="shared" si="3"/>
        <v/>
      </c>
      <c r="L19" s="936" t="str">
        <f t="shared" si="4"/>
        <v/>
      </c>
      <c r="M19" s="937" t="str">
        <f t="shared" si="5"/>
        <v/>
      </c>
      <c r="N19" s="932">
        <f>'ENV. PLACAS'!C18</f>
        <v>13</v>
      </c>
      <c r="O19" s="751" t="str">
        <f>IFERROR(UPPER('ENV. PLACAS'!D18),"")</f>
        <v>CONOS DE POTA</v>
      </c>
      <c r="P19" s="768">
        <f>'ENV. PLACAS'!AC18</f>
        <v>0</v>
      </c>
      <c r="Q19" s="768">
        <f>'ENV. PLACAS'!AD18</f>
        <v>0</v>
      </c>
      <c r="R19" s="751">
        <f>'ENV. PLACAS'!AE18</f>
        <v>0</v>
      </c>
      <c r="S19" s="751" t="str">
        <f t="shared" si="6"/>
        <v/>
      </c>
      <c r="T19" s="751">
        <f>SUMIF('RES-EN'!$D$6:$D$53,O19,'RES-EN'!$Q$6:$Q$53)</f>
        <v>0</v>
      </c>
      <c r="U19" s="751">
        <f>SUMIF('RES-EN'!$D$6:$D$53,O19,'RES-EN'!$R$6:$R$53)</f>
        <v>0</v>
      </c>
      <c r="V19" s="751">
        <f>SUMIF('RES-EN'!$D$6:$D$53,O19,'RES-EN'!$S$6:$S$53)</f>
        <v>0</v>
      </c>
      <c r="W19" s="751" t="str">
        <f t="shared" si="7"/>
        <v/>
      </c>
      <c r="X19" s="751">
        <f t="shared" si="8"/>
        <v>0</v>
      </c>
      <c r="Y19" s="751" t="str">
        <f t="shared" si="9"/>
        <v/>
      </c>
      <c r="Z19" s="105"/>
      <c r="AA19" s="918" t="str">
        <f>IFERROR(INDEX($N$7:$N$55,_xlfn.AGGREGATE(15,6,(ROW($O$7:$O$55)-ROW($O$7)+1)/(((MOD($R$7:$R$55,$B$3)&gt;0)+(MOD($V$7:$V$55,$B$3)&gt;0))&gt;0),ROWS($AA$7:AA19))),"")</f>
        <v/>
      </c>
      <c r="AB19" s="919" t="str">
        <f t="shared" si="10"/>
        <v/>
      </c>
      <c r="AC19" s="900" t="str">
        <f t="shared" si="11"/>
        <v/>
      </c>
      <c r="AD19" s="900" t="str">
        <f t="shared" si="12"/>
        <v/>
      </c>
      <c r="AE19" s="920" t="str">
        <f t="shared" si="13"/>
        <v/>
      </c>
      <c r="AF19" s="105"/>
      <c r="AG19" s="898" t="str">
        <f t="shared" si="14"/>
        <v/>
      </c>
      <c r="AH19" s="899" t="str">
        <f t="shared" si="15"/>
        <v/>
      </c>
      <c r="AI19" s="900" t="str">
        <f t="shared" si="16"/>
        <v/>
      </c>
      <c r="AJ19" s="900" t="str">
        <f t="shared" si="17"/>
        <v/>
      </c>
      <c r="AK19" s="901"/>
      <c r="AL19" s="901"/>
      <c r="AM19" s="902" t="str">
        <f t="shared" si="18"/>
        <v/>
      </c>
      <c r="AN19" s="902" t="str">
        <f t="shared" si="19"/>
        <v/>
      </c>
      <c r="AO19" s="902" t="str">
        <f t="shared" si="20"/>
        <v/>
      </c>
      <c r="AP19" s="900" t="str">
        <f t="shared" si="21"/>
        <v/>
      </c>
      <c r="AQ19" s="902" t="str">
        <f t="shared" si="22"/>
        <v/>
      </c>
      <c r="AR19" s="900" t="str">
        <f t="shared" si="23"/>
        <v/>
      </c>
      <c r="AS19" s="902" t="str">
        <f t="shared" si="24"/>
        <v/>
      </c>
      <c r="AT19" s="902" t="str">
        <f t="shared" si="25"/>
        <v/>
      </c>
      <c r="AU19" s="902" t="str">
        <f t="shared" si="26"/>
        <v/>
      </c>
      <c r="AV19" s="903" t="str">
        <f t="shared" si="27"/>
        <v/>
      </c>
      <c r="AW19" s="105"/>
      <c r="AX19" s="105"/>
      <c r="AY19" s="105"/>
      <c r="AZ19" s="105"/>
      <c r="BA19" s="105"/>
      <c r="BB19" s="821" t="str">
        <f>IF(PP!C19="","",PP!C19)</f>
        <v/>
      </c>
      <c r="BC19" s="748">
        <f>IF(PP!D19="","",PP!D19)</f>
        <v>0</v>
      </c>
      <c r="BD19" s="748">
        <f>IF(PP!E19="","",PP!E19)</f>
        <v>0</v>
      </c>
      <c r="BE19" s="748">
        <f>IF(PP!F19="","",PP!F19)</f>
        <v>0</v>
      </c>
      <c r="BF19" s="748" t="str">
        <f>IF(PP!G19="","",PP!G19)</f>
        <v/>
      </c>
      <c r="BG19" s="748" t="str">
        <f>IF(PP!H19="","",PP!H19)</f>
        <v/>
      </c>
      <c r="BH19" s="749" t="str">
        <f>IF(PP!I19="","",PP!I19)</f>
        <v/>
      </c>
      <c r="BI19" s="750" t="str">
        <f>IF(PP!J19="","",PP!J19)</f>
        <v/>
      </c>
      <c r="BJ19" s="750"/>
      <c r="BK19" s="750"/>
      <c r="BL19" s="822">
        <f>IF(PP!K19="","",PP!K19)</f>
        <v>0</v>
      </c>
      <c r="BM19" s="105"/>
      <c r="BN19" s="764" t="str">
        <f>IF(PP!L19="","",PP!L19)</f>
        <v/>
      </c>
      <c r="BO19" s="765" t="str">
        <f>IF(PP!M19="","",PP!M19)</f>
        <v/>
      </c>
      <c r="BP19" s="755"/>
    </row>
    <row r="20" spans="1:68" ht="26.25" thickBot="1">
      <c r="A20" s="933" t="str">
        <f>IFERROR(INDEX($N$7:$N$55,_xlfn.AGGREGATE(15,6,(ROW($X$7:$X$55)-ROW($X$7)+1)/($X$7:$X$55&gt;0),ROWS($B$7:B20))),"")</f>
        <v/>
      </c>
      <c r="B20" s="934" t="str">
        <f>IFERROR(UPPER(INDEX($O$7:$Y$55,_xlfn.AGGREGATE(15,6,(ROW($X$7:$X$55)-ROW($X$7)+1)/($X$7:$X$55&gt;0),ROWS($B$7:B20)),1)),"")</f>
        <v/>
      </c>
      <c r="C20" s="935" t="str">
        <f>IFERROR(INDEX($O$7:$Y$55,_xlfn.AGGREGATE(15,6,(ROW($X$7:$X$55)-ROW($X$7)+1)/($X$7:$X$55&gt;0),ROWS($B$7:B20)),2),"")</f>
        <v/>
      </c>
      <c r="D20" s="928" t="str">
        <f>IFERROR(INDEX($O$7:$Y$55,_xlfn.AGGREGATE(15,6,(ROW($X$7:$X$55)-ROW($X$7)+1)/($X$7:$X$55&gt;0),ROWS($B$7:B20)),4),"")</f>
        <v/>
      </c>
      <c r="E20" s="935" t="str">
        <f t="shared" si="0"/>
        <v/>
      </c>
      <c r="F20" s="935" t="str">
        <f>IFERROR(INDEX($O$7:$Y$55,_xlfn.AGGREGATE(15,6,(ROW($X$7:$X$55)-ROW($X$7)+1)/($X$7:$X$55&gt;0),ROWS($B$7:B20)),6),"")</f>
        <v/>
      </c>
      <c r="G20" s="928" t="str">
        <f>IFERROR(INDEX($O$7:$Y$55,_xlfn.AGGREGATE(15,6,(ROW($X$7:$X$55)-ROW($X$7)+1)/($X$7:$X$55&gt;0),ROWS($B$7:B20)),8),"")</f>
        <v/>
      </c>
      <c r="H20" s="935" t="str">
        <f t="shared" si="1"/>
        <v/>
      </c>
      <c r="I20" s="928" t="str">
        <f>IFERROR(INDEX($O$7:$Y$55,_xlfn.AGGREGATE(15,6,(ROW($X$7:$X$55)-ROW($X$7)+1)/($X$7:$X$55&gt;0),ROWS($B$7:B20)),10),"")</f>
        <v/>
      </c>
      <c r="J20" s="935" t="str">
        <f t="shared" si="2"/>
        <v/>
      </c>
      <c r="K20" s="936" t="str">
        <f t="shared" si="3"/>
        <v/>
      </c>
      <c r="L20" s="936" t="str">
        <f t="shared" si="4"/>
        <v/>
      </c>
      <c r="M20" s="937" t="str">
        <f t="shared" si="5"/>
        <v/>
      </c>
      <c r="N20" s="932">
        <f>'ENV. PLACAS'!C19</f>
        <v>14</v>
      </c>
      <c r="O20" s="751" t="str">
        <f>IFERROR(UPPER('ENV. PLACAS'!D19),"")</f>
        <v>FILETE C/TT DARUMA</v>
      </c>
      <c r="P20" s="768">
        <f>'ENV. PLACAS'!AC19</f>
        <v>0</v>
      </c>
      <c r="Q20" s="768">
        <f>'ENV. PLACAS'!AD19</f>
        <v>0</v>
      </c>
      <c r="R20" s="751">
        <f>'ENV. PLACAS'!AE19</f>
        <v>0</v>
      </c>
      <c r="S20" s="751" t="str">
        <f t="shared" si="6"/>
        <v/>
      </c>
      <c r="T20" s="751">
        <f>SUMIF('RES-EN'!$D$6:$D$53,O20,'RES-EN'!$Q$6:$Q$53)</f>
        <v>0</v>
      </c>
      <c r="U20" s="751">
        <f>SUMIF('RES-EN'!$D$6:$D$53,O20,'RES-EN'!$R$6:$R$53)</f>
        <v>0</v>
      </c>
      <c r="V20" s="751">
        <f>SUMIF('RES-EN'!$D$6:$D$53,O20,'RES-EN'!$S$6:$S$53)</f>
        <v>0</v>
      </c>
      <c r="W20" s="751" t="str">
        <f t="shared" si="7"/>
        <v/>
      </c>
      <c r="X20" s="751">
        <f t="shared" si="8"/>
        <v>0</v>
      </c>
      <c r="Y20" s="751" t="str">
        <f t="shared" si="9"/>
        <v/>
      </c>
      <c r="Z20" s="105"/>
      <c r="AA20" s="918" t="str">
        <f>IFERROR(INDEX($N$7:$N$55,_xlfn.AGGREGATE(15,6,(ROW($O$7:$O$55)-ROW($O$7)+1)/(((MOD($R$7:$R$55,$B$3)&gt;0)+(MOD($V$7:$V$55,$B$3)&gt;0))&gt;0),ROWS($AA$7:AA20))),"")</f>
        <v/>
      </c>
      <c r="AB20" s="919" t="str">
        <f t="shared" si="10"/>
        <v/>
      </c>
      <c r="AC20" s="900" t="str">
        <f t="shared" si="11"/>
        <v/>
      </c>
      <c r="AD20" s="900" t="str">
        <f t="shared" si="12"/>
        <v/>
      </c>
      <c r="AE20" s="920" t="str">
        <f t="shared" si="13"/>
        <v/>
      </c>
      <c r="AF20" s="105"/>
      <c r="AG20" s="898" t="str">
        <f t="shared" si="14"/>
        <v/>
      </c>
      <c r="AH20" s="899" t="str">
        <f t="shared" si="15"/>
        <v/>
      </c>
      <c r="AI20" s="900" t="str">
        <f t="shared" si="16"/>
        <v/>
      </c>
      <c r="AJ20" s="900" t="str">
        <f t="shared" si="17"/>
        <v/>
      </c>
      <c r="AK20" s="901"/>
      <c r="AL20" s="901"/>
      <c r="AM20" s="902" t="str">
        <f t="shared" si="18"/>
        <v/>
      </c>
      <c r="AN20" s="902" t="str">
        <f t="shared" si="19"/>
        <v/>
      </c>
      <c r="AO20" s="902" t="str">
        <f t="shared" si="20"/>
        <v/>
      </c>
      <c r="AP20" s="900" t="str">
        <f t="shared" si="21"/>
        <v/>
      </c>
      <c r="AQ20" s="902" t="str">
        <f t="shared" si="22"/>
        <v/>
      </c>
      <c r="AR20" s="900" t="str">
        <f t="shared" si="23"/>
        <v/>
      </c>
      <c r="AS20" s="902" t="str">
        <f t="shared" si="24"/>
        <v/>
      </c>
      <c r="AT20" s="902" t="str">
        <f t="shared" si="25"/>
        <v/>
      </c>
      <c r="AU20" s="902" t="str">
        <f t="shared" si="26"/>
        <v/>
      </c>
      <c r="AV20" s="903" t="str">
        <f t="shared" si="27"/>
        <v/>
      </c>
      <c r="AW20" s="105"/>
      <c r="AX20" s="105"/>
      <c r="AY20" s="105"/>
      <c r="AZ20" s="105"/>
      <c r="BA20" s="105"/>
      <c r="BB20" s="823" t="str">
        <f>IF(PP!C20="","",PP!C20)</f>
        <v xml:space="preserve"> </v>
      </c>
      <c r="BC20" s="824" t="str">
        <f>IF(PP!D20="","",PP!D20)</f>
        <v/>
      </c>
      <c r="BD20" s="824" t="str">
        <f>IF(PP!E20="","",PP!E20)</f>
        <v/>
      </c>
      <c r="BE20" s="824" t="str">
        <f>IF(PP!F20="","",PP!F20)</f>
        <v/>
      </c>
      <c r="BF20" s="824" t="str">
        <f>IF(PP!G20="","",PP!G20)</f>
        <v/>
      </c>
      <c r="BG20" s="824" t="str">
        <f>IF(PP!H20="","",PP!H20)</f>
        <v/>
      </c>
      <c r="BH20" s="824" t="str">
        <f>IF(PP!I20="","",PP!I20)</f>
        <v/>
      </c>
      <c r="BI20" s="825" t="str">
        <f>IF(PP!J20="","",PP!J20)</f>
        <v/>
      </c>
      <c r="BJ20" s="825"/>
      <c r="BK20" s="825"/>
      <c r="BL20" s="826">
        <f>IF(PP!K20="","",PP!K20)</f>
        <v>0</v>
      </c>
      <c r="BN20" s="764" t="str">
        <f>IF(PP!L20="","",PP!L20)</f>
        <v/>
      </c>
      <c r="BO20" s="765" t="str">
        <f>IF(PP!M20="","",PP!M20)</f>
        <v/>
      </c>
      <c r="BP20" s="755"/>
    </row>
    <row r="21" spans="1:68" ht="26.25" thickBot="1">
      <c r="A21" s="933" t="str">
        <f>IFERROR(INDEX($N$7:$N$55,_xlfn.AGGREGATE(15,6,(ROW($X$7:$X$55)-ROW($X$7)+1)/($X$7:$X$55&gt;0),ROWS($B$7:B21))),"")</f>
        <v/>
      </c>
      <c r="B21" s="938" t="str">
        <f>IFERROR(UPPER(INDEX($O$7:$Y$55,_xlfn.AGGREGATE(15,6,(ROW($X$7:$X$55)-ROW($X$7)+1)/($X$7:$X$55&gt;0),ROWS($B$7:B21)),1)),"")</f>
        <v/>
      </c>
      <c r="C21" s="935" t="str">
        <f>IFERROR(INDEX($O$7:$Y$55,_xlfn.AGGREGATE(15,6,(ROW($X$7:$X$55)-ROW($X$7)+1)/($X$7:$X$55&gt;0),ROWS($B$7:B21)),2),"")</f>
        <v/>
      </c>
      <c r="D21" s="928" t="str">
        <f>IFERROR(INDEX($O$7:$Y$55,_xlfn.AGGREGATE(15,6,(ROW($X$7:$X$55)-ROW($X$7)+1)/($X$7:$X$55&gt;0),ROWS($B$7:B21)),4),"")</f>
        <v/>
      </c>
      <c r="E21" s="935" t="str">
        <f t="shared" si="0"/>
        <v/>
      </c>
      <c r="F21" s="935" t="str">
        <f>IFERROR(INDEX($O$7:$Y$55,_xlfn.AGGREGATE(15,6,(ROW($X$7:$X$55)-ROW($X$7)+1)/($X$7:$X$55&gt;0),ROWS($B$7:B21)),6),"")</f>
        <v/>
      </c>
      <c r="G21" s="928" t="str">
        <f>IFERROR(INDEX($O$7:$Y$55,_xlfn.AGGREGATE(15,6,(ROW($X$7:$X$55)-ROW($X$7)+1)/($X$7:$X$55&gt;0),ROWS($B$7:B21)),8),"")</f>
        <v/>
      </c>
      <c r="H21" s="935" t="str">
        <f t="shared" si="1"/>
        <v/>
      </c>
      <c r="I21" s="928" t="str">
        <f>IFERROR(INDEX($O$7:$Y$55,_xlfn.AGGREGATE(15,6,(ROW($X$7:$X$55)-ROW($X$7)+1)/($X$7:$X$55&gt;0),ROWS($B$7:B21)),10),"")</f>
        <v/>
      </c>
      <c r="J21" s="935" t="str">
        <f t="shared" si="2"/>
        <v/>
      </c>
      <c r="K21" s="936" t="str">
        <f t="shared" si="3"/>
        <v/>
      </c>
      <c r="L21" s="936" t="str">
        <f t="shared" si="4"/>
        <v/>
      </c>
      <c r="M21" s="937" t="str">
        <f t="shared" si="5"/>
        <v/>
      </c>
      <c r="N21" s="932">
        <f>'ENV. PLACAS'!C20</f>
        <v>15</v>
      </c>
      <c r="O21" s="751" t="str">
        <f>IFERROR(UPPER('ENV. PLACAS'!D20),"")</f>
        <v>FILETE C/M C/T TRES PIELES 1.0-2.0 KG/PZA</v>
      </c>
      <c r="P21" s="768">
        <f>'ENV. PLACAS'!AC20</f>
        <v>0</v>
      </c>
      <c r="Q21" s="768">
        <f>'ENV. PLACAS'!AD20</f>
        <v>0</v>
      </c>
      <c r="R21" s="751">
        <f>'ENV. PLACAS'!AE20</f>
        <v>0</v>
      </c>
      <c r="S21" s="751" t="str">
        <f t="shared" si="6"/>
        <v/>
      </c>
      <c r="T21" s="751">
        <f>SUMIF('RES-EN'!$D$6:$D$53,O21,'RES-EN'!$Q$6:$Q$53)</f>
        <v>0</v>
      </c>
      <c r="U21" s="751">
        <f>SUMIF('RES-EN'!$D$6:$D$53,O21,'RES-EN'!$R$6:$R$53)</f>
        <v>0</v>
      </c>
      <c r="V21" s="751">
        <f>SUMIF('RES-EN'!$D$6:$D$53,O21,'RES-EN'!$S$6:$S$53)</f>
        <v>0</v>
      </c>
      <c r="W21" s="751" t="str">
        <f t="shared" si="7"/>
        <v/>
      </c>
      <c r="X21" s="751">
        <f t="shared" si="8"/>
        <v>0</v>
      </c>
      <c r="Y21" s="751" t="str">
        <f t="shared" si="9"/>
        <v/>
      </c>
      <c r="Z21" s="105"/>
      <c r="AA21" s="918" t="str">
        <f>IFERROR(INDEX($N$7:$N$55,_xlfn.AGGREGATE(15,6,(ROW($O$7:$O$55)-ROW($O$7)+1)/(((MOD($R$7:$R$55,$B$3)&gt;0)+(MOD($V$7:$V$55,$B$3)&gt;0))&gt;0),ROWS($AA$7:AA21))),"")</f>
        <v/>
      </c>
      <c r="AB21" s="919" t="str">
        <f t="shared" si="10"/>
        <v/>
      </c>
      <c r="AC21" s="900" t="str">
        <f t="shared" si="11"/>
        <v/>
      </c>
      <c r="AD21" s="900" t="str">
        <f t="shared" si="12"/>
        <v/>
      </c>
      <c r="AE21" s="920" t="str">
        <f t="shared" si="13"/>
        <v/>
      </c>
      <c r="AF21" s="105"/>
      <c r="AG21" s="898" t="str">
        <f t="shared" si="14"/>
        <v/>
      </c>
      <c r="AH21" s="899" t="str">
        <f t="shared" si="15"/>
        <v/>
      </c>
      <c r="AI21" s="900" t="str">
        <f t="shared" si="16"/>
        <v/>
      </c>
      <c r="AJ21" s="900" t="str">
        <f t="shared" si="17"/>
        <v/>
      </c>
      <c r="AK21" s="901"/>
      <c r="AL21" s="901"/>
      <c r="AM21" s="902" t="str">
        <f t="shared" si="18"/>
        <v/>
      </c>
      <c r="AN21" s="902" t="str">
        <f t="shared" si="19"/>
        <v/>
      </c>
      <c r="AO21" s="902" t="str">
        <f t="shared" si="20"/>
        <v/>
      </c>
      <c r="AP21" s="900" t="str">
        <f t="shared" si="21"/>
        <v/>
      </c>
      <c r="AQ21" s="902" t="str">
        <f t="shared" si="22"/>
        <v/>
      </c>
      <c r="AR21" s="900" t="str">
        <f t="shared" si="23"/>
        <v/>
      </c>
      <c r="AS21" s="902" t="str">
        <f t="shared" si="24"/>
        <v/>
      </c>
      <c r="AT21" s="902" t="str">
        <f t="shared" si="25"/>
        <v/>
      </c>
      <c r="AU21" s="902" t="str">
        <f t="shared" si="26"/>
        <v/>
      </c>
      <c r="AV21" s="903" t="str">
        <f t="shared" si="27"/>
        <v/>
      </c>
      <c r="AW21" s="105"/>
      <c r="AX21" s="105"/>
      <c r="AY21" s="105"/>
      <c r="AZ21" s="105"/>
      <c r="BA21" s="105"/>
      <c r="BB21" s="827" t="str">
        <f>IF(PP!B21="","",PP!B21)</f>
        <v/>
      </c>
      <c r="BC21" s="788" t="str">
        <f>IF(PP!C21="","",PP!C21)</f>
        <v/>
      </c>
      <c r="BD21" s="788" t="str">
        <f>IF(PP!D21="","",PP!D21)</f>
        <v/>
      </c>
      <c r="BE21" s="828" t="str">
        <f>IF(PP!E21="","",PP!E21)</f>
        <v/>
      </c>
      <c r="BF21" s="828" t="str">
        <f>IF(PP!F21="","",PP!F21)</f>
        <v/>
      </c>
      <c r="BG21" s="828" t="str">
        <f>IF(PP!G21="","",PP!G21)</f>
        <v/>
      </c>
      <c r="BH21" s="828" t="str">
        <f>IF(PP!H21="","",PP!H21)</f>
        <v/>
      </c>
      <c r="BI21" s="788" t="str">
        <f>IF(PP!I21="","",PP!I21)</f>
        <v/>
      </c>
      <c r="BJ21" s="788"/>
      <c r="BK21" s="788"/>
      <c r="BL21" s="787" t="str">
        <f>IF(PP!J21="","",PP!J21)</f>
        <v/>
      </c>
      <c r="BM21" s="607" t="str">
        <f>IF(PP!K21="","",PP!K21)</f>
        <v/>
      </c>
      <c r="BN21" s="764" t="str">
        <f>IF(PP!L21="","",PP!L21)</f>
        <v/>
      </c>
      <c r="BO21" s="765" t="str">
        <f>IF(PP!M21="","",PP!M21)</f>
        <v/>
      </c>
      <c r="BP21" s="755"/>
    </row>
    <row r="22" spans="1:68" ht="26.25" thickBot="1">
      <c r="A22" s="933" t="str">
        <f>IFERROR(INDEX($N$7:$N$55,_xlfn.AGGREGATE(15,6,(ROW($X$7:$X$55)-ROW($X$7)+1)/($X$7:$X$55&gt;0),ROWS($B$7:B22))),"")</f>
        <v/>
      </c>
      <c r="B22" s="938" t="str">
        <f>IFERROR(UPPER(INDEX($O$7:$Y$55,_xlfn.AGGREGATE(15,6,(ROW($X$7:$X$55)-ROW($X$7)+1)/($X$7:$X$55&gt;0),ROWS($B$7:B22)),1)),"")</f>
        <v/>
      </c>
      <c r="C22" s="935" t="str">
        <f>IFERROR(INDEX($O$7:$Y$55,_xlfn.AGGREGATE(15,6,(ROW($X$7:$X$55)-ROW($X$7)+1)/($X$7:$X$55&gt;0),ROWS($B$7:B22)),2),"")</f>
        <v/>
      </c>
      <c r="D22" s="928" t="str">
        <f>IFERROR(INDEX($O$7:$Y$55,_xlfn.AGGREGATE(15,6,(ROW($X$7:$X$55)-ROW($X$7)+1)/($X$7:$X$55&gt;0),ROWS($B$7:B22)),4),"")</f>
        <v/>
      </c>
      <c r="E22" s="935" t="str">
        <f t="shared" si="0"/>
        <v/>
      </c>
      <c r="F22" s="935" t="str">
        <f>IFERROR(INDEX($O$7:$Y$55,_xlfn.AGGREGATE(15,6,(ROW($X$7:$X$55)-ROW($X$7)+1)/($X$7:$X$55&gt;0),ROWS($B$7:B22)),6),"")</f>
        <v/>
      </c>
      <c r="G22" s="928" t="str">
        <f>IFERROR(INDEX($O$7:$Y$55,_xlfn.AGGREGATE(15,6,(ROW($X$7:$X$55)-ROW($X$7)+1)/($X$7:$X$55&gt;0),ROWS($B$7:B22)),8),"")</f>
        <v/>
      </c>
      <c r="H22" s="935" t="str">
        <f t="shared" si="1"/>
        <v/>
      </c>
      <c r="I22" s="928" t="str">
        <f>IFERROR(INDEX($O$7:$Y$55,_xlfn.AGGREGATE(15,6,(ROW($X$7:$X$55)-ROW($X$7)+1)/($X$7:$X$55&gt;0),ROWS($B$7:B22)),10),"")</f>
        <v/>
      </c>
      <c r="J22" s="935" t="str">
        <f t="shared" si="2"/>
        <v/>
      </c>
      <c r="K22" s="936" t="str">
        <f t="shared" si="3"/>
        <v/>
      </c>
      <c r="L22" s="936" t="str">
        <f t="shared" si="4"/>
        <v/>
      </c>
      <c r="M22" s="937" t="str">
        <f t="shared" si="5"/>
        <v/>
      </c>
      <c r="N22" s="932">
        <f>'ENV. PLACAS'!C21</f>
        <v>16</v>
      </c>
      <c r="O22" s="751" t="str">
        <f>IFERROR(UPPER('ENV. PLACAS'!D21),"")</f>
        <v>FILETE C/M C/T TRES PIELES 2.0-4.0 KG/PZA</v>
      </c>
      <c r="P22" s="768">
        <f>'ENV. PLACAS'!AC21</f>
        <v>0</v>
      </c>
      <c r="Q22" s="768">
        <f>'ENV. PLACAS'!AD21</f>
        <v>0</v>
      </c>
      <c r="R22" s="751">
        <f>'ENV. PLACAS'!AE21</f>
        <v>0</v>
      </c>
      <c r="S22" s="751" t="str">
        <f t="shared" si="6"/>
        <v/>
      </c>
      <c r="T22" s="751">
        <f>SUMIF('RES-EN'!$D$6:$D$53,O22,'RES-EN'!$Q$6:$Q$53)</f>
        <v>0</v>
      </c>
      <c r="U22" s="751">
        <f>SUMIF('RES-EN'!$D$6:$D$53,O22,'RES-EN'!$R$6:$R$53)</f>
        <v>0</v>
      </c>
      <c r="V22" s="751">
        <f>SUMIF('RES-EN'!$D$6:$D$53,O22,'RES-EN'!$S$6:$S$53)</f>
        <v>0</v>
      </c>
      <c r="W22" s="751" t="str">
        <f t="shared" si="7"/>
        <v/>
      </c>
      <c r="X22" s="751">
        <f t="shared" si="8"/>
        <v>0</v>
      </c>
      <c r="Y22" s="751" t="str">
        <f t="shared" si="9"/>
        <v/>
      </c>
      <c r="Z22" s="105"/>
      <c r="AA22" s="918" t="str">
        <f>IFERROR(INDEX($N$7:$N$55,_xlfn.AGGREGATE(15,6,(ROW($O$7:$O$55)-ROW($O$7)+1)/(((MOD($R$7:$R$55,$B$3)&gt;0)+(MOD($V$7:$V$55,$B$3)&gt;0))&gt;0),ROWS($AA$7:AA22))),"")</f>
        <v/>
      </c>
      <c r="AB22" s="919" t="str">
        <f t="shared" si="10"/>
        <v/>
      </c>
      <c r="AC22" s="900" t="str">
        <f t="shared" si="11"/>
        <v/>
      </c>
      <c r="AD22" s="900" t="str">
        <f t="shared" si="12"/>
        <v/>
      </c>
      <c r="AE22" s="920" t="str">
        <f t="shared" si="13"/>
        <v/>
      </c>
      <c r="AF22" s="105"/>
      <c r="AG22" s="898" t="str">
        <f t="shared" si="14"/>
        <v/>
      </c>
      <c r="AH22" s="899" t="str">
        <f t="shared" si="15"/>
        <v/>
      </c>
      <c r="AI22" s="900" t="str">
        <f t="shared" si="16"/>
        <v/>
      </c>
      <c r="AJ22" s="900" t="str">
        <f t="shared" si="17"/>
        <v/>
      </c>
      <c r="AK22" s="901"/>
      <c r="AL22" s="901"/>
      <c r="AM22" s="902" t="str">
        <f t="shared" si="18"/>
        <v/>
      </c>
      <c r="AN22" s="902" t="str">
        <f t="shared" si="19"/>
        <v/>
      </c>
      <c r="AO22" s="902" t="str">
        <f t="shared" si="20"/>
        <v/>
      </c>
      <c r="AP22" s="900" t="str">
        <f t="shared" si="21"/>
        <v/>
      </c>
      <c r="AQ22" s="902" t="str">
        <f t="shared" si="22"/>
        <v/>
      </c>
      <c r="AR22" s="900" t="str">
        <f t="shared" si="23"/>
        <v/>
      </c>
      <c r="AS22" s="902" t="str">
        <f t="shared" si="24"/>
        <v/>
      </c>
      <c r="AT22" s="902" t="str">
        <f t="shared" si="25"/>
        <v/>
      </c>
      <c r="AU22" s="902" t="str">
        <f t="shared" si="26"/>
        <v/>
      </c>
      <c r="AV22" s="903" t="str">
        <f t="shared" si="27"/>
        <v/>
      </c>
      <c r="AW22" s="105"/>
      <c r="AX22" s="105"/>
      <c r="AY22" s="105"/>
      <c r="AZ22" s="105"/>
      <c r="BA22" s="105"/>
      <c r="BB22" s="2894" t="str">
        <f>IF(PP!B22="","",PP!B22)</f>
        <v>EMPAQUE</v>
      </c>
      <c r="BC22" s="2895"/>
      <c r="BD22" s="829" t="str">
        <f>IF(PP!D22="","",PP!D22)</f>
        <v/>
      </c>
      <c r="BE22" s="830" t="str">
        <f>IF(PP!E22="","",PP!E22)</f>
        <v>TUNEL</v>
      </c>
      <c r="BF22" s="831" t="str">
        <f>IF(PP!F22="","",PP!F22)</f>
        <v>TUNEL</v>
      </c>
      <c r="BG22" s="832" t="str">
        <f>IF(PP!G22="","",PP!G22)</f>
        <v>PLACA</v>
      </c>
      <c r="BH22" s="832" t="str">
        <f>IF(PP!H22="","",PP!H22)</f>
        <v>PLACA</v>
      </c>
      <c r="BI22" s="940" t="s">
        <v>203</v>
      </c>
      <c r="BJ22" s="940" t="s">
        <v>144</v>
      </c>
      <c r="BK22" s="833"/>
      <c r="BL22" s="833" t="str">
        <f>IF(PP!J22="","",PP!J22)</f>
        <v/>
      </c>
      <c r="BM22" s="778" t="str">
        <f>IF(PP!K22="","",PP!K22)</f>
        <v/>
      </c>
      <c r="BN22" s="764" t="str">
        <f>IF(PP!L22="","",PP!L22)</f>
        <v/>
      </c>
      <c r="BO22" s="765" t="str">
        <f>IF(PP!M22="","",PP!M22)</f>
        <v/>
      </c>
      <c r="BP22" s="755"/>
    </row>
    <row r="23" spans="1:68" ht="26.25" thickBot="1">
      <c r="A23" s="933" t="str">
        <f>IFERROR(INDEX($N$7:$N$55,_xlfn.AGGREGATE(15,6,(ROW($X$7:$X$55)-ROW($X$7)+1)/($X$7:$X$55&gt;0),ROWS($B$7:B23))),"")</f>
        <v/>
      </c>
      <c r="B23" s="938" t="str">
        <f>IFERROR(UPPER(INDEX($O$7:$Y$55,_xlfn.AGGREGATE(15,6,(ROW($X$7:$X$55)-ROW($X$7)+1)/($X$7:$X$55&gt;0),ROWS($B$7:B23)),1)),"")</f>
        <v/>
      </c>
      <c r="C23" s="935" t="str">
        <f>IFERROR(INDEX($O$7:$Y$55,_xlfn.AGGREGATE(15,6,(ROW($X$7:$X$55)-ROW($X$7)+1)/($X$7:$X$55&gt;0),ROWS($B$7:B23)),2),"")</f>
        <v/>
      </c>
      <c r="D23" s="928" t="str">
        <f>IFERROR(INDEX($O$7:$Y$55,_xlfn.AGGREGATE(15,6,(ROW($X$7:$X$55)-ROW($X$7)+1)/($X$7:$X$55&gt;0),ROWS($B$7:B23)),4),"")</f>
        <v/>
      </c>
      <c r="E23" s="935" t="str">
        <f t="shared" si="0"/>
        <v/>
      </c>
      <c r="F23" s="935" t="str">
        <f>IFERROR(INDEX($O$7:$Y$55,_xlfn.AGGREGATE(15,6,(ROW($X$7:$X$55)-ROW($X$7)+1)/($X$7:$X$55&gt;0),ROWS($B$7:B23)),6),"")</f>
        <v/>
      </c>
      <c r="G23" s="928" t="str">
        <f>IFERROR(INDEX($O$7:$Y$55,_xlfn.AGGREGATE(15,6,(ROW($X$7:$X$55)-ROW($X$7)+1)/($X$7:$X$55&gt;0),ROWS($B$7:B23)),8),"")</f>
        <v/>
      </c>
      <c r="H23" s="935" t="str">
        <f t="shared" si="1"/>
        <v/>
      </c>
      <c r="I23" s="928" t="str">
        <f>IFERROR(INDEX($O$7:$Y$55,_xlfn.AGGREGATE(15,6,(ROW($X$7:$X$55)-ROW($X$7)+1)/($X$7:$X$55&gt;0),ROWS($B$7:B23)),10),"")</f>
        <v/>
      </c>
      <c r="J23" s="935" t="str">
        <f t="shared" si="2"/>
        <v/>
      </c>
      <c r="K23" s="936" t="str">
        <f t="shared" si="3"/>
        <v/>
      </c>
      <c r="L23" s="936" t="str">
        <f t="shared" si="4"/>
        <v/>
      </c>
      <c r="M23" s="937" t="str">
        <f t="shared" si="5"/>
        <v/>
      </c>
      <c r="N23" s="932">
        <f>'ENV. PLACAS'!C22</f>
        <v>17</v>
      </c>
      <c r="O23" s="751" t="str">
        <f>IFERROR(UPPER('ENV. PLACAS'!D22),"")</f>
        <v>FILETE C/M C/T ENTERO BLANCO 1.0-2.0 KG/PZA</v>
      </c>
      <c r="P23" s="768">
        <f>'ENV. PLACAS'!AC22</f>
        <v>0</v>
      </c>
      <c r="Q23" s="768">
        <f>'ENV. PLACAS'!AD22</f>
        <v>0</v>
      </c>
      <c r="R23" s="751">
        <f>'ENV. PLACAS'!AE22</f>
        <v>0</v>
      </c>
      <c r="S23" s="751" t="str">
        <f t="shared" si="6"/>
        <v/>
      </c>
      <c r="T23" s="751">
        <f>SUMIF('RES-EN'!$D$6:$D$53,O23,'RES-EN'!$Q$6:$Q$53)</f>
        <v>0</v>
      </c>
      <c r="U23" s="751">
        <f>SUMIF('RES-EN'!$D$6:$D$53,O23,'RES-EN'!$R$6:$R$53)</f>
        <v>0</v>
      </c>
      <c r="V23" s="751">
        <f>SUMIF('RES-EN'!$D$6:$D$53,O23,'RES-EN'!$S$6:$S$53)</f>
        <v>0</v>
      </c>
      <c r="W23" s="751" t="str">
        <f t="shared" si="7"/>
        <v/>
      </c>
      <c r="X23" s="751">
        <f t="shared" si="8"/>
        <v>0</v>
      </c>
      <c r="Y23" s="751" t="str">
        <f t="shared" si="9"/>
        <v/>
      </c>
      <c r="Z23" s="105"/>
      <c r="AA23" s="918" t="str">
        <f>IFERROR(INDEX($N$7:$N$55,_xlfn.AGGREGATE(15,6,(ROW($O$7:$O$55)-ROW($O$7)+1)/(((MOD($R$7:$R$55,$B$3)&gt;0)+(MOD($V$7:$V$55,$B$3)&gt;0))&gt;0),ROWS($AA$7:AA23))),"")</f>
        <v/>
      </c>
      <c r="AB23" s="919" t="str">
        <f t="shared" si="10"/>
        <v/>
      </c>
      <c r="AC23" s="900" t="str">
        <f t="shared" si="11"/>
        <v/>
      </c>
      <c r="AD23" s="900" t="str">
        <f t="shared" si="12"/>
        <v/>
      </c>
      <c r="AE23" s="920" t="str">
        <f t="shared" si="13"/>
        <v/>
      </c>
      <c r="AF23" s="105"/>
      <c r="AG23" s="898" t="str">
        <f t="shared" si="14"/>
        <v/>
      </c>
      <c r="AH23" s="899" t="str">
        <f t="shared" si="15"/>
        <v/>
      </c>
      <c r="AI23" s="900" t="str">
        <f t="shared" si="16"/>
        <v/>
      </c>
      <c r="AJ23" s="900" t="str">
        <f t="shared" si="17"/>
        <v/>
      </c>
      <c r="AK23" s="901"/>
      <c r="AL23" s="901"/>
      <c r="AM23" s="902" t="str">
        <f t="shared" si="18"/>
        <v/>
      </c>
      <c r="AN23" s="902" t="str">
        <f t="shared" si="19"/>
        <v/>
      </c>
      <c r="AO23" s="902" t="str">
        <f t="shared" si="20"/>
        <v/>
      </c>
      <c r="AP23" s="900" t="str">
        <f t="shared" si="21"/>
        <v/>
      </c>
      <c r="AQ23" s="902" t="str">
        <f t="shared" si="22"/>
        <v/>
      </c>
      <c r="AR23" s="900" t="str">
        <f t="shared" si="23"/>
        <v/>
      </c>
      <c r="AS23" s="902" t="str">
        <f t="shared" si="24"/>
        <v/>
      </c>
      <c r="AT23" s="902" t="str">
        <f t="shared" si="25"/>
        <v/>
      </c>
      <c r="AU23" s="902" t="str">
        <f t="shared" si="26"/>
        <v/>
      </c>
      <c r="AV23" s="903" t="str">
        <f t="shared" si="27"/>
        <v/>
      </c>
      <c r="AW23" s="105"/>
      <c r="AX23" s="105"/>
      <c r="AY23" s="105"/>
      <c r="AZ23" s="105"/>
      <c r="BA23" s="105"/>
      <c r="BB23" s="834" t="str">
        <f>IF(PP!B23="","",PP!B23)</f>
        <v>ITEM</v>
      </c>
      <c r="BC23" s="835" t="str">
        <f>IF(PP!C23="","",PP!C23)</f>
        <v>DESCRIPCIÓN</v>
      </c>
      <c r="BD23" s="835" t="str">
        <f>IF(PP!D23="","",PP!D23)</f>
        <v/>
      </c>
      <c r="BE23" s="836" t="str">
        <f>IF(PP!E23="","",PP!E23)</f>
        <v>N° DE SACOS X 20 KG</v>
      </c>
      <c r="BF23" s="837" t="str">
        <f>IF(PP!F23="","",PP!F23)</f>
        <v>TOTAL SACOS</v>
      </c>
      <c r="BG23" s="836" t="str">
        <f>IF(PP!G23="","",PP!G23)</f>
        <v>N° DE SACOS X 20 KG</v>
      </c>
      <c r="BH23" s="836" t="str">
        <f>IF(PP!H23="","",PP!H23)</f>
        <v>TOTAL SACOS</v>
      </c>
      <c r="BI23" s="836" t="s">
        <v>7</v>
      </c>
      <c r="BJ23" s="836" t="s">
        <v>7</v>
      </c>
      <c r="BK23" s="836"/>
      <c r="BL23" s="838" t="str">
        <f>IF(PP!J23="","",PP!J23)</f>
        <v>TOTAL KG</v>
      </c>
      <c r="BM23" s="11"/>
      <c r="BN23" s="773" t="str">
        <f>IF(PP!L23="","",PP!L23)</f>
        <v/>
      </c>
      <c r="BO23" s="765" t="str">
        <f>IF(PP!M23="","",PP!M23)</f>
        <v>COLOR ASIGNADO</v>
      </c>
      <c r="BP23" s="755"/>
    </row>
    <row r="24" spans="1:68" ht="25.5">
      <c r="A24" s="933" t="str">
        <f>IFERROR(INDEX($N$7:$N$55,_xlfn.AGGREGATE(15,6,(ROW($X$7:$X$55)-ROW($X$7)+1)/($X$7:$X$55&gt;0),ROWS($B$7:B24))),"")</f>
        <v/>
      </c>
      <c r="B24" s="938" t="str">
        <f>IFERROR(UPPER(INDEX($O$7:$Y$55,_xlfn.AGGREGATE(15,6,(ROW($X$7:$X$55)-ROW($X$7)+1)/($X$7:$X$55&gt;0),ROWS($B$7:B24)),1)),"")</f>
        <v/>
      </c>
      <c r="C24" s="935" t="str">
        <f>IFERROR(INDEX($O$7:$Y$55,_xlfn.AGGREGATE(15,6,(ROW($X$7:$X$55)-ROW($X$7)+1)/($X$7:$X$55&gt;0),ROWS($B$7:B24)),2),"")</f>
        <v/>
      </c>
      <c r="D24" s="928" t="str">
        <f>IFERROR(INDEX($O$7:$Y$55,_xlfn.AGGREGATE(15,6,(ROW($X$7:$X$55)-ROW($X$7)+1)/($X$7:$X$55&gt;0),ROWS($B$7:B24)),4),"")</f>
        <v/>
      </c>
      <c r="E24" s="935" t="str">
        <f t="shared" si="0"/>
        <v/>
      </c>
      <c r="F24" s="935" t="str">
        <f>IFERROR(INDEX($O$7:$Y$55,_xlfn.AGGREGATE(15,6,(ROW($X$7:$X$55)-ROW($X$7)+1)/($X$7:$X$55&gt;0),ROWS($B$7:B24)),6),"")</f>
        <v/>
      </c>
      <c r="G24" s="928" t="str">
        <f>IFERROR(INDEX($O$7:$Y$55,_xlfn.AGGREGATE(15,6,(ROW($X$7:$X$55)-ROW($X$7)+1)/($X$7:$X$55&gt;0),ROWS($B$7:B24)),8),"")</f>
        <v/>
      </c>
      <c r="H24" s="935" t="str">
        <f t="shared" si="1"/>
        <v/>
      </c>
      <c r="I24" s="928" t="str">
        <f>IFERROR(INDEX($O$7:$Y$55,_xlfn.AGGREGATE(15,6,(ROW($X$7:$X$55)-ROW($X$7)+1)/($X$7:$X$55&gt;0),ROWS($B$7:B24)),10),"")</f>
        <v/>
      </c>
      <c r="J24" s="935" t="str">
        <f t="shared" si="2"/>
        <v/>
      </c>
      <c r="K24" s="936" t="str">
        <f t="shared" si="3"/>
        <v/>
      </c>
      <c r="L24" s="936" t="str">
        <f t="shared" si="4"/>
        <v/>
      </c>
      <c r="M24" s="937" t="str">
        <f t="shared" si="5"/>
        <v/>
      </c>
      <c r="N24" s="932">
        <f>'ENV. PLACAS'!C23</f>
        <v>18</v>
      </c>
      <c r="O24" s="751" t="str">
        <f>IFERROR(UPPER('ENV. PLACAS'!D23),"")</f>
        <v>FILETE C/M C/T ENTERO BLANCO 2.0-4.0 KG/PZA</v>
      </c>
      <c r="P24" s="768">
        <f>'ENV. PLACAS'!AC23</f>
        <v>0</v>
      </c>
      <c r="Q24" s="768">
        <f>'ENV. PLACAS'!AD23</f>
        <v>0</v>
      </c>
      <c r="R24" s="751">
        <f>'ENV. PLACAS'!AE23</f>
        <v>0</v>
      </c>
      <c r="S24" s="751" t="str">
        <f t="shared" si="6"/>
        <v/>
      </c>
      <c r="T24" s="751">
        <f>SUMIF('RES-EN'!$D$6:$D$53,O24,'RES-EN'!$Q$6:$Q$53)</f>
        <v>0</v>
      </c>
      <c r="U24" s="751">
        <f>SUMIF('RES-EN'!$D$6:$D$53,O24,'RES-EN'!$R$6:$R$53)</f>
        <v>0</v>
      </c>
      <c r="V24" s="751">
        <f>SUMIF('RES-EN'!$D$6:$D$53,O24,'RES-EN'!$S$6:$S$53)</f>
        <v>0</v>
      </c>
      <c r="W24" s="751" t="str">
        <f t="shared" si="7"/>
        <v/>
      </c>
      <c r="X24" s="751">
        <f t="shared" si="8"/>
        <v>0</v>
      </c>
      <c r="Y24" s="751" t="str">
        <f t="shared" si="9"/>
        <v/>
      </c>
      <c r="Z24" s="105"/>
      <c r="AA24" s="769" t="str">
        <f>IFERROR(INDEX($N$7:$N$55,_xlfn.AGGREGATE(15,6,(ROW($O$7:$O$55)-ROW($O$7)+1)/(((MOD($R$7:$R$55,$B$3)&gt;0)+(MOD($V$7:$V$55,$B$3)&gt;0))&gt;0),ROWS($AA$7:AA24))),"")</f>
        <v/>
      </c>
      <c r="AB24" s="770" t="str">
        <f t="shared" si="10"/>
        <v/>
      </c>
      <c r="AC24" s="771" t="str">
        <f t="shared" si="11"/>
        <v/>
      </c>
      <c r="AD24" s="771" t="str">
        <f t="shared" si="12"/>
        <v/>
      </c>
      <c r="AE24" s="772" t="str">
        <f t="shared" si="13"/>
        <v/>
      </c>
      <c r="AF24" s="105"/>
      <c r="AG24" s="898" t="str">
        <f t="shared" si="14"/>
        <v/>
      </c>
      <c r="AH24" s="899" t="str">
        <f t="shared" si="15"/>
        <v/>
      </c>
      <c r="AI24" s="900" t="str">
        <f t="shared" si="16"/>
        <v/>
      </c>
      <c r="AJ24" s="900" t="str">
        <f t="shared" si="17"/>
        <v/>
      </c>
      <c r="AK24" s="901"/>
      <c r="AL24" s="901"/>
      <c r="AM24" s="902" t="str">
        <f t="shared" si="18"/>
        <v/>
      </c>
      <c r="AN24" s="902" t="str">
        <f t="shared" si="19"/>
        <v/>
      </c>
      <c r="AO24" s="902" t="str">
        <f t="shared" si="20"/>
        <v/>
      </c>
      <c r="AP24" s="900" t="str">
        <f t="shared" si="21"/>
        <v/>
      </c>
      <c r="AQ24" s="902" t="str">
        <f t="shared" si="22"/>
        <v/>
      </c>
      <c r="AR24" s="900" t="str">
        <f t="shared" si="23"/>
        <v/>
      </c>
      <c r="AS24" s="902" t="str">
        <f t="shared" si="24"/>
        <v/>
      </c>
      <c r="AT24" s="902" t="str">
        <f t="shared" si="25"/>
        <v/>
      </c>
      <c r="AU24" s="902" t="str">
        <f t="shared" si="26"/>
        <v/>
      </c>
      <c r="AV24" s="903" t="str">
        <f t="shared" si="27"/>
        <v/>
      </c>
      <c r="AW24" s="105"/>
      <c r="AX24" s="105"/>
      <c r="AY24" s="105"/>
      <c r="AZ24" s="105"/>
      <c r="BA24" s="105"/>
      <c r="BB24" s="839">
        <f>IF(PP!B24="","",PP!B24)</f>
        <v>1</v>
      </c>
      <c r="BC24" s="2878" t="str">
        <f>IF(PP!C24="","",PP!C24)</f>
        <v>ANILLAS BLANCAS SM ST</v>
      </c>
      <c r="BD24" s="2879"/>
      <c r="BE24" s="840">
        <f>IF($BC24="","",IFERROR(INDEX($AT$7:$AT$55,MATCH($BB24,$AG$7:$AG$55,0)),IFERROR(INT(N(INDEX($V$7:$V$55,MATCH($BB24,$N$7:$N$55,0)))/$B$3),0)))</f>
        <v>0</v>
      </c>
      <c r="BF24" s="841">
        <f t="shared" ref="BF24:BF71" si="28">IF($BC24="","",BE24)</f>
        <v>0</v>
      </c>
      <c r="BG24" s="842">
        <f t="shared" ref="BG24:BG71" si="29">IF($BC24="","",IFERROR(INDEX($AS$7:$AS$55,MATCH($BB24,$AG$7:$AG$55,0)),IFERROR(INT(N(INDEX($R$7:$R$55,MATCH($BB24,$N$7:$N$55,0)))/$B$3),0)))</f>
        <v>0</v>
      </c>
      <c r="BH24" s="942">
        <f t="shared" ref="BH24:BH71" si="30">IF($BC24="","",BG24)</f>
        <v>0</v>
      </c>
      <c r="BI24" s="841">
        <f>IF($BC24="","",IFERROR(INDEX($AR$7:$AR$55,MATCH($BB24,$AG$7:$AG$55,0)),IFERROR(MOD(N(INDEX($V$7:$V$55,MATCH($BB24,$N$7:$N$55,0))),$B$3),0)))</f>
        <v>0</v>
      </c>
      <c r="BJ24" s="841">
        <f t="shared" ref="BJ24:BJ55" si="31">IF($BC24="","",IFERROR(INDEX($AP$7:$AP$55,MATCH($BB24,$AG$7:$AG$55,0)),IFERROR(MOD(N(INDEX($R$7:$R$55,MATCH($BB24,$N$7:$N$55,0))),$B$3),0)))</f>
        <v>0</v>
      </c>
      <c r="BK24" s="852"/>
      <c r="BL24" s="841">
        <f t="shared" ref="BL24:BL71" si="32">IF($BC24="","",(N(BF24)+N(BH24))*$B$3)</f>
        <v>0</v>
      </c>
      <c r="BM24" s="12"/>
      <c r="BN24" s="779" t="str">
        <f>IF(PP!L24="","",PP!L24)</f>
        <v/>
      </c>
      <c r="BO24" s="765" t="str">
        <f>IF(PP!M24="","",PP!M24)</f>
        <v>AZUL</v>
      </c>
      <c r="BP24" s="755"/>
    </row>
    <row r="25" spans="1:68" ht="25.5">
      <c r="A25" s="933" t="str">
        <f>IFERROR(INDEX($N$7:$N$55,_xlfn.AGGREGATE(15,6,(ROW($X$7:$X$55)-ROW($X$7)+1)/($X$7:$X$55&gt;0),ROWS($B$7:B25))),"")</f>
        <v/>
      </c>
      <c r="B25" s="938" t="str">
        <f>IFERROR(UPPER(INDEX($O$7:$Y$55,_xlfn.AGGREGATE(15,6,(ROW($X$7:$X$55)-ROW($X$7)+1)/($X$7:$X$55&gt;0),ROWS($B$7:B25)),1)),"")</f>
        <v/>
      </c>
      <c r="C25" s="935" t="str">
        <f>IFERROR(INDEX($O$7:$Y$55,_xlfn.AGGREGATE(15,6,(ROW($X$7:$X$55)-ROW($X$7)+1)/($X$7:$X$55&gt;0),ROWS($B$7:B25)),2),"")</f>
        <v/>
      </c>
      <c r="D25" s="928" t="str">
        <f>IFERROR(INDEX($O$7:$Y$55,_xlfn.AGGREGATE(15,6,(ROW($X$7:$X$55)-ROW($X$7)+1)/($X$7:$X$55&gt;0),ROWS($B$7:B25)),4),"")</f>
        <v/>
      </c>
      <c r="E25" s="935" t="str">
        <f t="shared" si="0"/>
        <v/>
      </c>
      <c r="F25" s="935" t="str">
        <f>IFERROR(INDEX($O$7:$Y$55,_xlfn.AGGREGATE(15,6,(ROW($X$7:$X$55)-ROW($X$7)+1)/($X$7:$X$55&gt;0),ROWS($B$7:B25)),6),"")</f>
        <v/>
      </c>
      <c r="G25" s="928" t="str">
        <f>IFERROR(INDEX($O$7:$Y$55,_xlfn.AGGREGATE(15,6,(ROW($X$7:$X$55)-ROW($X$7)+1)/($X$7:$X$55&gt;0),ROWS($B$7:B25)),8),"")</f>
        <v/>
      </c>
      <c r="H25" s="935" t="str">
        <f t="shared" si="1"/>
        <v/>
      </c>
      <c r="I25" s="928" t="str">
        <f>IFERROR(INDEX($O$7:$Y$55,_xlfn.AGGREGATE(15,6,(ROW($X$7:$X$55)-ROW($X$7)+1)/($X$7:$X$55&gt;0),ROWS($B$7:B25)),10),"")</f>
        <v/>
      </c>
      <c r="J25" s="935" t="str">
        <f t="shared" si="2"/>
        <v/>
      </c>
      <c r="K25" s="936" t="str">
        <f t="shared" si="3"/>
        <v/>
      </c>
      <c r="L25" s="936" t="str">
        <f t="shared" si="4"/>
        <v/>
      </c>
      <c r="M25" s="937" t="str">
        <f t="shared" si="5"/>
        <v/>
      </c>
      <c r="N25" s="932">
        <f>'ENV. PLACAS'!C24</f>
        <v>19</v>
      </c>
      <c r="O25" s="751" t="str">
        <f>IFERROR(UPPER('ENV. PLACAS'!D24),"")</f>
        <v>FILETE LP C/M C/T ENTERO 2.0-4.0 KG/PZA</v>
      </c>
      <c r="P25" s="768">
        <f>'ENV. PLACAS'!AC24</f>
        <v>0</v>
      </c>
      <c r="Q25" s="768">
        <f>'ENV. PLACAS'!AD24</f>
        <v>0</v>
      </c>
      <c r="R25" s="751">
        <f>'ENV. PLACAS'!AE24</f>
        <v>0</v>
      </c>
      <c r="S25" s="751" t="str">
        <f t="shared" si="6"/>
        <v/>
      </c>
      <c r="T25" s="751">
        <f>SUMIF('RES-EN'!$D$6:$D$53,O25,'RES-EN'!$Q$6:$Q$53)</f>
        <v>0</v>
      </c>
      <c r="U25" s="751">
        <f>SUMIF('RES-EN'!$D$6:$D$53,O25,'RES-EN'!$R$6:$R$53)</f>
        <v>0</v>
      </c>
      <c r="V25" s="751">
        <f>SUMIF('RES-EN'!$D$6:$D$53,O25,'RES-EN'!$S$6:$S$53)</f>
        <v>0</v>
      </c>
      <c r="W25" s="751" t="str">
        <f t="shared" si="7"/>
        <v/>
      </c>
      <c r="X25" s="751">
        <f t="shared" si="8"/>
        <v>0</v>
      </c>
      <c r="Y25" s="751" t="str">
        <f t="shared" si="9"/>
        <v/>
      </c>
      <c r="Z25" s="105"/>
      <c r="AA25" s="769" t="str">
        <f>IFERROR(INDEX($N$7:$N$55,_xlfn.AGGREGATE(15,6,(ROW($O$7:$O$55)-ROW($O$7)+1)/(((MOD($R$7:$R$55,$B$3)&gt;0)+(MOD($V$7:$V$55,$B$3)&gt;0))&gt;0),ROWS($AA$7:AA25))),"")</f>
        <v/>
      </c>
      <c r="AB25" s="770" t="str">
        <f t="shared" si="10"/>
        <v/>
      </c>
      <c r="AC25" s="771" t="str">
        <f t="shared" si="11"/>
        <v/>
      </c>
      <c r="AD25" s="771" t="str">
        <f t="shared" si="12"/>
        <v/>
      </c>
      <c r="AE25" s="772" t="str">
        <f t="shared" si="13"/>
        <v/>
      </c>
      <c r="AF25" s="105"/>
      <c r="AG25" s="898" t="str">
        <f t="shared" si="14"/>
        <v/>
      </c>
      <c r="AH25" s="899" t="str">
        <f t="shared" si="15"/>
        <v/>
      </c>
      <c r="AI25" s="900" t="str">
        <f t="shared" si="16"/>
        <v/>
      </c>
      <c r="AJ25" s="900" t="str">
        <f t="shared" si="17"/>
        <v/>
      </c>
      <c r="AK25" s="901"/>
      <c r="AL25" s="901"/>
      <c r="AM25" s="902" t="str">
        <f t="shared" si="18"/>
        <v/>
      </c>
      <c r="AN25" s="902" t="str">
        <f t="shared" si="19"/>
        <v/>
      </c>
      <c r="AO25" s="902" t="str">
        <f t="shared" si="20"/>
        <v/>
      </c>
      <c r="AP25" s="900" t="str">
        <f t="shared" si="21"/>
        <v/>
      </c>
      <c r="AQ25" s="902" t="str">
        <f t="shared" si="22"/>
        <v/>
      </c>
      <c r="AR25" s="900" t="str">
        <f t="shared" si="23"/>
        <v/>
      </c>
      <c r="AS25" s="902" t="str">
        <f t="shared" si="24"/>
        <v/>
      </c>
      <c r="AT25" s="902" t="str">
        <f t="shared" si="25"/>
        <v/>
      </c>
      <c r="AU25" s="902" t="str">
        <f t="shared" si="26"/>
        <v/>
      </c>
      <c r="AV25" s="903" t="str">
        <f t="shared" si="27"/>
        <v/>
      </c>
      <c r="AW25" s="105"/>
      <c r="AX25" s="105"/>
      <c r="AY25" s="105"/>
      <c r="AZ25" s="105"/>
      <c r="BA25" s="105"/>
      <c r="BB25" s="843">
        <f>IF(PP!B25="","",PP!B25)</f>
        <v>2</v>
      </c>
      <c r="BC25" s="2880" t="str">
        <f>IF(PP!C25="","",PP!C25)</f>
        <v>ANILLAS AMARILLAS SM ST</v>
      </c>
      <c r="BD25" s="2881"/>
      <c r="BE25" s="844">
        <f t="shared" ref="BE25:BE71" si="33">IF($BC25="","",IFERROR(INDEX($AT$7:$AT$55,MATCH($BB25,$AG$7:$AG$55,0)),IFERROR(INT(N(INDEX($V$7:$V$55,MATCH($BB25,$N$7:$N$55,0)))/$B$3),0)))</f>
        <v>0</v>
      </c>
      <c r="BF25" s="845">
        <f t="shared" si="28"/>
        <v>0</v>
      </c>
      <c r="BG25" s="846">
        <f t="shared" si="29"/>
        <v>0</v>
      </c>
      <c r="BH25" s="943">
        <f t="shared" si="30"/>
        <v>0</v>
      </c>
      <c r="BI25" s="845">
        <f t="shared" ref="BI25:BI55" si="34">IF($BC25="","",IFERROR(INDEX($AR$7:$AR$55,MATCH($BB25,$AG$7:$AG$55,0)),IFERROR(MOD(N(INDEX($V$7:$V$55,MATCH($BB25,$N$7:$N$55,0))),$B$3),0)))</f>
        <v>0</v>
      </c>
      <c r="BJ25" s="845">
        <f t="shared" si="31"/>
        <v>0</v>
      </c>
      <c r="BK25" s="854"/>
      <c r="BL25" s="845">
        <f t="shared" si="32"/>
        <v>0</v>
      </c>
      <c r="BM25" s="12"/>
      <c r="BN25" s="779" t="str">
        <f>IF(PP!L25="","",PP!L25)</f>
        <v/>
      </c>
      <c r="BO25" s="765" t="str">
        <f>IF(PP!M25="","",PP!M25)</f>
        <v>AMARILLO</v>
      </c>
      <c r="BP25" s="755"/>
    </row>
    <row r="26" spans="1:68" ht="26.25" thickBot="1">
      <c r="A26" s="933" t="str">
        <f>IFERROR(INDEX($N$7:$N$55,_xlfn.AGGREGATE(15,6,(ROW($X$7:$X$55)-ROW($X$7)+1)/($X$7:$X$55&gt;0),ROWS($B$7:B26))),"")</f>
        <v/>
      </c>
      <c r="B26" s="938" t="str">
        <f>IFERROR(UPPER(INDEX($O$7:$Y$55,_xlfn.AGGREGATE(15,6,(ROW($X$7:$X$55)-ROW($X$7)+1)/($X$7:$X$55&gt;0),ROWS($B$7:B26)),1)),"")</f>
        <v/>
      </c>
      <c r="C26" s="935" t="str">
        <f>IFERROR(INDEX($O$7:$Y$55,_xlfn.AGGREGATE(15,6,(ROW($X$7:$X$55)-ROW($X$7)+1)/($X$7:$X$55&gt;0),ROWS($B$7:B26)),2),"")</f>
        <v/>
      </c>
      <c r="D26" s="928" t="str">
        <f>IFERROR(INDEX($O$7:$Y$55,_xlfn.AGGREGATE(15,6,(ROW($X$7:$X$55)-ROW($X$7)+1)/($X$7:$X$55&gt;0),ROWS($B$7:B26)),4),"")</f>
        <v/>
      </c>
      <c r="E26" s="935" t="str">
        <f t="shared" si="0"/>
        <v/>
      </c>
      <c r="F26" s="935" t="str">
        <f>IFERROR(INDEX($O$7:$Y$55,_xlfn.AGGREGATE(15,6,(ROW($X$7:$X$55)-ROW($X$7)+1)/($X$7:$X$55&gt;0),ROWS($B$7:B26)),6),"")</f>
        <v/>
      </c>
      <c r="G26" s="928" t="str">
        <f>IFERROR(INDEX($O$7:$Y$55,_xlfn.AGGREGATE(15,6,(ROW($X$7:$X$55)-ROW($X$7)+1)/($X$7:$X$55&gt;0),ROWS($B$7:B26)),8),"")</f>
        <v/>
      </c>
      <c r="H26" s="935" t="str">
        <f t="shared" si="1"/>
        <v/>
      </c>
      <c r="I26" s="928" t="str">
        <f>IFERROR(INDEX($O$7:$Y$55,_xlfn.AGGREGATE(15,6,(ROW($X$7:$X$55)-ROW($X$7)+1)/($X$7:$X$55&gt;0),ROWS($B$7:B26)),10),"")</f>
        <v/>
      </c>
      <c r="J26" s="935" t="str">
        <f t="shared" si="2"/>
        <v/>
      </c>
      <c r="K26" s="936" t="str">
        <f t="shared" si="3"/>
        <v/>
      </c>
      <c r="L26" s="936" t="str">
        <f t="shared" si="4"/>
        <v/>
      </c>
      <c r="M26" s="937" t="str">
        <f t="shared" si="5"/>
        <v/>
      </c>
      <c r="N26" s="932">
        <f>'ENV. PLACAS'!C25</f>
        <v>20</v>
      </c>
      <c r="O26" s="751" t="str">
        <f>IFERROR(UPPER('ENV. PLACAS'!D25),"")</f>
        <v>MANTO BLANCO C/M C/T 500-1000 G/PZA</v>
      </c>
      <c r="P26" s="768">
        <f>'ENV. PLACAS'!AC25</f>
        <v>0</v>
      </c>
      <c r="Q26" s="768">
        <f>'ENV. PLACAS'!AD25</f>
        <v>0</v>
      </c>
      <c r="R26" s="751">
        <f>'ENV. PLACAS'!AE25</f>
        <v>0</v>
      </c>
      <c r="S26" s="751" t="str">
        <f t="shared" si="6"/>
        <v/>
      </c>
      <c r="T26" s="751">
        <f>SUMIF('RES-EN'!$D$6:$D$53,O26,'RES-EN'!$Q$6:$Q$53)</f>
        <v>0</v>
      </c>
      <c r="U26" s="751">
        <f>SUMIF('RES-EN'!$D$6:$D$53,O26,'RES-EN'!$R$6:$R$53)</f>
        <v>0</v>
      </c>
      <c r="V26" s="751">
        <f>SUMIF('RES-EN'!$D$6:$D$53,O26,'RES-EN'!$S$6:$S$53)</f>
        <v>0</v>
      </c>
      <c r="W26" s="751" t="str">
        <f t="shared" si="7"/>
        <v/>
      </c>
      <c r="X26" s="751">
        <f t="shared" si="8"/>
        <v>0</v>
      </c>
      <c r="Y26" s="751" t="str">
        <f t="shared" si="9"/>
        <v/>
      </c>
      <c r="Z26" s="105"/>
      <c r="AA26" s="769" t="str">
        <f>IFERROR(INDEX($N$7:$N$55,_xlfn.AGGREGATE(15,6,(ROW($O$7:$O$55)-ROW($O$7)+1)/(((MOD($R$7:$R$55,$B$3)&gt;0)+(MOD($V$7:$V$55,$B$3)&gt;0))&gt;0),ROWS($AA$7:AA26))),"")</f>
        <v/>
      </c>
      <c r="AB26" s="770" t="str">
        <f t="shared" si="10"/>
        <v/>
      </c>
      <c r="AC26" s="771" t="str">
        <f t="shared" si="11"/>
        <v/>
      </c>
      <c r="AD26" s="771" t="str">
        <f t="shared" si="12"/>
        <v/>
      </c>
      <c r="AE26" s="772" t="str">
        <f t="shared" si="13"/>
        <v/>
      </c>
      <c r="AF26" s="105"/>
      <c r="AG26" s="898" t="str">
        <f t="shared" si="14"/>
        <v/>
      </c>
      <c r="AH26" s="899" t="str">
        <f t="shared" si="15"/>
        <v/>
      </c>
      <c r="AI26" s="900" t="str">
        <f t="shared" si="16"/>
        <v/>
      </c>
      <c r="AJ26" s="900" t="str">
        <f t="shared" si="17"/>
        <v/>
      </c>
      <c r="AK26" s="901"/>
      <c r="AL26" s="901"/>
      <c r="AM26" s="902" t="str">
        <f t="shared" si="18"/>
        <v/>
      </c>
      <c r="AN26" s="902" t="str">
        <f t="shared" si="19"/>
        <v/>
      </c>
      <c r="AO26" s="902" t="str">
        <f t="shared" si="20"/>
        <v/>
      </c>
      <c r="AP26" s="900" t="str">
        <f t="shared" si="21"/>
        <v/>
      </c>
      <c r="AQ26" s="902" t="str">
        <f t="shared" si="22"/>
        <v/>
      </c>
      <c r="AR26" s="900" t="str">
        <f t="shared" si="23"/>
        <v/>
      </c>
      <c r="AS26" s="902" t="str">
        <f t="shared" si="24"/>
        <v/>
      </c>
      <c r="AT26" s="902" t="str">
        <f t="shared" si="25"/>
        <v/>
      </c>
      <c r="AU26" s="902" t="str">
        <f t="shared" si="26"/>
        <v/>
      </c>
      <c r="AV26" s="903" t="str">
        <f t="shared" si="27"/>
        <v/>
      </c>
      <c r="AW26" s="105"/>
      <c r="AX26" s="105"/>
      <c r="AY26" s="105"/>
      <c r="AZ26" s="105"/>
      <c r="BA26" s="105"/>
      <c r="BB26" s="847">
        <f>IF(PP!B26="","",PP!B26)</f>
        <v>3</v>
      </c>
      <c r="BC26" s="2882" t="str">
        <f>IF(PP!C26="","",PP!C26)</f>
        <v>ANILLAS BLANCAS SM ST MEDIANA</v>
      </c>
      <c r="BD26" s="2883"/>
      <c r="BE26" s="848">
        <f t="shared" si="33"/>
        <v>0</v>
      </c>
      <c r="BF26" s="849">
        <f t="shared" si="28"/>
        <v>0</v>
      </c>
      <c r="BG26" s="850">
        <f t="shared" si="29"/>
        <v>0</v>
      </c>
      <c r="BH26" s="944">
        <f t="shared" si="30"/>
        <v>0</v>
      </c>
      <c r="BI26" s="849">
        <f t="shared" si="34"/>
        <v>0</v>
      </c>
      <c r="BJ26" s="849">
        <f t="shared" si="31"/>
        <v>0</v>
      </c>
      <c r="BK26" s="856"/>
      <c r="BL26" s="849">
        <f t="shared" si="32"/>
        <v>0</v>
      </c>
      <c r="BM26" s="10"/>
      <c r="BN26" s="779" t="str">
        <f>IF(PP!L26="","",PP!L26)</f>
        <v/>
      </c>
      <c r="BO26" s="765" t="str">
        <f>IF(PP!M26="","",PP!M26)</f>
        <v>NARANJA</v>
      </c>
      <c r="BP26" s="755"/>
    </row>
    <row r="27" spans="1:68" ht="25.5">
      <c r="A27" s="933" t="str">
        <f>IFERROR(INDEX($N$7:$N$55,_xlfn.AGGREGATE(15,6,(ROW($X$7:$X$55)-ROW($X$7)+1)/($X$7:$X$55&gt;0),ROWS($B$7:B27))),"")</f>
        <v/>
      </c>
      <c r="B27" s="938" t="str">
        <f>IFERROR(UPPER(INDEX($O$7:$Y$55,_xlfn.AGGREGATE(15,6,(ROW($X$7:$X$55)-ROW($X$7)+1)/($X$7:$X$55&gt;0),ROWS($B$7:B27)),1)),"")</f>
        <v/>
      </c>
      <c r="C27" s="935" t="str">
        <f>IFERROR(INDEX($O$7:$Y$55,_xlfn.AGGREGATE(15,6,(ROW($X$7:$X$55)-ROW($X$7)+1)/($X$7:$X$55&gt;0),ROWS($B$7:B27)),2),"")</f>
        <v/>
      </c>
      <c r="D27" s="928" t="str">
        <f>IFERROR(INDEX($O$7:$Y$55,_xlfn.AGGREGATE(15,6,(ROW($X$7:$X$55)-ROW($X$7)+1)/($X$7:$X$55&gt;0),ROWS($B$7:B27)),4),"")</f>
        <v/>
      </c>
      <c r="E27" s="935" t="str">
        <f t="shared" si="0"/>
        <v/>
      </c>
      <c r="F27" s="935" t="str">
        <f>IFERROR(INDEX($O$7:$Y$55,_xlfn.AGGREGATE(15,6,(ROW($X$7:$X$55)-ROW($X$7)+1)/($X$7:$X$55&gt;0),ROWS($B$7:B27)),6),"")</f>
        <v/>
      </c>
      <c r="G27" s="928" t="str">
        <f>IFERROR(INDEX($O$7:$Y$55,_xlfn.AGGREGATE(15,6,(ROW($X$7:$X$55)-ROW($X$7)+1)/($X$7:$X$55&gt;0),ROWS($B$7:B27)),8),"")</f>
        <v/>
      </c>
      <c r="H27" s="935" t="str">
        <f t="shared" si="1"/>
        <v/>
      </c>
      <c r="I27" s="928" t="str">
        <f>IFERROR(INDEX($O$7:$Y$55,_xlfn.AGGREGATE(15,6,(ROW($X$7:$X$55)-ROW($X$7)+1)/($X$7:$X$55&gt;0),ROWS($B$7:B27)),10),"")</f>
        <v/>
      </c>
      <c r="J27" s="935" t="str">
        <f t="shared" si="2"/>
        <v/>
      </c>
      <c r="K27" s="936" t="str">
        <f t="shared" si="3"/>
        <v/>
      </c>
      <c r="L27" s="936" t="str">
        <f t="shared" si="4"/>
        <v/>
      </c>
      <c r="M27" s="937" t="str">
        <f t="shared" si="5"/>
        <v/>
      </c>
      <c r="N27" s="932">
        <f>'ENV. PLACAS'!C26</f>
        <v>21</v>
      </c>
      <c r="O27" s="751" t="str">
        <f>IFERROR(UPPER('ENV. PLACAS'!D26),"")</f>
        <v>MANTO BLANCO C/M C/T 1.0-2.0 KG/PZA</v>
      </c>
      <c r="P27" s="768">
        <f>'ENV. PLACAS'!AC26</f>
        <v>0</v>
      </c>
      <c r="Q27" s="768">
        <f>'ENV. PLACAS'!AD26</f>
        <v>0</v>
      </c>
      <c r="R27" s="751">
        <f>'ENV. PLACAS'!AE26</f>
        <v>0</v>
      </c>
      <c r="S27" s="751" t="str">
        <f t="shared" si="6"/>
        <v/>
      </c>
      <c r="T27" s="751">
        <f>SUMIF('RES-EN'!$D$6:$D$53,O27,'RES-EN'!$Q$6:$Q$53)</f>
        <v>0</v>
      </c>
      <c r="U27" s="751">
        <f>SUMIF('RES-EN'!$D$6:$D$53,O27,'RES-EN'!$R$6:$R$53)</f>
        <v>0</v>
      </c>
      <c r="V27" s="751">
        <f>SUMIF('RES-EN'!$D$6:$D$53,O27,'RES-EN'!$S$6:$S$53)</f>
        <v>0</v>
      </c>
      <c r="W27" s="751" t="str">
        <f t="shared" si="7"/>
        <v/>
      </c>
      <c r="X27" s="751">
        <f t="shared" si="8"/>
        <v>0</v>
      </c>
      <c r="Y27" s="751" t="str">
        <f t="shared" si="9"/>
        <v/>
      </c>
      <c r="Z27" s="105"/>
      <c r="AA27" s="769" t="str">
        <f>IFERROR(INDEX($N$7:$N$55,_xlfn.AGGREGATE(15,6,(ROW($O$7:$O$55)-ROW($O$7)+1)/(((MOD($R$7:$R$55,$B$3)&gt;0)+(MOD($V$7:$V$55,$B$3)&gt;0))&gt;0),ROWS($AA$7:AA27))),"")</f>
        <v/>
      </c>
      <c r="AB27" s="770" t="str">
        <f t="shared" si="10"/>
        <v/>
      </c>
      <c r="AC27" s="771" t="str">
        <f t="shared" si="11"/>
        <v/>
      </c>
      <c r="AD27" s="771" t="str">
        <f t="shared" si="12"/>
        <v/>
      </c>
      <c r="AE27" s="772" t="str">
        <f t="shared" si="13"/>
        <v/>
      </c>
      <c r="AF27" s="105"/>
      <c r="AG27" s="898" t="str">
        <f t="shared" si="14"/>
        <v/>
      </c>
      <c r="AH27" s="899" t="str">
        <f t="shared" si="15"/>
        <v/>
      </c>
      <c r="AI27" s="900" t="str">
        <f t="shared" si="16"/>
        <v/>
      </c>
      <c r="AJ27" s="900" t="str">
        <f t="shared" si="17"/>
        <v/>
      </c>
      <c r="AK27" s="901"/>
      <c r="AL27" s="901"/>
      <c r="AM27" s="902" t="str">
        <f t="shared" si="18"/>
        <v/>
      </c>
      <c r="AN27" s="902" t="str">
        <f t="shared" si="19"/>
        <v/>
      </c>
      <c r="AO27" s="902" t="str">
        <f t="shared" si="20"/>
        <v/>
      </c>
      <c r="AP27" s="900" t="str">
        <f t="shared" si="21"/>
        <v/>
      </c>
      <c r="AQ27" s="902" t="str">
        <f t="shared" si="22"/>
        <v/>
      </c>
      <c r="AR27" s="900" t="str">
        <f t="shared" si="23"/>
        <v/>
      </c>
      <c r="AS27" s="902" t="str">
        <f t="shared" si="24"/>
        <v/>
      </c>
      <c r="AT27" s="902" t="str">
        <f t="shared" si="25"/>
        <v/>
      </c>
      <c r="AU27" s="902" t="str">
        <f t="shared" si="26"/>
        <v/>
      </c>
      <c r="AV27" s="903" t="str">
        <f t="shared" si="27"/>
        <v/>
      </c>
      <c r="AW27" s="105"/>
      <c r="AX27" s="105"/>
      <c r="AY27" s="105"/>
      <c r="AZ27" s="105"/>
      <c r="BA27" s="105"/>
      <c r="BB27" s="839">
        <f>IF(PP!B27="","",PP!B27)</f>
        <v>4</v>
      </c>
      <c r="BC27" s="2878" t="str">
        <f>IF(PP!C27="","",PP!C27)</f>
        <v>ALETA FRESCA CORTE CRUZ</v>
      </c>
      <c r="BD27" s="2879"/>
      <c r="BE27" s="840">
        <f t="shared" si="33"/>
        <v>0</v>
      </c>
      <c r="BF27" s="851">
        <f t="shared" si="28"/>
        <v>0</v>
      </c>
      <c r="BG27" s="842">
        <f t="shared" si="29"/>
        <v>0</v>
      </c>
      <c r="BH27" s="942">
        <f t="shared" si="30"/>
        <v>0</v>
      </c>
      <c r="BI27" s="841">
        <f t="shared" si="34"/>
        <v>0</v>
      </c>
      <c r="BJ27" s="841">
        <f t="shared" si="31"/>
        <v>0</v>
      </c>
      <c r="BK27" s="852"/>
      <c r="BL27" s="852">
        <f t="shared" si="32"/>
        <v>0</v>
      </c>
      <c r="BM27" s="13"/>
      <c r="BN27" s="779" t="str">
        <f>IF(PP!L27="","",PP!L27)</f>
        <v/>
      </c>
      <c r="BO27" s="765" t="str">
        <f>IF(PP!M27="","",PP!M27)</f>
        <v>BLANCO</v>
      </c>
      <c r="BP27" s="755"/>
    </row>
    <row r="28" spans="1:68" ht="25.5">
      <c r="A28" s="933" t="str">
        <f>IFERROR(INDEX($N$7:$N$55,_xlfn.AGGREGATE(15,6,(ROW($X$7:$X$55)-ROW($X$7)+1)/($X$7:$X$55&gt;0),ROWS($B$7:B28))),"")</f>
        <v/>
      </c>
      <c r="B28" s="938" t="str">
        <f>IFERROR(UPPER(INDEX($O$7:$Y$55,_xlfn.AGGREGATE(15,6,(ROW($X$7:$X$55)-ROW($X$7)+1)/($X$7:$X$55&gt;0),ROWS($B$7:B28)),1)),"")</f>
        <v/>
      </c>
      <c r="C28" s="935" t="str">
        <f>IFERROR(INDEX($O$7:$Y$55,_xlfn.AGGREGATE(15,6,(ROW($X$7:$X$55)-ROW($X$7)+1)/($X$7:$X$55&gt;0),ROWS($B$7:B28)),2),"")</f>
        <v/>
      </c>
      <c r="D28" s="928" t="str">
        <f>IFERROR(INDEX($O$7:$Y$55,_xlfn.AGGREGATE(15,6,(ROW($X$7:$X$55)-ROW($X$7)+1)/($X$7:$X$55&gt;0),ROWS($B$7:B28)),4),"")</f>
        <v/>
      </c>
      <c r="E28" s="935" t="str">
        <f t="shared" si="0"/>
        <v/>
      </c>
      <c r="F28" s="935" t="str">
        <f>IFERROR(INDEX($O$7:$Y$55,_xlfn.AGGREGATE(15,6,(ROW($X$7:$X$55)-ROW($X$7)+1)/($X$7:$X$55&gt;0),ROWS($B$7:B28)),6),"")</f>
        <v/>
      </c>
      <c r="G28" s="928" t="str">
        <f>IFERROR(INDEX($O$7:$Y$55,_xlfn.AGGREGATE(15,6,(ROW($X$7:$X$55)-ROW($X$7)+1)/($X$7:$X$55&gt;0),ROWS($B$7:B28)),8),"")</f>
        <v/>
      </c>
      <c r="H28" s="935" t="str">
        <f t="shared" si="1"/>
        <v/>
      </c>
      <c r="I28" s="928" t="str">
        <f>IFERROR(INDEX($O$7:$Y$55,_xlfn.AGGREGATE(15,6,(ROW($X$7:$X$55)-ROW($X$7)+1)/($X$7:$X$55&gt;0),ROWS($B$7:B28)),10),"")</f>
        <v/>
      </c>
      <c r="J28" s="935" t="str">
        <f t="shared" si="2"/>
        <v/>
      </c>
      <c r="K28" s="936" t="str">
        <f t="shared" si="3"/>
        <v/>
      </c>
      <c r="L28" s="936" t="str">
        <f t="shared" si="4"/>
        <v/>
      </c>
      <c r="M28" s="937" t="str">
        <f t="shared" si="5"/>
        <v/>
      </c>
      <c r="N28" s="932">
        <f>'ENV. PLACAS'!C27</f>
        <v>22</v>
      </c>
      <c r="O28" s="751" t="str">
        <f>IFERROR(UPPER('ENV. PLACAS'!D27),"")</f>
        <v>MANTO BLANCO C/M C/T 2.0-4.0 KG/PZA</v>
      </c>
      <c r="P28" s="768">
        <f>'ENV. PLACAS'!AC27</f>
        <v>0</v>
      </c>
      <c r="Q28" s="768">
        <f>'ENV. PLACAS'!AD27</f>
        <v>0</v>
      </c>
      <c r="R28" s="751">
        <f>'ENV. PLACAS'!AE27</f>
        <v>0</v>
      </c>
      <c r="S28" s="751" t="str">
        <f t="shared" si="6"/>
        <v/>
      </c>
      <c r="T28" s="751">
        <f>SUMIF('RES-EN'!$D$6:$D$53,O28,'RES-EN'!$Q$6:$Q$53)</f>
        <v>0</v>
      </c>
      <c r="U28" s="751">
        <f>SUMIF('RES-EN'!$D$6:$D$53,O28,'RES-EN'!$R$6:$R$53)</f>
        <v>0</v>
      </c>
      <c r="V28" s="751">
        <f>SUMIF('RES-EN'!$D$6:$D$53,O28,'RES-EN'!$S$6:$S$53)</f>
        <v>0</v>
      </c>
      <c r="W28" s="751" t="str">
        <f t="shared" si="7"/>
        <v/>
      </c>
      <c r="X28" s="751">
        <f t="shared" si="8"/>
        <v>0</v>
      </c>
      <c r="Y28" s="751" t="str">
        <f t="shared" si="9"/>
        <v/>
      </c>
      <c r="Z28" s="105"/>
      <c r="AA28" s="769" t="str">
        <f>IFERROR(INDEX($N$7:$N$55,_xlfn.AGGREGATE(15,6,(ROW($O$7:$O$55)-ROW($O$7)+1)/(((MOD($R$7:$R$55,$B$3)&gt;0)+(MOD($V$7:$V$55,$B$3)&gt;0))&gt;0),ROWS($AA$7:AA28))),"")</f>
        <v/>
      </c>
      <c r="AB28" s="770" t="str">
        <f t="shared" si="10"/>
        <v/>
      </c>
      <c r="AC28" s="771" t="str">
        <f t="shared" si="11"/>
        <v/>
      </c>
      <c r="AD28" s="771" t="str">
        <f t="shared" si="12"/>
        <v/>
      </c>
      <c r="AE28" s="772" t="str">
        <f t="shared" si="13"/>
        <v/>
      </c>
      <c r="AF28" s="105"/>
      <c r="AG28" s="898" t="str">
        <f t="shared" si="14"/>
        <v/>
      </c>
      <c r="AH28" s="899" t="str">
        <f t="shared" si="15"/>
        <v/>
      </c>
      <c r="AI28" s="900" t="str">
        <f t="shared" si="16"/>
        <v/>
      </c>
      <c r="AJ28" s="900" t="str">
        <f t="shared" si="17"/>
        <v/>
      </c>
      <c r="AK28" s="901"/>
      <c r="AL28" s="901"/>
      <c r="AM28" s="902" t="str">
        <f t="shared" si="18"/>
        <v/>
      </c>
      <c r="AN28" s="902" t="str">
        <f t="shared" si="19"/>
        <v/>
      </c>
      <c r="AO28" s="902" t="str">
        <f t="shared" si="20"/>
        <v/>
      </c>
      <c r="AP28" s="900" t="str">
        <f t="shared" si="21"/>
        <v/>
      </c>
      <c r="AQ28" s="902" t="str">
        <f t="shared" si="22"/>
        <v/>
      </c>
      <c r="AR28" s="900" t="str">
        <f t="shared" si="23"/>
        <v/>
      </c>
      <c r="AS28" s="902" t="str">
        <f t="shared" si="24"/>
        <v/>
      </c>
      <c r="AT28" s="902" t="str">
        <f t="shared" si="25"/>
        <v/>
      </c>
      <c r="AU28" s="902" t="str">
        <f t="shared" si="26"/>
        <v/>
      </c>
      <c r="AV28" s="903" t="str">
        <f t="shared" si="27"/>
        <v/>
      </c>
      <c r="AW28" s="105"/>
      <c r="AX28" s="105"/>
      <c r="AY28" s="105"/>
      <c r="AZ28" s="105"/>
      <c r="BA28" s="105"/>
      <c r="BB28" s="843">
        <f>IF(PP!B28="","",PP!B28)</f>
        <v>5</v>
      </c>
      <c r="BC28" s="2880" t="str">
        <f>IF(PP!C28="","",PP!C28)</f>
        <v>ALETA ENTERA 100-500 g/pza</v>
      </c>
      <c r="BD28" s="2881"/>
      <c r="BE28" s="844">
        <f t="shared" si="33"/>
        <v>0</v>
      </c>
      <c r="BF28" s="853">
        <f t="shared" si="28"/>
        <v>0</v>
      </c>
      <c r="BG28" s="846">
        <f t="shared" si="29"/>
        <v>0</v>
      </c>
      <c r="BH28" s="943">
        <f t="shared" si="30"/>
        <v>0</v>
      </c>
      <c r="BI28" s="845">
        <f t="shared" si="34"/>
        <v>0</v>
      </c>
      <c r="BJ28" s="845">
        <f t="shared" si="31"/>
        <v>0</v>
      </c>
      <c r="BK28" s="854"/>
      <c r="BL28" s="854">
        <f t="shared" si="32"/>
        <v>0</v>
      </c>
      <c r="BM28" s="12"/>
      <c r="BN28" s="779" t="str">
        <f>IF(PP!L28="","",PP!L28)</f>
        <v/>
      </c>
      <c r="BO28" s="765" t="str">
        <f>IF(PP!M28="","",PP!M28)</f>
        <v>CRISTAL</v>
      </c>
      <c r="BP28" s="755"/>
    </row>
    <row r="29" spans="1:68" ht="25.5">
      <c r="A29" s="933" t="str">
        <f>IFERROR(INDEX($N$7:$N$55,_xlfn.AGGREGATE(15,6,(ROW($X$7:$X$55)-ROW($X$7)+1)/($X$7:$X$55&gt;0),ROWS($B$7:B29))),"")</f>
        <v/>
      </c>
      <c r="B29" s="938" t="str">
        <f>IFERROR(UPPER(INDEX($O$7:$Y$55,_xlfn.AGGREGATE(15,6,(ROW($X$7:$X$55)-ROW($X$7)+1)/($X$7:$X$55&gt;0),ROWS($B$7:B29)),1)),"")</f>
        <v/>
      </c>
      <c r="C29" s="935" t="str">
        <f>IFERROR(INDEX($O$7:$Y$55,_xlfn.AGGREGATE(15,6,(ROW($X$7:$X$55)-ROW($X$7)+1)/($X$7:$X$55&gt;0),ROWS($B$7:B29)),2),"")</f>
        <v/>
      </c>
      <c r="D29" s="928" t="str">
        <f>IFERROR(INDEX($O$7:$Y$55,_xlfn.AGGREGATE(15,6,(ROW($X$7:$X$55)-ROW($X$7)+1)/($X$7:$X$55&gt;0),ROWS($B$7:B29)),4),"")</f>
        <v/>
      </c>
      <c r="E29" s="935" t="str">
        <f t="shared" si="0"/>
        <v/>
      </c>
      <c r="F29" s="935" t="str">
        <f>IFERROR(INDEX($O$7:$Y$55,_xlfn.AGGREGATE(15,6,(ROW($X$7:$X$55)-ROW($X$7)+1)/($X$7:$X$55&gt;0),ROWS($B$7:B29)),6),"")</f>
        <v/>
      </c>
      <c r="G29" s="928" t="str">
        <f>IFERROR(INDEX($O$7:$Y$55,_xlfn.AGGREGATE(15,6,(ROW($X$7:$X$55)-ROW($X$7)+1)/($X$7:$X$55&gt;0),ROWS($B$7:B29)),8),"")</f>
        <v/>
      </c>
      <c r="H29" s="935" t="str">
        <f t="shared" si="1"/>
        <v/>
      </c>
      <c r="I29" s="928" t="str">
        <f>IFERROR(INDEX($O$7:$Y$55,_xlfn.AGGREGATE(15,6,(ROW($X$7:$X$55)-ROW($X$7)+1)/($X$7:$X$55&gt;0),ROWS($B$7:B29)),10),"")</f>
        <v/>
      </c>
      <c r="J29" s="935" t="str">
        <f t="shared" si="2"/>
        <v/>
      </c>
      <c r="K29" s="936" t="str">
        <f t="shared" si="3"/>
        <v/>
      </c>
      <c r="L29" s="936" t="str">
        <f t="shared" si="4"/>
        <v/>
      </c>
      <c r="M29" s="937" t="str">
        <f t="shared" si="5"/>
        <v/>
      </c>
      <c r="N29" s="932">
        <f>'ENV. PLACAS'!C28</f>
        <v>23</v>
      </c>
      <c r="O29" s="751" t="str">
        <f>IFERROR(UPPER('ENV. PLACAS'!D28),"")</f>
        <v>MANTO LP C/M C/T 500-1000 G/PZA</v>
      </c>
      <c r="P29" s="768">
        <f>'ENV. PLACAS'!AC28</f>
        <v>0</v>
      </c>
      <c r="Q29" s="768">
        <f>'ENV. PLACAS'!AD28</f>
        <v>0</v>
      </c>
      <c r="R29" s="751">
        <f>'ENV. PLACAS'!AE28</f>
        <v>0</v>
      </c>
      <c r="S29" s="751" t="str">
        <f t="shared" si="6"/>
        <v/>
      </c>
      <c r="T29" s="751">
        <f>SUMIF('RES-EN'!$D$6:$D$53,O29,'RES-EN'!$Q$6:$Q$53)</f>
        <v>0</v>
      </c>
      <c r="U29" s="751">
        <f>SUMIF('RES-EN'!$D$6:$D$53,O29,'RES-EN'!$R$6:$R$53)</f>
        <v>0</v>
      </c>
      <c r="V29" s="751">
        <f>SUMIF('RES-EN'!$D$6:$D$53,O29,'RES-EN'!$S$6:$S$53)</f>
        <v>0</v>
      </c>
      <c r="W29" s="751" t="str">
        <f t="shared" si="7"/>
        <v/>
      </c>
      <c r="X29" s="751">
        <f t="shared" si="8"/>
        <v>0</v>
      </c>
      <c r="Y29" s="751" t="str">
        <f t="shared" si="9"/>
        <v/>
      </c>
      <c r="Z29" s="105"/>
      <c r="AA29" s="769" t="str">
        <f>IFERROR(INDEX($N$7:$N$55,_xlfn.AGGREGATE(15,6,(ROW($O$7:$O$55)-ROW($O$7)+1)/(((MOD($R$7:$R$55,$B$3)&gt;0)+(MOD($V$7:$V$55,$B$3)&gt;0))&gt;0),ROWS($AA$7:AA29))),"")</f>
        <v/>
      </c>
      <c r="AB29" s="770" t="str">
        <f t="shared" si="10"/>
        <v/>
      </c>
      <c r="AC29" s="771" t="str">
        <f t="shared" si="11"/>
        <v/>
      </c>
      <c r="AD29" s="771" t="str">
        <f t="shared" si="12"/>
        <v/>
      </c>
      <c r="AE29" s="772" t="str">
        <f t="shared" si="13"/>
        <v/>
      </c>
      <c r="AF29" s="105"/>
      <c r="AG29" s="898" t="str">
        <f t="shared" si="14"/>
        <v/>
      </c>
      <c r="AH29" s="899" t="str">
        <f t="shared" si="15"/>
        <v/>
      </c>
      <c r="AI29" s="900" t="str">
        <f t="shared" si="16"/>
        <v/>
      </c>
      <c r="AJ29" s="900" t="str">
        <f t="shared" si="17"/>
        <v/>
      </c>
      <c r="AK29" s="901"/>
      <c r="AL29" s="901"/>
      <c r="AM29" s="902" t="str">
        <f t="shared" si="18"/>
        <v/>
      </c>
      <c r="AN29" s="902" t="str">
        <f t="shared" si="19"/>
        <v/>
      </c>
      <c r="AO29" s="902" t="str">
        <f t="shared" si="20"/>
        <v/>
      </c>
      <c r="AP29" s="900" t="str">
        <f t="shared" si="21"/>
        <v/>
      </c>
      <c r="AQ29" s="902" t="str">
        <f t="shared" si="22"/>
        <v/>
      </c>
      <c r="AR29" s="900" t="str">
        <f t="shared" si="23"/>
        <v/>
      </c>
      <c r="AS29" s="902" t="str">
        <f t="shared" si="24"/>
        <v/>
      </c>
      <c r="AT29" s="902" t="str">
        <f t="shared" si="25"/>
        <v/>
      </c>
      <c r="AU29" s="902" t="str">
        <f t="shared" si="26"/>
        <v/>
      </c>
      <c r="AV29" s="903" t="str">
        <f t="shared" si="27"/>
        <v/>
      </c>
      <c r="AW29" s="105"/>
      <c r="AX29" s="105"/>
      <c r="AY29" s="105"/>
      <c r="AZ29" s="105"/>
      <c r="BA29" s="105"/>
      <c r="BB29" s="843">
        <f>IF(PP!B29="","",PP!B29)</f>
        <v>6</v>
      </c>
      <c r="BC29" s="2880" t="str">
        <f>IF(PP!C29="","",PP!C29)</f>
        <v>ALETA ENTERA 500-1000 g/pza</v>
      </c>
      <c r="BD29" s="2881"/>
      <c r="BE29" s="844">
        <f t="shared" si="33"/>
        <v>0</v>
      </c>
      <c r="BF29" s="853">
        <f t="shared" si="28"/>
        <v>0</v>
      </c>
      <c r="BG29" s="846">
        <f t="shared" si="29"/>
        <v>0</v>
      </c>
      <c r="BH29" s="943">
        <f t="shared" si="30"/>
        <v>0</v>
      </c>
      <c r="BI29" s="845">
        <f t="shared" si="34"/>
        <v>0</v>
      </c>
      <c r="BJ29" s="845">
        <f t="shared" si="31"/>
        <v>0</v>
      </c>
      <c r="BK29" s="854"/>
      <c r="BL29" s="854">
        <f t="shared" si="32"/>
        <v>0</v>
      </c>
      <c r="BM29" s="11"/>
      <c r="BN29" s="779" t="str">
        <f>IF(PP!L29="","",PP!L29)</f>
        <v/>
      </c>
      <c r="BO29" s="765" t="str">
        <f>IF(PP!M29="","",PP!M29)</f>
        <v>NARANJA</v>
      </c>
      <c r="BP29" s="755"/>
    </row>
    <row r="30" spans="1:68" ht="25.5">
      <c r="A30" s="933" t="str">
        <f>IFERROR(INDEX($N$7:$N$55,_xlfn.AGGREGATE(15,6,(ROW($X$7:$X$55)-ROW($X$7)+1)/($X$7:$X$55&gt;0),ROWS($B$7:B30))),"")</f>
        <v/>
      </c>
      <c r="B30" s="938" t="str">
        <f>IFERROR(UPPER(INDEX($O$7:$Y$55,_xlfn.AGGREGATE(15,6,(ROW($X$7:$X$55)-ROW($X$7)+1)/($X$7:$X$55&gt;0),ROWS($B$7:B30)),1)),"")</f>
        <v/>
      </c>
      <c r="C30" s="935" t="str">
        <f>IFERROR(INDEX($O$7:$Y$55,_xlfn.AGGREGATE(15,6,(ROW($X$7:$X$55)-ROW($X$7)+1)/($X$7:$X$55&gt;0),ROWS($B$7:B30)),2),"")</f>
        <v/>
      </c>
      <c r="D30" s="928" t="str">
        <f>IFERROR(INDEX($O$7:$Y$55,_xlfn.AGGREGATE(15,6,(ROW($X$7:$X$55)-ROW($X$7)+1)/($X$7:$X$55&gt;0),ROWS($B$7:B30)),4),"")</f>
        <v/>
      </c>
      <c r="E30" s="935" t="str">
        <f t="shared" si="0"/>
        <v/>
      </c>
      <c r="F30" s="935" t="str">
        <f>IFERROR(INDEX($O$7:$Y$55,_xlfn.AGGREGATE(15,6,(ROW($X$7:$X$55)-ROW($X$7)+1)/($X$7:$X$55&gt;0),ROWS($B$7:B30)),6),"")</f>
        <v/>
      </c>
      <c r="G30" s="928" t="str">
        <f>IFERROR(INDEX($O$7:$Y$55,_xlfn.AGGREGATE(15,6,(ROW($X$7:$X$55)-ROW($X$7)+1)/($X$7:$X$55&gt;0),ROWS($B$7:B30)),8),"")</f>
        <v/>
      </c>
      <c r="H30" s="935" t="str">
        <f t="shared" si="1"/>
        <v/>
      </c>
      <c r="I30" s="928" t="str">
        <f>IFERROR(INDEX($O$7:$Y$55,_xlfn.AGGREGATE(15,6,(ROW($X$7:$X$55)-ROW($X$7)+1)/($X$7:$X$55&gt;0),ROWS($B$7:B30)),10),"")</f>
        <v/>
      </c>
      <c r="J30" s="935" t="str">
        <f t="shared" si="2"/>
        <v/>
      </c>
      <c r="K30" s="936" t="str">
        <f t="shared" si="3"/>
        <v/>
      </c>
      <c r="L30" s="936" t="str">
        <f t="shared" si="4"/>
        <v/>
      </c>
      <c r="M30" s="937" t="str">
        <f t="shared" si="5"/>
        <v/>
      </c>
      <c r="N30" s="932">
        <f>'ENV. PLACAS'!C29</f>
        <v>24</v>
      </c>
      <c r="O30" s="751" t="str">
        <f>IFERROR(UPPER('ENV. PLACAS'!D29),"")</f>
        <v>MANTO LP C/M C/T 1.0-2.0 KG/PZA</v>
      </c>
      <c r="P30" s="768">
        <f>'ENV. PLACAS'!AC29</f>
        <v>0</v>
      </c>
      <c r="Q30" s="768">
        <f>'ENV. PLACAS'!AD29</f>
        <v>0</v>
      </c>
      <c r="R30" s="751">
        <f>'ENV. PLACAS'!AE29</f>
        <v>0</v>
      </c>
      <c r="S30" s="751" t="str">
        <f t="shared" si="6"/>
        <v/>
      </c>
      <c r="T30" s="751">
        <f>SUMIF('RES-EN'!$D$6:$D$53,O30,'RES-EN'!$Q$6:$Q$53)</f>
        <v>0</v>
      </c>
      <c r="U30" s="751">
        <f>SUMIF('RES-EN'!$D$6:$D$53,O30,'RES-EN'!$R$6:$R$53)</f>
        <v>0</v>
      </c>
      <c r="V30" s="751">
        <f>SUMIF('RES-EN'!$D$6:$D$53,O30,'RES-EN'!$S$6:$S$53)</f>
        <v>0</v>
      </c>
      <c r="W30" s="751" t="str">
        <f t="shared" si="7"/>
        <v/>
      </c>
      <c r="X30" s="751">
        <f t="shared" si="8"/>
        <v>0</v>
      </c>
      <c r="Y30" s="751" t="str">
        <f t="shared" si="9"/>
        <v/>
      </c>
      <c r="Z30" s="105"/>
      <c r="AA30" s="769" t="str">
        <f>IFERROR(INDEX($N$7:$N$55,_xlfn.AGGREGATE(15,6,(ROW($O$7:$O$55)-ROW($O$7)+1)/(((MOD($R$7:$R$55,$B$3)&gt;0)+(MOD($V$7:$V$55,$B$3)&gt;0))&gt;0),ROWS($AA$7:AA30))),"")</f>
        <v/>
      </c>
      <c r="AB30" s="770" t="str">
        <f t="shared" si="10"/>
        <v/>
      </c>
      <c r="AC30" s="771" t="str">
        <f t="shared" si="11"/>
        <v/>
      </c>
      <c r="AD30" s="771" t="str">
        <f t="shared" si="12"/>
        <v/>
      </c>
      <c r="AE30" s="772" t="str">
        <f t="shared" si="13"/>
        <v/>
      </c>
      <c r="AF30" s="105"/>
      <c r="AG30" s="898" t="str">
        <f t="shared" si="14"/>
        <v/>
      </c>
      <c r="AH30" s="899" t="str">
        <f t="shared" si="15"/>
        <v/>
      </c>
      <c r="AI30" s="900" t="str">
        <f t="shared" si="16"/>
        <v/>
      </c>
      <c r="AJ30" s="900" t="str">
        <f t="shared" si="17"/>
        <v/>
      </c>
      <c r="AK30" s="901"/>
      <c r="AL30" s="901"/>
      <c r="AM30" s="902" t="str">
        <f t="shared" si="18"/>
        <v/>
      </c>
      <c r="AN30" s="902" t="str">
        <f t="shared" si="19"/>
        <v/>
      </c>
      <c r="AO30" s="902" t="str">
        <f t="shared" si="20"/>
        <v/>
      </c>
      <c r="AP30" s="900" t="str">
        <f t="shared" si="21"/>
        <v/>
      </c>
      <c r="AQ30" s="902" t="str">
        <f t="shared" si="22"/>
        <v/>
      </c>
      <c r="AR30" s="900" t="str">
        <f t="shared" si="23"/>
        <v/>
      </c>
      <c r="AS30" s="902" t="str">
        <f t="shared" si="24"/>
        <v/>
      </c>
      <c r="AT30" s="902" t="str">
        <f t="shared" si="25"/>
        <v/>
      </c>
      <c r="AU30" s="902" t="str">
        <f t="shared" si="26"/>
        <v/>
      </c>
      <c r="AV30" s="903" t="str">
        <f t="shared" si="27"/>
        <v/>
      </c>
      <c r="AW30" s="105"/>
      <c r="AX30" s="105"/>
      <c r="AY30" s="105"/>
      <c r="AZ30" s="105"/>
      <c r="BA30" s="105"/>
      <c r="BB30" s="843">
        <f>IF(PP!B30="","",PP!B30)</f>
        <v>7</v>
      </c>
      <c r="BC30" s="2880" t="str">
        <f>IF(PP!C30="","",PP!C30)</f>
        <v>ALETA ENTERA 1.0-2.0 kg/pza</v>
      </c>
      <c r="BD30" s="2881"/>
      <c r="BE30" s="844">
        <f t="shared" si="33"/>
        <v>0</v>
      </c>
      <c r="BF30" s="853">
        <f t="shared" si="28"/>
        <v>0</v>
      </c>
      <c r="BG30" s="846">
        <f t="shared" si="29"/>
        <v>0</v>
      </c>
      <c r="BH30" s="943">
        <f t="shared" si="30"/>
        <v>0</v>
      </c>
      <c r="BI30" s="845">
        <f t="shared" si="34"/>
        <v>0</v>
      </c>
      <c r="BJ30" s="845">
        <f t="shared" si="31"/>
        <v>0</v>
      </c>
      <c r="BK30" s="854"/>
      <c r="BL30" s="854">
        <f t="shared" si="32"/>
        <v>0</v>
      </c>
      <c r="BM30" s="11"/>
      <c r="BN30" s="779" t="str">
        <f>IF(PP!L30="","",PP!L30)</f>
        <v/>
      </c>
      <c r="BO30" s="765" t="str">
        <f>IF(PP!M30="","",PP!M30)</f>
        <v>AZUL</v>
      </c>
      <c r="BP30" s="755"/>
    </row>
    <row r="31" spans="1:68" ht="25.5">
      <c r="A31" s="933" t="str">
        <f>IFERROR(INDEX($N$7:$N$55,_xlfn.AGGREGATE(15,6,(ROW($X$7:$X$55)-ROW($X$7)+1)/($X$7:$X$55&gt;0),ROWS($B$7:B31))),"")</f>
        <v/>
      </c>
      <c r="B31" s="938" t="str">
        <f>IFERROR(UPPER(INDEX($O$7:$Y$55,_xlfn.AGGREGATE(15,6,(ROW($X$7:$X$55)-ROW($X$7)+1)/($X$7:$X$55&gt;0),ROWS($B$7:B31)),1)),"")</f>
        <v/>
      </c>
      <c r="C31" s="935" t="str">
        <f>IFERROR(INDEX($O$7:$Y$55,_xlfn.AGGREGATE(15,6,(ROW($X$7:$X$55)-ROW($X$7)+1)/($X$7:$X$55&gt;0),ROWS($B$7:B31)),2),"")</f>
        <v/>
      </c>
      <c r="D31" s="928" t="str">
        <f>IFERROR(INDEX($O$7:$Y$55,_xlfn.AGGREGATE(15,6,(ROW($X$7:$X$55)-ROW($X$7)+1)/($X$7:$X$55&gt;0),ROWS($B$7:B31)),4),"")</f>
        <v/>
      </c>
      <c r="E31" s="935" t="str">
        <f t="shared" si="0"/>
        <v/>
      </c>
      <c r="F31" s="935" t="str">
        <f>IFERROR(INDEX($O$7:$Y$55,_xlfn.AGGREGATE(15,6,(ROW($X$7:$X$55)-ROW($X$7)+1)/($X$7:$X$55&gt;0),ROWS($B$7:B31)),6),"")</f>
        <v/>
      </c>
      <c r="G31" s="928" t="str">
        <f>IFERROR(INDEX($O$7:$Y$55,_xlfn.AGGREGATE(15,6,(ROW($X$7:$X$55)-ROW($X$7)+1)/($X$7:$X$55&gt;0),ROWS($B$7:B31)),8),"")</f>
        <v/>
      </c>
      <c r="H31" s="935" t="str">
        <f t="shared" si="1"/>
        <v/>
      </c>
      <c r="I31" s="928" t="str">
        <f>IFERROR(INDEX($O$7:$Y$55,_xlfn.AGGREGATE(15,6,(ROW($X$7:$X$55)-ROW($X$7)+1)/($X$7:$X$55&gt;0),ROWS($B$7:B31)),10),"")</f>
        <v/>
      </c>
      <c r="J31" s="935" t="str">
        <f t="shared" si="2"/>
        <v/>
      </c>
      <c r="K31" s="936" t="str">
        <f t="shared" si="3"/>
        <v/>
      </c>
      <c r="L31" s="936" t="str">
        <f t="shared" si="4"/>
        <v/>
      </c>
      <c r="M31" s="936" t="str">
        <f t="shared" si="5"/>
        <v/>
      </c>
      <c r="N31" s="932">
        <f>'ENV. PLACAS'!C30</f>
        <v>25</v>
      </c>
      <c r="O31" s="751" t="str">
        <f>IFERROR(UPPER('ENV. PLACAS'!D30),"")</f>
        <v>MANTO LP C/M C/T 2.0-4.0 KG/PZA</v>
      </c>
      <c r="P31" s="768">
        <f>'ENV. PLACAS'!AC30</f>
        <v>0</v>
      </c>
      <c r="Q31" s="768">
        <f>'ENV. PLACAS'!AD30</f>
        <v>0</v>
      </c>
      <c r="R31" s="751">
        <f>'ENV. PLACAS'!AE30</f>
        <v>0</v>
      </c>
      <c r="S31" s="751" t="str">
        <f t="shared" si="6"/>
        <v/>
      </c>
      <c r="T31" s="751">
        <f>SUMIF('RES-EN'!$D$6:$D$53,O31,'RES-EN'!$Q$6:$Q$53)</f>
        <v>0</v>
      </c>
      <c r="U31" s="751">
        <f>SUMIF('RES-EN'!$D$6:$D$53,O31,'RES-EN'!$R$6:$R$53)</f>
        <v>0</v>
      </c>
      <c r="V31" s="751">
        <f>SUMIF('RES-EN'!$D$6:$D$53,O31,'RES-EN'!$S$6:$S$53)</f>
        <v>0</v>
      </c>
      <c r="W31" s="751" t="str">
        <f t="shared" si="7"/>
        <v/>
      </c>
      <c r="X31" s="751">
        <f t="shared" si="8"/>
        <v>0</v>
      </c>
      <c r="Y31" s="751" t="str">
        <f t="shared" si="9"/>
        <v/>
      </c>
      <c r="Z31" s="105"/>
      <c r="AA31" s="769" t="str">
        <f>IFERROR(INDEX($N$7:$N$55,_xlfn.AGGREGATE(15,6,(ROW($O$7:$O$55)-ROW($O$7)+1)/(((MOD($R$7:$R$55,$B$3)&gt;0)+(MOD($V$7:$V$55,$B$3)&gt;0))&gt;0),ROWS($AA$7:AA31))),"")</f>
        <v/>
      </c>
      <c r="AB31" s="770" t="str">
        <f t="shared" si="10"/>
        <v/>
      </c>
      <c r="AC31" s="771" t="str">
        <f t="shared" si="11"/>
        <v/>
      </c>
      <c r="AD31" s="771" t="str">
        <f t="shared" si="12"/>
        <v/>
      </c>
      <c r="AE31" s="772" t="str">
        <f t="shared" si="13"/>
        <v/>
      </c>
      <c r="AF31" s="105"/>
      <c r="AG31" s="898" t="str">
        <f t="shared" si="14"/>
        <v/>
      </c>
      <c r="AH31" s="899" t="str">
        <f t="shared" si="15"/>
        <v/>
      </c>
      <c r="AI31" s="900" t="str">
        <f t="shared" si="16"/>
        <v/>
      </c>
      <c r="AJ31" s="900" t="str">
        <f t="shared" si="17"/>
        <v/>
      </c>
      <c r="AK31" s="901"/>
      <c r="AL31" s="901"/>
      <c r="AM31" s="902" t="str">
        <f t="shared" si="18"/>
        <v/>
      </c>
      <c r="AN31" s="902" t="str">
        <f t="shared" si="19"/>
        <v/>
      </c>
      <c r="AO31" s="902" t="str">
        <f t="shared" si="20"/>
        <v/>
      </c>
      <c r="AP31" s="900" t="str">
        <f t="shared" si="21"/>
        <v/>
      </c>
      <c r="AQ31" s="902" t="str">
        <f t="shared" si="22"/>
        <v/>
      </c>
      <c r="AR31" s="900" t="str">
        <f t="shared" si="23"/>
        <v/>
      </c>
      <c r="AS31" s="902" t="str">
        <f t="shared" si="24"/>
        <v/>
      </c>
      <c r="AT31" s="902" t="str">
        <f t="shared" si="25"/>
        <v/>
      </c>
      <c r="AU31" s="902" t="str">
        <f t="shared" si="26"/>
        <v/>
      </c>
      <c r="AV31" s="903" t="str">
        <f t="shared" si="27"/>
        <v/>
      </c>
      <c r="AW31" s="105"/>
      <c r="AX31" s="105"/>
      <c r="AY31" s="105"/>
      <c r="AZ31" s="105"/>
      <c r="BA31" s="105"/>
      <c r="BB31" s="843">
        <f>IF(PP!B31="","",PP!B31)</f>
        <v>8</v>
      </c>
      <c r="BC31" s="2880" t="str">
        <f>IF(PP!C31="","",PP!C31)</f>
        <v>ALETA FRESCA PARTIDA 2.0-4.0 kg/pza</v>
      </c>
      <c r="BD31" s="2881"/>
      <c r="BE31" s="844">
        <f t="shared" si="33"/>
        <v>0</v>
      </c>
      <c r="BF31" s="853">
        <f t="shared" si="28"/>
        <v>0</v>
      </c>
      <c r="BG31" s="846">
        <f t="shared" si="29"/>
        <v>0</v>
      </c>
      <c r="BH31" s="943">
        <f t="shared" si="30"/>
        <v>0</v>
      </c>
      <c r="BI31" s="845">
        <f t="shared" si="34"/>
        <v>0</v>
      </c>
      <c r="BJ31" s="845">
        <f t="shared" si="31"/>
        <v>0</v>
      </c>
      <c r="BK31" s="854"/>
      <c r="BL31" s="854">
        <f t="shared" si="32"/>
        <v>0</v>
      </c>
      <c r="BM31" s="11"/>
      <c r="BN31" s="779" t="str">
        <f>IF(PP!L31="","",PP!L31)</f>
        <v/>
      </c>
      <c r="BO31" s="765" t="str">
        <f>IF(PP!M31="","",PP!M31)</f>
        <v>VERDE</v>
      </c>
      <c r="BP31" s="755"/>
    </row>
    <row r="32" spans="1:68" ht="25.5">
      <c r="A32" s="938" t="str">
        <f>IFERROR(INDEX($N$7:$N$55,_xlfn.AGGREGATE(15,6,(ROW($X$7:$X$55)-ROW($X$7)+1)/($X$7:$X$55&gt;0),ROWS($B$7:B32))),"")</f>
        <v/>
      </c>
      <c r="B32" s="938" t="str">
        <f>IFERROR(UPPER(INDEX($O$7:$Y$55,_xlfn.AGGREGATE(15,6,(ROW($X$7:$X$55)-ROW($X$7)+1)/($X$7:$X$55&gt;0),ROWS($B$7:B32)),1)),"")</f>
        <v/>
      </c>
      <c r="C32" s="935" t="str">
        <f>IFERROR(INDEX($O$7:$Y$55,_xlfn.AGGREGATE(15,6,(ROW($X$7:$X$55)-ROW($X$7)+1)/($X$7:$X$55&gt;0),ROWS($B$7:B32)),2),"")</f>
        <v/>
      </c>
      <c r="D32" s="928" t="str">
        <f>IFERROR(INDEX($O$7:$Y$55,_xlfn.AGGREGATE(15,6,(ROW($X$7:$X$55)-ROW($X$7)+1)/($X$7:$X$55&gt;0),ROWS($B$7:B32)),4),"")</f>
        <v/>
      </c>
      <c r="E32" s="935" t="str">
        <f t="shared" si="0"/>
        <v/>
      </c>
      <c r="F32" s="935" t="str">
        <f>IFERROR(INDEX($O$7:$Y$55,_xlfn.AGGREGATE(15,6,(ROW($X$7:$X$55)-ROW($X$7)+1)/($X$7:$X$55&gt;0),ROWS($B$7:B32)),6),"")</f>
        <v/>
      </c>
      <c r="G32" s="928" t="str">
        <f>IFERROR(INDEX($O$7:$Y$55,_xlfn.AGGREGATE(15,6,(ROW($X$7:$X$55)-ROW($X$7)+1)/($X$7:$X$55&gt;0),ROWS($B$7:B32)),8),"")</f>
        <v/>
      </c>
      <c r="H32" s="935" t="str">
        <f t="shared" si="1"/>
        <v/>
      </c>
      <c r="I32" s="928" t="str">
        <f>IFERROR(INDEX($O$7:$Y$55,_xlfn.AGGREGATE(15,6,(ROW($X$7:$X$55)-ROW($X$7)+1)/($X$7:$X$55&gt;0),ROWS($B$7:B32)),10),"")</f>
        <v/>
      </c>
      <c r="J32" s="935" t="str">
        <f t="shared" si="2"/>
        <v/>
      </c>
      <c r="K32" s="936" t="str">
        <f t="shared" si="3"/>
        <v/>
      </c>
      <c r="L32" s="936" t="str">
        <f t="shared" si="4"/>
        <v/>
      </c>
      <c r="M32" s="936" t="str">
        <f t="shared" si="5"/>
        <v/>
      </c>
      <c r="N32" s="932"/>
      <c r="O32" s="751"/>
      <c r="P32" s="768">
        <v>0</v>
      </c>
      <c r="Q32" s="768">
        <v>0</v>
      </c>
      <c r="R32" s="751">
        <v>0</v>
      </c>
      <c r="S32" s="751" t="str">
        <f t="shared" si="6"/>
        <v/>
      </c>
      <c r="T32" s="751">
        <f>SUMIF('RES-EN'!$D$6:$D$53,O32,'RES-EN'!$Q$6:$Q$53)</f>
        <v>0</v>
      </c>
      <c r="U32" s="751">
        <f>SUMIF('RES-EN'!$D$6:$D$53,O32,'RES-EN'!$R$6:$R$53)</f>
        <v>0</v>
      </c>
      <c r="V32" s="751">
        <f>SUMIF('RES-EN'!$D$6:$D$53,O32,'RES-EN'!$S$6:$S$53)</f>
        <v>0</v>
      </c>
      <c r="W32" s="751" t="str">
        <f t="shared" si="7"/>
        <v/>
      </c>
      <c r="X32" s="751">
        <f>SUM(R32,V32)</f>
        <v>0</v>
      </c>
      <c r="Y32" s="751" t="str">
        <f t="shared" si="9"/>
        <v/>
      </c>
      <c r="Z32" s="105"/>
      <c r="AA32" s="769" t="str">
        <f>IFERROR(INDEX($N$7:$N$55,_xlfn.AGGREGATE(15,6,(ROW($O$7:$O$55)-ROW($O$7)+1)/(((MOD($R$7:$R$55,$B$3)&gt;0)+(MOD($V$7:$V$55,$B$3)&gt;0))&gt;0),ROWS($AA$7:AA32))),"")</f>
        <v/>
      </c>
      <c r="AB32" s="770" t="str">
        <f t="shared" si="10"/>
        <v/>
      </c>
      <c r="AC32" s="771" t="str">
        <f t="shared" si="11"/>
        <v/>
      </c>
      <c r="AD32" s="771" t="str">
        <f t="shared" si="12"/>
        <v/>
      </c>
      <c r="AE32" s="772" t="str">
        <f t="shared" si="13"/>
        <v/>
      </c>
      <c r="AF32" s="105"/>
      <c r="AG32" s="898" t="str">
        <f t="shared" si="14"/>
        <v/>
      </c>
      <c r="AH32" s="899" t="str">
        <f t="shared" si="15"/>
        <v/>
      </c>
      <c r="AI32" s="900" t="str">
        <f t="shared" si="16"/>
        <v/>
      </c>
      <c r="AJ32" s="900" t="str">
        <f t="shared" si="17"/>
        <v/>
      </c>
      <c r="AK32" s="901"/>
      <c r="AL32" s="901"/>
      <c r="AM32" s="902" t="str">
        <f t="shared" si="18"/>
        <v/>
      </c>
      <c r="AN32" s="902" t="str">
        <f t="shared" si="19"/>
        <v/>
      </c>
      <c r="AO32" s="902" t="str">
        <f t="shared" si="20"/>
        <v/>
      </c>
      <c r="AP32" s="900" t="str">
        <f t="shared" si="21"/>
        <v/>
      </c>
      <c r="AQ32" s="902" t="str">
        <f t="shared" si="22"/>
        <v/>
      </c>
      <c r="AR32" s="900" t="str">
        <f t="shared" si="23"/>
        <v/>
      </c>
      <c r="AS32" s="902" t="str">
        <f t="shared" si="24"/>
        <v/>
      </c>
      <c r="AT32" s="902" t="str">
        <f t="shared" si="25"/>
        <v/>
      </c>
      <c r="AU32" s="902" t="str">
        <f t="shared" si="26"/>
        <v/>
      </c>
      <c r="AV32" s="903" t="str">
        <f t="shared" si="27"/>
        <v/>
      </c>
      <c r="AW32" s="105"/>
      <c r="AX32" s="105"/>
      <c r="AY32" s="105"/>
      <c r="AZ32" s="105"/>
      <c r="BA32" s="105"/>
      <c r="BB32" s="843">
        <f>IF(PP!B32="","",PP!B32)</f>
        <v>9</v>
      </c>
      <c r="BC32" s="2880" t="str">
        <f>IF(PP!C32="","",PP!C32)</f>
        <v>ALETA PRECOCIDA ENTERA 300-UP g/pza</v>
      </c>
      <c r="BD32" s="2881"/>
      <c r="BE32" s="844">
        <f t="shared" si="33"/>
        <v>0</v>
      </c>
      <c r="BF32" s="853">
        <f t="shared" si="28"/>
        <v>0</v>
      </c>
      <c r="BG32" s="846">
        <f t="shared" si="29"/>
        <v>0</v>
      </c>
      <c r="BH32" s="943">
        <f t="shared" si="30"/>
        <v>0</v>
      </c>
      <c r="BI32" s="845">
        <f t="shared" si="34"/>
        <v>0</v>
      </c>
      <c r="BJ32" s="845">
        <f t="shared" si="31"/>
        <v>0</v>
      </c>
      <c r="BK32" s="854"/>
      <c r="BL32" s="854">
        <f t="shared" si="32"/>
        <v>0</v>
      </c>
      <c r="BM32" s="11"/>
      <c r="BN32" s="779" t="str">
        <f>IF(PP!L32="","",PP!L32)</f>
        <v/>
      </c>
      <c r="BO32" s="765" t="str">
        <f>IF(PP!M32="","",PP!M32)</f>
        <v>NARANJA</v>
      </c>
      <c r="BP32" s="755"/>
    </row>
    <row r="33" spans="1:68" ht="26.25" thickBot="1">
      <c r="A33" s="938" t="str">
        <f>IFERROR(INDEX($N$7:$N$55,_xlfn.AGGREGATE(15,6,(ROW($X$7:$X$55)-ROW($X$7)+1)/($X$7:$X$55&gt;0),ROWS($B$7:B33))),"")</f>
        <v/>
      </c>
      <c r="B33" s="938" t="str">
        <f>IFERROR(UPPER(INDEX($O$7:$Y$55,_xlfn.AGGREGATE(15,6,(ROW($X$7:$X$55)-ROW($X$7)+1)/($X$7:$X$55&gt;0),ROWS($B$7:B33)),1)),"")</f>
        <v/>
      </c>
      <c r="C33" s="935" t="str">
        <f>IFERROR(INDEX($O$7:$Y$55,_xlfn.AGGREGATE(15,6,(ROW($X$7:$X$55)-ROW($X$7)+1)/($X$7:$X$55&gt;0),ROWS($B$7:B33)),2),"")</f>
        <v/>
      </c>
      <c r="D33" s="928" t="str">
        <f>IFERROR(INDEX($O$7:$Y$55,_xlfn.AGGREGATE(15,6,(ROW($X$7:$X$55)-ROW($X$7)+1)/($X$7:$X$55&gt;0),ROWS($B$7:B33)),4),"")</f>
        <v/>
      </c>
      <c r="E33" s="935" t="str">
        <f t="shared" si="0"/>
        <v/>
      </c>
      <c r="F33" s="935" t="str">
        <f>IFERROR(INDEX($O$7:$Y$55,_xlfn.AGGREGATE(15,6,(ROW($X$7:$X$55)-ROW($X$7)+1)/($X$7:$X$55&gt;0),ROWS($B$7:B33)),6),"")</f>
        <v/>
      </c>
      <c r="G33" s="928" t="str">
        <f>IFERROR(INDEX($O$7:$Y$55,_xlfn.AGGREGATE(15,6,(ROW($X$7:$X$55)-ROW($X$7)+1)/($X$7:$X$55&gt;0),ROWS($B$7:B33)),8),"")</f>
        <v/>
      </c>
      <c r="H33" s="935" t="str">
        <f t="shared" si="1"/>
        <v/>
      </c>
      <c r="I33" s="928" t="str">
        <f>IFERROR(INDEX($O$7:$Y$55,_xlfn.AGGREGATE(15,6,(ROW($X$7:$X$55)-ROW($X$7)+1)/($X$7:$X$55&gt;0),ROWS($B$7:B33)),10),"")</f>
        <v/>
      </c>
      <c r="J33" s="935" t="str">
        <f t="shared" si="2"/>
        <v/>
      </c>
      <c r="K33" s="936" t="str">
        <f t="shared" si="3"/>
        <v/>
      </c>
      <c r="L33" s="936" t="str">
        <f t="shared" si="4"/>
        <v/>
      </c>
      <c r="M33" s="936" t="str">
        <f t="shared" si="5"/>
        <v/>
      </c>
      <c r="N33" s="932">
        <f>'ENV. PLACAS'!C31</f>
        <v>26</v>
      </c>
      <c r="O33" s="751" t="str">
        <f>IFERROR(UPPER('ENV. PLACAS'!D31),"")</f>
        <v>NUCA C/C CERRADO 0-100 G/PZA</v>
      </c>
      <c r="P33" s="768">
        <f>'ENV. PLACAS'!AC31</f>
        <v>0</v>
      </c>
      <c r="Q33" s="768">
        <f>'ENV. PLACAS'!AD31</f>
        <v>0</v>
      </c>
      <c r="R33" s="751">
        <f>'ENV. PLACAS'!AE31</f>
        <v>0</v>
      </c>
      <c r="S33" s="751" t="str">
        <f t="shared" si="6"/>
        <v/>
      </c>
      <c r="T33" s="751">
        <f>SUMIF('RES-EN'!$D$6:$D$53,O33,'RES-EN'!$Q$6:$Q$53)</f>
        <v>0</v>
      </c>
      <c r="U33" s="751">
        <f>SUMIF('RES-EN'!$D$6:$D$53,O33,'RES-EN'!$R$6:$R$53)</f>
        <v>0</v>
      </c>
      <c r="V33" s="751">
        <f>SUMIF('RES-EN'!$D$6:$D$53,O33,'RES-EN'!$S$6:$S$53)</f>
        <v>0</v>
      </c>
      <c r="W33" s="751" t="str">
        <f t="shared" si="7"/>
        <v/>
      </c>
      <c r="X33" s="751">
        <f t="shared" si="8"/>
        <v>0</v>
      </c>
      <c r="Y33" s="751" t="str">
        <f t="shared" si="9"/>
        <v/>
      </c>
      <c r="Z33" s="105"/>
      <c r="AA33" s="769" t="str">
        <f>IFERROR(INDEX($N$7:$N$55,_xlfn.AGGREGATE(15,6,(ROW($O$7:$O$55)-ROW($O$7)+1)/(((MOD($R$7:$R$55,$B$3)&gt;0)+(MOD($V$7:$V$55,$B$3)&gt;0))&gt;0),ROWS($AA$7:AA33))),"")</f>
        <v/>
      </c>
      <c r="AB33" s="770" t="str">
        <f t="shared" si="10"/>
        <v/>
      </c>
      <c r="AC33" s="771" t="str">
        <f t="shared" si="11"/>
        <v/>
      </c>
      <c r="AD33" s="771" t="str">
        <f t="shared" si="12"/>
        <v/>
      </c>
      <c r="AE33" s="772" t="str">
        <f t="shared" si="13"/>
        <v/>
      </c>
      <c r="AF33" s="105"/>
      <c r="AG33" s="898" t="str">
        <f t="shared" si="14"/>
        <v/>
      </c>
      <c r="AH33" s="899" t="str">
        <f t="shared" si="15"/>
        <v/>
      </c>
      <c r="AI33" s="900" t="str">
        <f t="shared" si="16"/>
        <v/>
      </c>
      <c r="AJ33" s="900" t="str">
        <f t="shared" si="17"/>
        <v/>
      </c>
      <c r="AK33" s="901"/>
      <c r="AL33" s="901"/>
      <c r="AM33" s="902" t="str">
        <f t="shared" si="18"/>
        <v/>
      </c>
      <c r="AN33" s="902" t="str">
        <f t="shared" si="19"/>
        <v/>
      </c>
      <c r="AO33" s="902" t="str">
        <f t="shared" si="20"/>
        <v/>
      </c>
      <c r="AP33" s="900" t="str">
        <f t="shared" si="21"/>
        <v/>
      </c>
      <c r="AQ33" s="902" t="str">
        <f t="shared" si="22"/>
        <v/>
      </c>
      <c r="AR33" s="900" t="str">
        <f t="shared" si="23"/>
        <v/>
      </c>
      <c r="AS33" s="902" t="str">
        <f t="shared" si="24"/>
        <v/>
      </c>
      <c r="AT33" s="902" t="str">
        <f t="shared" si="25"/>
        <v/>
      </c>
      <c r="AU33" s="902" t="str">
        <f t="shared" si="26"/>
        <v/>
      </c>
      <c r="AV33" s="903" t="str">
        <f t="shared" si="27"/>
        <v/>
      </c>
      <c r="AW33" s="105"/>
      <c r="AX33" s="105"/>
      <c r="AY33" s="105"/>
      <c r="AZ33" s="105"/>
      <c r="BA33" s="105"/>
      <c r="BB33" s="847">
        <f>IF(PP!B33="","",PP!B33)</f>
        <v>10</v>
      </c>
      <c r="BC33" s="2882" t="str">
        <f>IF(PP!C33="","",PP!C33)</f>
        <v>ALETA PRECOCIDA PARTIDA 300-UP g/pza</v>
      </c>
      <c r="BD33" s="2883"/>
      <c r="BE33" s="848">
        <f t="shared" si="33"/>
        <v>0</v>
      </c>
      <c r="BF33" s="855">
        <f t="shared" si="28"/>
        <v>0</v>
      </c>
      <c r="BG33" s="846">
        <f t="shared" si="29"/>
        <v>0</v>
      </c>
      <c r="BH33" s="944">
        <f t="shared" si="30"/>
        <v>0</v>
      </c>
      <c r="BI33" s="849">
        <f t="shared" si="34"/>
        <v>0</v>
      </c>
      <c r="BJ33" s="849">
        <f t="shared" si="31"/>
        <v>0</v>
      </c>
      <c r="BK33" s="856"/>
      <c r="BL33" s="856">
        <f t="shared" si="32"/>
        <v>0</v>
      </c>
      <c r="BM33" s="11"/>
      <c r="BN33" s="779" t="str">
        <f>IF(PP!L33="","",PP!L33)</f>
        <v/>
      </c>
      <c r="BO33" s="765" t="str">
        <f>IF(PP!M33="","",PP!M33)</f>
        <v>CRISTAL</v>
      </c>
      <c r="BP33" s="755"/>
    </row>
    <row r="34" spans="1:68" ht="25.5">
      <c r="A34" s="938" t="str">
        <f>IFERROR(INDEX($N$7:$N$55,_xlfn.AGGREGATE(15,6,(ROW($X$7:$X$55)-ROW($X$7)+1)/($X$7:$X$55&gt;0),ROWS($B$7:B34))),"")</f>
        <v/>
      </c>
      <c r="B34" s="938" t="str">
        <f>IFERROR(UPPER(INDEX($O$7:$Y$55,_xlfn.AGGREGATE(15,6,(ROW($X$7:$X$55)-ROW($X$7)+1)/($X$7:$X$55&gt;0),ROWS($B$7:B34)),1)),"")</f>
        <v/>
      </c>
      <c r="C34" s="935" t="str">
        <f>IFERROR(INDEX($O$7:$Y$55,_xlfn.AGGREGATE(15,6,(ROW($X$7:$X$55)-ROW($X$7)+1)/($X$7:$X$55&gt;0),ROWS($B$7:B34)),2),"")</f>
        <v/>
      </c>
      <c r="D34" s="928" t="str">
        <f>IFERROR(INDEX($O$7:$Y$55,_xlfn.AGGREGATE(15,6,(ROW($X$7:$X$55)-ROW($X$7)+1)/($X$7:$X$55&gt;0),ROWS($B$7:B34)),4),"")</f>
        <v/>
      </c>
      <c r="E34" s="935" t="str">
        <f t="shared" si="0"/>
        <v/>
      </c>
      <c r="F34" s="935" t="str">
        <f>IFERROR(INDEX($O$7:$Y$55,_xlfn.AGGREGATE(15,6,(ROW($X$7:$X$55)-ROW($X$7)+1)/($X$7:$X$55&gt;0),ROWS($B$7:B34)),6),"")</f>
        <v/>
      </c>
      <c r="G34" s="928" t="str">
        <f>IFERROR(INDEX($O$7:$Y$55,_xlfn.AGGREGATE(15,6,(ROW($X$7:$X$55)-ROW($X$7)+1)/($X$7:$X$55&gt;0),ROWS($B$7:B34)),8),"")</f>
        <v/>
      </c>
      <c r="H34" s="935" t="str">
        <f t="shared" si="1"/>
        <v/>
      </c>
      <c r="I34" s="928" t="str">
        <f>IFERROR(INDEX($O$7:$Y$55,_xlfn.AGGREGATE(15,6,(ROW($X$7:$X$55)-ROW($X$7)+1)/($X$7:$X$55&gt;0),ROWS($B$7:B34)),10),"")</f>
        <v/>
      </c>
      <c r="J34" s="935" t="str">
        <f t="shared" si="2"/>
        <v/>
      </c>
      <c r="K34" s="936" t="str">
        <f t="shared" si="3"/>
        <v/>
      </c>
      <c r="L34" s="936" t="str">
        <f t="shared" si="4"/>
        <v/>
      </c>
      <c r="M34" s="936" t="str">
        <f t="shared" si="5"/>
        <v/>
      </c>
      <c r="N34" s="932">
        <f>'ENV. PLACAS'!C32</f>
        <v>27</v>
      </c>
      <c r="O34" s="751" t="str">
        <f>IFERROR(UPPER('ENV. PLACAS'!D32),"")</f>
        <v>NUCA C/C ABIERTO 100-300 G/PZA</v>
      </c>
      <c r="P34" s="768">
        <f>'ENV. PLACAS'!AC32</f>
        <v>0</v>
      </c>
      <c r="Q34" s="768">
        <f>'ENV. PLACAS'!AD32</f>
        <v>0</v>
      </c>
      <c r="R34" s="751">
        <f>'ENV. PLACAS'!AE32</f>
        <v>0</v>
      </c>
      <c r="S34" s="751" t="str">
        <f t="shared" si="6"/>
        <v/>
      </c>
      <c r="T34" s="751">
        <f>SUMIF('RES-EN'!$D$6:$D$53,O34,'RES-EN'!$Q$6:$Q$53)</f>
        <v>0</v>
      </c>
      <c r="U34" s="751">
        <f>SUMIF('RES-EN'!$D$6:$D$53,O34,'RES-EN'!$R$6:$R$53)</f>
        <v>0</v>
      </c>
      <c r="V34" s="751">
        <f>SUMIF('RES-EN'!$D$6:$D$53,O34,'RES-EN'!$S$6:$S$53)</f>
        <v>0</v>
      </c>
      <c r="W34" s="751" t="str">
        <f t="shared" si="7"/>
        <v/>
      </c>
      <c r="X34" s="751">
        <f t="shared" si="8"/>
        <v>0</v>
      </c>
      <c r="Y34" s="751" t="str">
        <f t="shared" si="9"/>
        <v/>
      </c>
      <c r="Z34" s="105"/>
      <c r="AA34" s="769" t="str">
        <f>IFERROR(INDEX($N$7:$N$55,_xlfn.AGGREGATE(15,6,(ROW($O$7:$O$55)-ROW($O$7)+1)/(((MOD($R$7:$R$55,$B$3)&gt;0)+(MOD($V$7:$V$55,$B$3)&gt;0))&gt;0),ROWS($AA$7:AA34))),"")</f>
        <v/>
      </c>
      <c r="AB34" s="770" t="str">
        <f t="shared" si="10"/>
        <v/>
      </c>
      <c r="AC34" s="771" t="str">
        <f t="shared" si="11"/>
        <v/>
      </c>
      <c r="AD34" s="771" t="str">
        <f t="shared" si="12"/>
        <v/>
      </c>
      <c r="AE34" s="772" t="str">
        <f t="shared" si="13"/>
        <v/>
      </c>
      <c r="AF34" s="105"/>
      <c r="AG34" s="898" t="str">
        <f t="shared" si="14"/>
        <v/>
      </c>
      <c r="AH34" s="899" t="str">
        <f t="shared" si="15"/>
        <v/>
      </c>
      <c r="AI34" s="900" t="str">
        <f t="shared" si="16"/>
        <v/>
      </c>
      <c r="AJ34" s="900" t="str">
        <f t="shared" si="17"/>
        <v/>
      </c>
      <c r="AK34" s="901"/>
      <c r="AL34" s="901"/>
      <c r="AM34" s="902" t="str">
        <f t="shared" si="18"/>
        <v/>
      </c>
      <c r="AN34" s="902" t="str">
        <f t="shared" si="19"/>
        <v/>
      </c>
      <c r="AO34" s="902" t="str">
        <f t="shared" si="20"/>
        <v/>
      </c>
      <c r="AP34" s="900" t="str">
        <f t="shared" si="21"/>
        <v/>
      </c>
      <c r="AQ34" s="902" t="str">
        <f t="shared" si="22"/>
        <v/>
      </c>
      <c r="AR34" s="900" t="str">
        <f t="shared" si="23"/>
        <v/>
      </c>
      <c r="AS34" s="902" t="str">
        <f t="shared" si="24"/>
        <v/>
      </c>
      <c r="AT34" s="902" t="str">
        <f t="shared" si="25"/>
        <v/>
      </c>
      <c r="AU34" s="902" t="str">
        <f t="shared" si="26"/>
        <v/>
      </c>
      <c r="AV34" s="903" t="str">
        <f t="shared" si="27"/>
        <v/>
      </c>
      <c r="AW34" s="105"/>
      <c r="AX34" s="105"/>
      <c r="AY34" s="105"/>
      <c r="AZ34" s="105"/>
      <c r="BA34" s="105"/>
      <c r="BB34" s="843">
        <f>IF(PP!B34="","",PP!B34)</f>
        <v>11</v>
      </c>
      <c r="BC34" s="2878" t="str">
        <f>IF(PP!C34="","",PP!C34)</f>
        <v>BOTON BLANCO SM ST</v>
      </c>
      <c r="BD34" s="2879"/>
      <c r="BE34" s="840">
        <f t="shared" si="33"/>
        <v>0</v>
      </c>
      <c r="BF34" s="853">
        <f t="shared" si="28"/>
        <v>0</v>
      </c>
      <c r="BG34" s="842">
        <f t="shared" si="29"/>
        <v>0</v>
      </c>
      <c r="BH34" s="943">
        <f t="shared" si="30"/>
        <v>0</v>
      </c>
      <c r="BI34" s="841">
        <f t="shared" si="34"/>
        <v>0</v>
      </c>
      <c r="BJ34" s="841">
        <f t="shared" si="31"/>
        <v>0</v>
      </c>
      <c r="BK34" s="854"/>
      <c r="BL34" s="854">
        <f t="shared" si="32"/>
        <v>0</v>
      </c>
      <c r="BM34" s="12"/>
      <c r="BN34" s="779" t="str">
        <f>IF(PP!L34="","",PP!L34)</f>
        <v/>
      </c>
      <c r="BO34" s="765" t="str">
        <f>IF(PP!M34="","",PP!M34)</f>
        <v>VERDE</v>
      </c>
      <c r="BP34" s="755"/>
    </row>
    <row r="35" spans="1:68" ht="26.25" thickBot="1">
      <c r="A35" s="938" t="str">
        <f>IFERROR(INDEX($N$7:$N$55,_xlfn.AGGREGATE(15,6,(ROW($X$7:$X$55)-ROW($X$7)+1)/($X$7:$X$55&gt;0),ROWS($B$7:B35))),"")</f>
        <v/>
      </c>
      <c r="B35" s="938" t="str">
        <f>IFERROR(UPPER(INDEX($O$7:$Y$55,_xlfn.AGGREGATE(15,6,(ROW($X$7:$X$55)-ROW($X$7)+1)/($X$7:$X$55&gt;0),ROWS($B$7:B35)),1)),"")</f>
        <v/>
      </c>
      <c r="C35" s="935" t="str">
        <f>IFERROR(INDEX($O$7:$Y$55,_xlfn.AGGREGATE(15,6,(ROW($X$7:$X$55)-ROW($X$7)+1)/($X$7:$X$55&gt;0),ROWS($B$7:B35)),2),"")</f>
        <v/>
      </c>
      <c r="D35" s="928" t="str">
        <f>IFERROR(INDEX($O$7:$Y$55,_xlfn.AGGREGATE(15,6,(ROW($X$7:$X$55)-ROW($X$7)+1)/($X$7:$X$55&gt;0),ROWS($B$7:B35)),4),"")</f>
        <v/>
      </c>
      <c r="E35" s="935" t="str">
        <f t="shared" si="0"/>
        <v/>
      </c>
      <c r="F35" s="935" t="str">
        <f>IFERROR(INDEX($O$7:$Y$55,_xlfn.AGGREGATE(15,6,(ROW($X$7:$X$55)-ROW($X$7)+1)/($X$7:$X$55&gt;0),ROWS($B$7:B35)),6),"")</f>
        <v/>
      </c>
      <c r="G35" s="928" t="str">
        <f>IFERROR(INDEX($O$7:$Y$55,_xlfn.AGGREGATE(15,6,(ROW($X$7:$X$55)-ROW($X$7)+1)/($X$7:$X$55&gt;0),ROWS($B$7:B35)),8),"")</f>
        <v/>
      </c>
      <c r="H35" s="935" t="str">
        <f t="shared" si="1"/>
        <v/>
      </c>
      <c r="I35" s="928" t="str">
        <f>IFERROR(INDEX($O$7:$Y$55,_xlfn.AGGREGATE(15,6,(ROW($X$7:$X$55)-ROW($X$7)+1)/($X$7:$X$55&gt;0),ROWS($B$7:B35)),10),"")</f>
        <v/>
      </c>
      <c r="J35" s="935" t="str">
        <f t="shared" si="2"/>
        <v/>
      </c>
      <c r="K35" s="936" t="str">
        <f t="shared" si="3"/>
        <v/>
      </c>
      <c r="L35" s="936" t="str">
        <f t="shared" si="4"/>
        <v/>
      </c>
      <c r="M35" s="936" t="str">
        <f t="shared" si="5"/>
        <v/>
      </c>
      <c r="N35" s="932">
        <f>'ENV. PLACAS'!C33</f>
        <v>28</v>
      </c>
      <c r="O35" s="751" t="str">
        <f>IFERROR(UPPER('ENV. PLACAS'!D33),"")</f>
        <v>NUCA C/C ABIERTO 300-500 G/PZA</v>
      </c>
      <c r="P35" s="768">
        <f>'ENV. PLACAS'!AC33</f>
        <v>0</v>
      </c>
      <c r="Q35" s="768">
        <f>'ENV. PLACAS'!AD33</f>
        <v>0</v>
      </c>
      <c r="R35" s="751">
        <f>'ENV. PLACAS'!AE33</f>
        <v>0</v>
      </c>
      <c r="S35" s="751" t="str">
        <f t="shared" si="6"/>
        <v/>
      </c>
      <c r="T35" s="751">
        <f>SUMIF('RES-EN'!$D$6:$D$53,O35,'RES-EN'!$Q$6:$Q$53)</f>
        <v>0</v>
      </c>
      <c r="U35" s="751">
        <f>SUMIF('RES-EN'!$D$6:$D$53,O35,'RES-EN'!$R$6:$R$53)</f>
        <v>0</v>
      </c>
      <c r="V35" s="751">
        <f>SUMIF('RES-EN'!$D$6:$D$53,O35,'RES-EN'!$S$6:$S$53)</f>
        <v>0</v>
      </c>
      <c r="W35" s="751" t="str">
        <f t="shared" si="7"/>
        <v/>
      </c>
      <c r="X35" s="751">
        <f t="shared" si="8"/>
        <v>0</v>
      </c>
      <c r="Y35" s="751" t="str">
        <f t="shared" si="9"/>
        <v/>
      </c>
      <c r="Z35" s="105"/>
      <c r="AA35" s="769" t="str">
        <f>IFERROR(INDEX($N$7:$N$55,_xlfn.AGGREGATE(15,6,(ROW($O$7:$O$55)-ROW($O$7)+1)/(((MOD($R$7:$R$55,$B$3)&gt;0)+(MOD($V$7:$V$55,$B$3)&gt;0))&gt;0),ROWS($AA$7:AA35))),"")</f>
        <v/>
      </c>
      <c r="AB35" s="770" t="str">
        <f t="shared" si="10"/>
        <v/>
      </c>
      <c r="AC35" s="771" t="str">
        <f t="shared" si="11"/>
        <v/>
      </c>
      <c r="AD35" s="771" t="str">
        <f t="shared" si="12"/>
        <v/>
      </c>
      <c r="AE35" s="772" t="str">
        <f t="shared" si="13"/>
        <v/>
      </c>
      <c r="AF35" s="105"/>
      <c r="AG35" s="898" t="str">
        <f t="shared" si="14"/>
        <v/>
      </c>
      <c r="AH35" s="899" t="str">
        <f t="shared" si="15"/>
        <v/>
      </c>
      <c r="AI35" s="900" t="str">
        <f t="shared" si="16"/>
        <v/>
      </c>
      <c r="AJ35" s="900" t="str">
        <f t="shared" si="17"/>
        <v/>
      </c>
      <c r="AK35" s="901"/>
      <c r="AL35" s="901"/>
      <c r="AM35" s="902" t="str">
        <f t="shared" si="18"/>
        <v/>
      </c>
      <c r="AN35" s="902" t="str">
        <f t="shared" si="19"/>
        <v/>
      </c>
      <c r="AO35" s="902" t="str">
        <f t="shared" si="20"/>
        <v/>
      </c>
      <c r="AP35" s="900" t="str">
        <f t="shared" si="21"/>
        <v/>
      </c>
      <c r="AQ35" s="902" t="str">
        <f t="shared" si="22"/>
        <v/>
      </c>
      <c r="AR35" s="900" t="str">
        <f t="shared" si="23"/>
        <v/>
      </c>
      <c r="AS35" s="902" t="str">
        <f t="shared" si="24"/>
        <v/>
      </c>
      <c r="AT35" s="902" t="str">
        <f t="shared" si="25"/>
        <v/>
      </c>
      <c r="AU35" s="902" t="str">
        <f t="shared" si="26"/>
        <v/>
      </c>
      <c r="AV35" s="903" t="str">
        <f t="shared" si="27"/>
        <v/>
      </c>
      <c r="AW35" s="105"/>
      <c r="AX35" s="105"/>
      <c r="AY35" s="105"/>
      <c r="AZ35" s="105"/>
      <c r="BA35" s="105"/>
      <c r="BB35" s="843">
        <f>IF(PP!B35="","",PP!B35)</f>
        <v>12</v>
      </c>
      <c r="BC35" s="2882" t="str">
        <f>IF(PP!C35="","",PP!C35)</f>
        <v>BOTON AMARILLO SM ST</v>
      </c>
      <c r="BD35" s="2883"/>
      <c r="BE35" s="848">
        <f t="shared" si="33"/>
        <v>0</v>
      </c>
      <c r="BF35" s="853">
        <f t="shared" si="28"/>
        <v>0</v>
      </c>
      <c r="BG35" s="846">
        <f t="shared" si="29"/>
        <v>0</v>
      </c>
      <c r="BH35" s="943">
        <f t="shared" si="30"/>
        <v>0</v>
      </c>
      <c r="BI35" s="845">
        <f t="shared" si="34"/>
        <v>0</v>
      </c>
      <c r="BJ35" s="845">
        <f t="shared" si="31"/>
        <v>0</v>
      </c>
      <c r="BK35" s="854"/>
      <c r="BL35" s="854">
        <f t="shared" si="32"/>
        <v>0</v>
      </c>
      <c r="BM35" s="12"/>
      <c r="BN35" s="779" t="str">
        <f>IF(PP!L35="","",PP!L35)</f>
        <v/>
      </c>
      <c r="BO35" s="765" t="str">
        <f>IF(PP!M35="","",PP!M35)</f>
        <v>ROSADO</v>
      </c>
      <c r="BP35" s="755"/>
    </row>
    <row r="36" spans="1:68" ht="26.25" thickBot="1">
      <c r="A36" s="938" t="str">
        <f>IFERROR(INDEX($N$7:$N$55,_xlfn.AGGREGATE(15,6,(ROW($X$7:$X$55)-ROW($X$7)+1)/($X$7:$X$55&gt;0),ROWS($B$7:B36))),"")</f>
        <v/>
      </c>
      <c r="B36" s="938" t="str">
        <f>IFERROR(UPPER(INDEX($O$7:$Y$55,_xlfn.AGGREGATE(15,6,(ROW($X$7:$X$55)-ROW($X$7)+1)/($X$7:$X$55&gt;0),ROWS($B$7:B36)),1)),"")</f>
        <v/>
      </c>
      <c r="C36" s="935" t="str">
        <f>IFERROR(INDEX($O$7:$Y$55,_xlfn.AGGREGATE(15,6,(ROW($X$7:$X$55)-ROW($X$7)+1)/($X$7:$X$55&gt;0),ROWS($B$7:B36)),2),"")</f>
        <v/>
      </c>
      <c r="D36" s="928" t="str">
        <f>IFERROR(INDEX($O$7:$Y$55,_xlfn.AGGREGATE(15,6,(ROW($X$7:$X$55)-ROW($X$7)+1)/($X$7:$X$55&gt;0),ROWS($B$7:B36)),4),"")</f>
        <v/>
      </c>
      <c r="E36" s="935" t="str">
        <f t="shared" si="0"/>
        <v/>
      </c>
      <c r="F36" s="935" t="str">
        <f>IFERROR(INDEX($O$7:$Y$55,_xlfn.AGGREGATE(15,6,(ROW($X$7:$X$55)-ROW($X$7)+1)/($X$7:$X$55&gt;0),ROWS($B$7:B36)),6),"")</f>
        <v/>
      </c>
      <c r="G36" s="928" t="str">
        <f>IFERROR(INDEX($O$7:$Y$55,_xlfn.AGGREGATE(15,6,(ROW($X$7:$X$55)-ROW($X$7)+1)/($X$7:$X$55&gt;0),ROWS($B$7:B36)),8),"")</f>
        <v/>
      </c>
      <c r="H36" s="935" t="str">
        <f t="shared" si="1"/>
        <v/>
      </c>
      <c r="I36" s="928" t="str">
        <f>IFERROR(INDEX($O$7:$Y$55,_xlfn.AGGREGATE(15,6,(ROW($X$7:$X$55)-ROW($X$7)+1)/($X$7:$X$55&gt;0),ROWS($B$7:B36)),10),"")</f>
        <v/>
      </c>
      <c r="J36" s="935" t="str">
        <f t="shared" si="2"/>
        <v/>
      </c>
      <c r="K36" s="936" t="str">
        <f t="shared" si="3"/>
        <v/>
      </c>
      <c r="L36" s="936" t="str">
        <f t="shared" si="4"/>
        <v/>
      </c>
      <c r="M36" s="936" t="str">
        <f t="shared" si="5"/>
        <v/>
      </c>
      <c r="N36" s="932">
        <f>'ENV. PLACAS'!C34</f>
        <v>29</v>
      </c>
      <c r="O36" s="751" t="str">
        <f>IFERROR(UPPER('ENV. PLACAS'!D34),"")</f>
        <v>NUCA C/C ABIERTO 500-1000 G/PZA</v>
      </c>
      <c r="P36" s="768">
        <f>'ENV. PLACAS'!AC34</f>
        <v>0</v>
      </c>
      <c r="Q36" s="768">
        <f>'ENV. PLACAS'!AD34</f>
        <v>0</v>
      </c>
      <c r="R36" s="751">
        <f>'ENV. PLACAS'!AE34</f>
        <v>0</v>
      </c>
      <c r="S36" s="751" t="str">
        <f t="shared" si="6"/>
        <v/>
      </c>
      <c r="T36" s="751">
        <f>SUMIF('RES-EN'!$D$6:$D$53,O36,'RES-EN'!$Q$6:$Q$53)</f>
        <v>0</v>
      </c>
      <c r="U36" s="751">
        <f>SUMIF('RES-EN'!$D$6:$D$53,O36,'RES-EN'!$R$6:$R$53)</f>
        <v>0</v>
      </c>
      <c r="V36" s="751">
        <f>SUMIF('RES-EN'!$D$6:$D$53,O36,'RES-EN'!$S$6:$S$53)</f>
        <v>0</v>
      </c>
      <c r="W36" s="751" t="str">
        <f t="shared" si="7"/>
        <v/>
      </c>
      <c r="X36" s="751">
        <f t="shared" si="8"/>
        <v>0</v>
      </c>
      <c r="Y36" s="751" t="str">
        <f t="shared" si="9"/>
        <v/>
      </c>
      <c r="Z36" s="105"/>
      <c r="AA36" s="769" t="str">
        <f>IFERROR(INDEX($N$7:$N$55,_xlfn.AGGREGATE(15,6,(ROW($O$7:$O$55)-ROW($O$7)+1)/(((MOD($R$7:$R$55,$B$3)&gt;0)+(MOD($V$7:$V$55,$B$3)&gt;0))&gt;0),ROWS($AA$7:AA36))),"")</f>
        <v/>
      </c>
      <c r="AB36" s="770" t="str">
        <f t="shared" si="10"/>
        <v/>
      </c>
      <c r="AC36" s="771" t="str">
        <f t="shared" si="11"/>
        <v/>
      </c>
      <c r="AD36" s="771" t="str">
        <f t="shared" si="12"/>
        <v/>
      </c>
      <c r="AE36" s="772" t="str">
        <f t="shared" si="13"/>
        <v/>
      </c>
      <c r="AF36" s="105"/>
      <c r="AG36" s="898" t="str">
        <f t="shared" si="14"/>
        <v/>
      </c>
      <c r="AH36" s="899" t="str">
        <f t="shared" si="15"/>
        <v/>
      </c>
      <c r="AI36" s="900" t="str">
        <f t="shared" si="16"/>
        <v/>
      </c>
      <c r="AJ36" s="900" t="str">
        <f t="shared" si="17"/>
        <v/>
      </c>
      <c r="AK36" s="901"/>
      <c r="AL36" s="901"/>
      <c r="AM36" s="902" t="str">
        <f t="shared" si="18"/>
        <v/>
      </c>
      <c r="AN36" s="902" t="str">
        <f t="shared" si="19"/>
        <v/>
      </c>
      <c r="AO36" s="902" t="str">
        <f t="shared" si="20"/>
        <v/>
      </c>
      <c r="AP36" s="900" t="str">
        <f t="shared" si="21"/>
        <v/>
      </c>
      <c r="AQ36" s="902" t="str">
        <f t="shared" si="22"/>
        <v/>
      </c>
      <c r="AR36" s="900" t="str">
        <f t="shared" si="23"/>
        <v/>
      </c>
      <c r="AS36" s="902" t="str">
        <f t="shared" si="24"/>
        <v/>
      </c>
      <c r="AT36" s="902" t="str">
        <f t="shared" si="25"/>
        <v/>
      </c>
      <c r="AU36" s="902" t="str">
        <f t="shared" si="26"/>
        <v/>
      </c>
      <c r="AV36" s="903" t="str">
        <f t="shared" si="27"/>
        <v/>
      </c>
      <c r="AW36" s="105"/>
      <c r="AX36" s="105"/>
      <c r="AY36" s="105"/>
      <c r="AZ36" s="105"/>
      <c r="BA36" s="105"/>
      <c r="BB36" s="815">
        <f>IF(PP!B36="","",PP!B36)</f>
        <v>13</v>
      </c>
      <c r="BC36" s="2886" t="str">
        <f>IF(PP!C36="","",PP!C36)</f>
        <v>CONOS DE POTA</v>
      </c>
      <c r="BD36" s="2887"/>
      <c r="BE36" s="857">
        <f t="shared" si="33"/>
        <v>0</v>
      </c>
      <c r="BF36" s="858">
        <f t="shared" si="28"/>
        <v>0</v>
      </c>
      <c r="BG36" s="842">
        <f t="shared" si="29"/>
        <v>0</v>
      </c>
      <c r="BH36" s="945">
        <f t="shared" si="30"/>
        <v>0</v>
      </c>
      <c r="BI36" s="859">
        <f t="shared" si="34"/>
        <v>0</v>
      </c>
      <c r="BJ36" s="859">
        <f t="shared" si="31"/>
        <v>0</v>
      </c>
      <c r="BK36" s="860"/>
      <c r="BL36" s="860">
        <f t="shared" si="32"/>
        <v>0</v>
      </c>
      <c r="BM36" s="12"/>
      <c r="BN36" s="779" t="str">
        <f>IF(PP!L36="","",PP!L36)</f>
        <v/>
      </c>
      <c r="BO36" s="765" t="str">
        <f>IF(PP!M36="","",PP!M36)</f>
        <v>CRISTAL</v>
      </c>
      <c r="BP36" s="755"/>
    </row>
    <row r="37" spans="1:68" ht="25.5">
      <c r="A37" s="938" t="str">
        <f>IFERROR(INDEX($N$7:$N$55,_xlfn.AGGREGATE(15,6,(ROW($X$7:$X$55)-ROW($X$7)+1)/($X$7:$X$55&gt;0),ROWS($B$7:B37))),"")</f>
        <v/>
      </c>
      <c r="B37" s="938" t="str">
        <f>IFERROR(UPPER(INDEX($O$7:$Y$55,_xlfn.AGGREGATE(15,6,(ROW($X$7:$X$55)-ROW($X$7)+1)/($X$7:$X$55&gt;0),ROWS($B$7:B37)),1)),"")</f>
        <v/>
      </c>
      <c r="C37" s="935" t="str">
        <f>IFERROR(INDEX($O$7:$Y$55,_xlfn.AGGREGATE(15,6,(ROW($X$7:$X$55)-ROW($X$7)+1)/($X$7:$X$55&gt;0),ROWS($B$7:B37)),2),"")</f>
        <v/>
      </c>
      <c r="D37" s="928" t="str">
        <f>IFERROR(INDEX($O$7:$Y$55,_xlfn.AGGREGATE(15,6,(ROW($X$7:$X$55)-ROW($X$7)+1)/($X$7:$X$55&gt;0),ROWS($B$7:B37)),4),"")</f>
        <v/>
      </c>
      <c r="E37" s="935" t="str">
        <f t="shared" si="0"/>
        <v/>
      </c>
      <c r="F37" s="935" t="str">
        <f>IFERROR(INDEX($O$7:$Y$55,_xlfn.AGGREGATE(15,6,(ROW($X$7:$X$55)-ROW($X$7)+1)/($X$7:$X$55&gt;0),ROWS($B$7:B37)),6),"")</f>
        <v/>
      </c>
      <c r="G37" s="928" t="str">
        <f>IFERROR(INDEX($O$7:$Y$55,_xlfn.AGGREGATE(15,6,(ROW($X$7:$X$55)-ROW($X$7)+1)/($X$7:$X$55&gt;0),ROWS($B$7:B37)),8),"")</f>
        <v/>
      </c>
      <c r="H37" s="935" t="str">
        <f t="shared" si="1"/>
        <v/>
      </c>
      <c r="I37" s="928" t="str">
        <f>IFERROR(INDEX($O$7:$Y$55,_xlfn.AGGREGATE(15,6,(ROW($X$7:$X$55)-ROW($X$7)+1)/($X$7:$X$55&gt;0),ROWS($B$7:B37)),10),"")</f>
        <v/>
      </c>
      <c r="J37" s="935" t="str">
        <f t="shared" si="2"/>
        <v/>
      </c>
      <c r="K37" s="936" t="str">
        <f t="shared" si="3"/>
        <v/>
      </c>
      <c r="L37" s="936" t="str">
        <f t="shared" si="4"/>
        <v/>
      </c>
      <c r="M37" s="936" t="str">
        <f t="shared" si="5"/>
        <v/>
      </c>
      <c r="N37" s="932">
        <f>'ENV. PLACAS'!C35</f>
        <v>30</v>
      </c>
      <c r="O37" s="751" t="str">
        <f>IFERROR(UPPER('ENV. PLACAS'!D35),"")</f>
        <v>NUCA C/C ABIERTO 1.0 - UP KG/PZA</v>
      </c>
      <c r="P37" s="768">
        <f>'ENV. PLACAS'!AC35</f>
        <v>0</v>
      </c>
      <c r="Q37" s="768">
        <f>'ENV. PLACAS'!AD35</f>
        <v>0</v>
      </c>
      <c r="R37" s="751">
        <f>'ENV. PLACAS'!AE35</f>
        <v>0</v>
      </c>
      <c r="S37" s="751" t="str">
        <f t="shared" si="6"/>
        <v/>
      </c>
      <c r="T37" s="751">
        <f>SUMIF('RES-EN'!$D$6:$D$53,O37,'RES-EN'!$Q$6:$Q$53)</f>
        <v>0</v>
      </c>
      <c r="U37" s="751">
        <f>SUMIF('RES-EN'!$D$6:$D$53,O37,'RES-EN'!$R$6:$R$53)</f>
        <v>0</v>
      </c>
      <c r="V37" s="751">
        <f>SUMIF('RES-EN'!$D$6:$D$53,O37,'RES-EN'!$S$6:$S$53)</f>
        <v>0</v>
      </c>
      <c r="W37" s="751" t="str">
        <f t="shared" si="7"/>
        <v/>
      </c>
      <c r="X37" s="751">
        <f t="shared" si="8"/>
        <v>0</v>
      </c>
      <c r="Y37" s="751" t="str">
        <f t="shared" si="9"/>
        <v/>
      </c>
      <c r="Z37" s="105"/>
      <c r="AA37" s="769" t="str">
        <f>IFERROR(INDEX($N$7:$N$55,_xlfn.AGGREGATE(15,6,(ROW($O$7:$O$55)-ROW($O$7)+1)/(((MOD($R$7:$R$55,$B$3)&gt;0)+(MOD($V$7:$V$55,$B$3)&gt;0))&gt;0),ROWS($AA$7:AA37))),"")</f>
        <v/>
      </c>
      <c r="AB37" s="770" t="str">
        <f t="shared" si="10"/>
        <v/>
      </c>
      <c r="AC37" s="771" t="str">
        <f t="shared" si="11"/>
        <v/>
      </c>
      <c r="AD37" s="771" t="str">
        <f t="shared" si="12"/>
        <v/>
      </c>
      <c r="AE37" s="772" t="str">
        <f t="shared" si="13"/>
        <v/>
      </c>
      <c r="AF37" s="105"/>
      <c r="AG37" s="898" t="str">
        <f t="shared" si="14"/>
        <v/>
      </c>
      <c r="AH37" s="899" t="str">
        <f t="shared" si="15"/>
        <v/>
      </c>
      <c r="AI37" s="900" t="str">
        <f t="shared" si="16"/>
        <v/>
      </c>
      <c r="AJ37" s="900" t="str">
        <f t="shared" si="17"/>
        <v/>
      </c>
      <c r="AK37" s="901"/>
      <c r="AL37" s="901"/>
      <c r="AM37" s="902" t="str">
        <f t="shared" si="18"/>
        <v/>
      </c>
      <c r="AN37" s="902" t="str">
        <f t="shared" si="19"/>
        <v/>
      </c>
      <c r="AO37" s="902" t="str">
        <f t="shared" si="20"/>
        <v/>
      </c>
      <c r="AP37" s="900" t="str">
        <f t="shared" si="21"/>
        <v/>
      </c>
      <c r="AQ37" s="902" t="str">
        <f t="shared" si="22"/>
        <v/>
      </c>
      <c r="AR37" s="900" t="str">
        <f t="shared" si="23"/>
        <v/>
      </c>
      <c r="AS37" s="902" t="str">
        <f t="shared" si="24"/>
        <v/>
      </c>
      <c r="AT37" s="902" t="str">
        <f t="shared" si="25"/>
        <v/>
      </c>
      <c r="AU37" s="902" t="str">
        <f t="shared" si="26"/>
        <v/>
      </c>
      <c r="AV37" s="903" t="str">
        <f t="shared" si="27"/>
        <v/>
      </c>
      <c r="AW37" s="105"/>
      <c r="AX37" s="105"/>
      <c r="AY37" s="105"/>
      <c r="AZ37" s="105"/>
      <c r="BA37" s="105"/>
      <c r="BB37" s="843">
        <f>IF(PP!B37="","",PP!B37)</f>
        <v>14</v>
      </c>
      <c r="BC37" s="2878" t="str">
        <f>IF(PP!C37="","",PP!C37)</f>
        <v>FILETE C/TT DARUMA</v>
      </c>
      <c r="BD37" s="2879"/>
      <c r="BE37" s="840">
        <f t="shared" si="33"/>
        <v>0</v>
      </c>
      <c r="BF37" s="851">
        <f t="shared" si="28"/>
        <v>0</v>
      </c>
      <c r="BG37" s="842">
        <f t="shared" si="29"/>
        <v>0</v>
      </c>
      <c r="BH37" s="942">
        <f t="shared" si="30"/>
        <v>0</v>
      </c>
      <c r="BI37" s="845">
        <f t="shared" si="34"/>
        <v>0</v>
      </c>
      <c r="BJ37" s="845">
        <f t="shared" si="31"/>
        <v>0</v>
      </c>
      <c r="BK37" s="852"/>
      <c r="BL37" s="852">
        <f t="shared" si="32"/>
        <v>0</v>
      </c>
      <c r="BM37" s="12"/>
      <c r="BN37" s="779" t="str">
        <f>IF(PP!L37="","",PP!L37)</f>
        <v/>
      </c>
      <c r="BO37" s="765" t="str">
        <f>IF(PP!M37="","",PP!M37)</f>
        <v>AMARILLO</v>
      </c>
      <c r="BP37" s="755"/>
    </row>
    <row r="38" spans="1:68" ht="25.5">
      <c r="A38" s="938" t="str">
        <f>IFERROR(INDEX($N$7:$N$55,_xlfn.AGGREGATE(15,6,(ROW($X$7:$X$55)-ROW($X$7)+1)/($X$7:$X$55&gt;0),ROWS($B$7:B38))),"")</f>
        <v/>
      </c>
      <c r="B38" s="938" t="str">
        <f>IFERROR(UPPER(INDEX($O$7:$Y$55,_xlfn.AGGREGATE(15,6,(ROW($X$7:$X$55)-ROW($X$7)+1)/($X$7:$X$55&gt;0),ROWS($B$7:B38)),1)),"")</f>
        <v/>
      </c>
      <c r="C38" s="935" t="str">
        <f>IFERROR(INDEX($O$7:$Y$55,_xlfn.AGGREGATE(15,6,(ROW($X$7:$X$55)-ROW($X$7)+1)/($X$7:$X$55&gt;0),ROWS($B$7:B38)),2),"")</f>
        <v/>
      </c>
      <c r="D38" s="928" t="str">
        <f>IFERROR(INDEX($O$7:$Y$55,_xlfn.AGGREGATE(15,6,(ROW($X$7:$X$55)-ROW($X$7)+1)/($X$7:$X$55&gt;0),ROWS($B$7:B38)),4),"")</f>
        <v/>
      </c>
      <c r="E38" s="935" t="str">
        <f t="shared" si="0"/>
        <v/>
      </c>
      <c r="F38" s="935" t="str">
        <f>IFERROR(INDEX($O$7:$Y$55,_xlfn.AGGREGATE(15,6,(ROW($X$7:$X$55)-ROW($X$7)+1)/($X$7:$X$55&gt;0),ROWS($B$7:B38)),6),"")</f>
        <v/>
      </c>
      <c r="G38" s="928" t="str">
        <f>IFERROR(INDEX($O$7:$Y$55,_xlfn.AGGREGATE(15,6,(ROW($X$7:$X$55)-ROW($X$7)+1)/($X$7:$X$55&gt;0),ROWS($B$7:B38)),8),"")</f>
        <v/>
      </c>
      <c r="H38" s="935" t="str">
        <f t="shared" si="1"/>
        <v/>
      </c>
      <c r="I38" s="928" t="str">
        <f>IFERROR(INDEX($O$7:$Y$55,_xlfn.AGGREGATE(15,6,(ROW($X$7:$X$55)-ROW($X$7)+1)/($X$7:$X$55&gt;0),ROWS($B$7:B38)),10),"")</f>
        <v/>
      </c>
      <c r="J38" s="935" t="str">
        <f t="shared" si="2"/>
        <v/>
      </c>
      <c r="K38" s="936" t="str">
        <f t="shared" si="3"/>
        <v/>
      </c>
      <c r="L38" s="936" t="str">
        <f t="shared" si="4"/>
        <v/>
      </c>
      <c r="M38" s="936" t="str">
        <f t="shared" si="5"/>
        <v/>
      </c>
      <c r="N38" s="932">
        <f>'ENV. PLACAS'!C36</f>
        <v>31</v>
      </c>
      <c r="O38" s="751" t="str">
        <f>IFERROR(UPPER('ENV. PLACAS'!D36),"")</f>
        <v>RECORTE BLANCO SM ST</v>
      </c>
      <c r="P38" s="768">
        <f>'ENV. PLACAS'!AC36</f>
        <v>0</v>
      </c>
      <c r="Q38" s="768">
        <f>'ENV. PLACAS'!AD36</f>
        <v>0</v>
      </c>
      <c r="R38" s="751">
        <f>'ENV. PLACAS'!AE36</f>
        <v>0</v>
      </c>
      <c r="S38" s="751" t="str">
        <f t="shared" si="6"/>
        <v/>
      </c>
      <c r="T38" s="751">
        <f>SUMIF('RES-EN'!$D$6:$D$53,O38,'RES-EN'!$Q$6:$Q$53)</f>
        <v>0</v>
      </c>
      <c r="U38" s="751">
        <f>SUMIF('RES-EN'!$D$6:$D$53,O38,'RES-EN'!$R$6:$R$53)</f>
        <v>0</v>
      </c>
      <c r="V38" s="751">
        <f>SUMIF('RES-EN'!$D$6:$D$53,O38,'RES-EN'!$S$6:$S$53)</f>
        <v>0</v>
      </c>
      <c r="W38" s="751" t="str">
        <f t="shared" si="7"/>
        <v/>
      </c>
      <c r="X38" s="751">
        <f t="shared" si="8"/>
        <v>0</v>
      </c>
      <c r="Y38" s="751" t="str">
        <f t="shared" si="9"/>
        <v/>
      </c>
      <c r="Z38" s="105"/>
      <c r="AA38" s="769" t="str">
        <f>IFERROR(INDEX($N$7:$N$55,_xlfn.AGGREGATE(15,6,(ROW($O$7:$O$55)-ROW($O$7)+1)/(((MOD($R$7:$R$55,$B$3)&gt;0)+(MOD($V$7:$V$55,$B$3)&gt;0))&gt;0),ROWS($AA$7:AA38))),"")</f>
        <v/>
      </c>
      <c r="AB38" s="770" t="str">
        <f t="shared" si="10"/>
        <v/>
      </c>
      <c r="AC38" s="771" t="str">
        <f t="shared" si="11"/>
        <v/>
      </c>
      <c r="AD38" s="771" t="str">
        <f t="shared" si="12"/>
        <v/>
      </c>
      <c r="AE38" s="772" t="str">
        <f t="shared" si="13"/>
        <v/>
      </c>
      <c r="AF38" s="105"/>
      <c r="AG38" s="898" t="str">
        <f t="shared" si="14"/>
        <v/>
      </c>
      <c r="AH38" s="899" t="str">
        <f t="shared" si="15"/>
        <v/>
      </c>
      <c r="AI38" s="900" t="str">
        <f t="shared" si="16"/>
        <v/>
      </c>
      <c r="AJ38" s="900" t="str">
        <f t="shared" si="17"/>
        <v/>
      </c>
      <c r="AK38" s="901"/>
      <c r="AL38" s="901"/>
      <c r="AM38" s="902" t="str">
        <f t="shared" si="18"/>
        <v/>
      </c>
      <c r="AN38" s="902" t="str">
        <f t="shared" si="19"/>
        <v/>
      </c>
      <c r="AO38" s="902" t="str">
        <f t="shared" si="20"/>
        <v/>
      </c>
      <c r="AP38" s="900" t="str">
        <f t="shared" si="21"/>
        <v/>
      </c>
      <c r="AQ38" s="902" t="str">
        <f t="shared" si="22"/>
        <v/>
      </c>
      <c r="AR38" s="900" t="str">
        <f t="shared" si="23"/>
        <v/>
      </c>
      <c r="AS38" s="902" t="str">
        <f t="shared" si="24"/>
        <v/>
      </c>
      <c r="AT38" s="902" t="str">
        <f t="shared" si="25"/>
        <v/>
      </c>
      <c r="AU38" s="902" t="str">
        <f t="shared" si="26"/>
        <v/>
      </c>
      <c r="AV38" s="903" t="str">
        <f t="shared" si="27"/>
        <v/>
      </c>
      <c r="AW38" s="105"/>
      <c r="AX38" s="105"/>
      <c r="AY38" s="105"/>
      <c r="AZ38" s="105"/>
      <c r="BA38" s="105"/>
      <c r="BB38" s="843">
        <f>IF(PP!B38="","",PP!B38)</f>
        <v>15</v>
      </c>
      <c r="BC38" s="2880" t="str">
        <f>IF(PP!C38="","",PP!C38)</f>
        <v>FILETE C/M C/T TRES PIELES 1.0-2.0 kg/pza</v>
      </c>
      <c r="BD38" s="2881"/>
      <c r="BE38" s="844">
        <f t="shared" si="33"/>
        <v>0</v>
      </c>
      <c r="BF38" s="853">
        <f t="shared" si="28"/>
        <v>0</v>
      </c>
      <c r="BG38" s="846">
        <f t="shared" si="29"/>
        <v>0</v>
      </c>
      <c r="BH38" s="943">
        <f t="shared" si="30"/>
        <v>0</v>
      </c>
      <c r="BI38" s="845">
        <f t="shared" si="34"/>
        <v>0</v>
      </c>
      <c r="BJ38" s="845">
        <f t="shared" si="31"/>
        <v>0</v>
      </c>
      <c r="BK38" s="854"/>
      <c r="BL38" s="854">
        <f t="shared" si="32"/>
        <v>0</v>
      </c>
      <c r="BM38" s="12"/>
      <c r="BN38" s="779" t="str">
        <f>IF(PP!L38="","",PP!L38)</f>
        <v/>
      </c>
      <c r="BO38" s="765" t="str">
        <f>IF(PP!M38="","",PP!M38)</f>
        <v>ROJO</v>
      </c>
      <c r="BP38" s="755"/>
    </row>
    <row r="39" spans="1:68" ht="25.5">
      <c r="A39" s="938" t="str">
        <f>IFERROR(INDEX($N$7:$N$55,_xlfn.AGGREGATE(15,6,(ROW($X$7:$X$55)-ROW($X$7)+1)/($X$7:$X$55&gt;0),ROWS($B$7:B39))),"")</f>
        <v/>
      </c>
      <c r="B39" s="938" t="str">
        <f>IFERROR(UPPER(INDEX($O$7:$Y$55,_xlfn.AGGREGATE(15,6,(ROW($X$7:$X$55)-ROW($X$7)+1)/($X$7:$X$55&gt;0),ROWS($B$7:B39)),1)),"")</f>
        <v/>
      </c>
      <c r="C39" s="935" t="str">
        <f>IFERROR(INDEX($O$7:$Y$55,_xlfn.AGGREGATE(15,6,(ROW($X$7:$X$55)-ROW($X$7)+1)/($X$7:$X$55&gt;0),ROWS($B$7:B39)),2),"")</f>
        <v/>
      </c>
      <c r="D39" s="928" t="str">
        <f>IFERROR(INDEX($O$7:$Y$55,_xlfn.AGGREGATE(15,6,(ROW($X$7:$X$55)-ROW($X$7)+1)/($X$7:$X$55&gt;0),ROWS($B$7:B39)),4),"")</f>
        <v/>
      </c>
      <c r="E39" s="935" t="str">
        <f t="shared" ref="E39:E55" si="35">IF($B39="","",IFERROR(IF($D39&gt;0,INT($D39/$B$3),""),""))</f>
        <v/>
      </c>
      <c r="F39" s="935" t="str">
        <f>IFERROR(INDEX($O$7:$Y$55,_xlfn.AGGREGATE(15,6,(ROW($X$7:$X$55)-ROW($X$7)+1)/($X$7:$X$55&gt;0),ROWS($B$7:B39)),6),"")</f>
        <v/>
      </c>
      <c r="G39" s="928" t="str">
        <f>IFERROR(INDEX($O$7:$Y$55,_xlfn.AGGREGATE(15,6,(ROW($X$7:$X$55)-ROW($X$7)+1)/($X$7:$X$55&gt;0),ROWS($B$7:B39)),8),"")</f>
        <v/>
      </c>
      <c r="H39" s="935" t="str">
        <f t="shared" ref="H39:H55" si="36">IF($B39="","",IFERROR(IF($G39&gt;0,INT($G39/$B$3),""),""))</f>
        <v/>
      </c>
      <c r="I39" s="928" t="str">
        <f>IFERROR(INDEX($O$7:$Y$55,_xlfn.AGGREGATE(15,6,(ROW($X$7:$X$55)-ROW($X$7)+1)/($X$7:$X$55&gt;0),ROWS($B$7:B39)),10),"")</f>
        <v/>
      </c>
      <c r="J39" s="935" t="str">
        <f t="shared" ref="J39:J55" si="37">IF($B39="","",IFERROR(IF($I39&gt;0,INT($I39/$B$3),""),""))</f>
        <v/>
      </c>
      <c r="K39" s="936" t="str">
        <f t="shared" ref="K39:K55" si="38">IF($B39="","",IFERROR(MOD($D39,$B$3),""))</f>
        <v/>
      </c>
      <c r="L39" s="936" t="str">
        <f t="shared" ref="L39:L55" si="39">IF($B39="","",IFERROR(MOD($G39,$B$3),""))</f>
        <v/>
      </c>
      <c r="M39" s="936" t="str">
        <f t="shared" ref="M39:M55" si="40">IF($B39="","",IF(AND($K39&gt;0,$L39&gt;0),"PLACAS / TÚNEL (SEPARADOS)",IF($K39&gt;0,"PLACAS",IF($L39&gt;0,"TÚNEL",""))))</f>
        <v/>
      </c>
      <c r="N39" s="932">
        <f>'ENV. PLACAS'!C37</f>
        <v>32</v>
      </c>
      <c r="O39" s="751" t="str">
        <f>IFERROR(UPPER('ENV. PLACAS'!D37),"")</f>
        <v>RECORTE AMARILLO SM ST</v>
      </c>
      <c r="P39" s="768">
        <f>'ENV. PLACAS'!AC37</f>
        <v>0</v>
      </c>
      <c r="Q39" s="768">
        <f>'ENV. PLACAS'!AD37</f>
        <v>0</v>
      </c>
      <c r="R39" s="751">
        <f>'ENV. PLACAS'!AE37</f>
        <v>0</v>
      </c>
      <c r="S39" s="751" t="str">
        <f t="shared" si="6"/>
        <v/>
      </c>
      <c r="T39" s="751">
        <f>SUMIF('RES-EN'!$D$6:$D$53,O39,'RES-EN'!$Q$6:$Q$53)</f>
        <v>0</v>
      </c>
      <c r="U39" s="751">
        <f>SUMIF('RES-EN'!$D$6:$D$53,O39,'RES-EN'!$R$6:$R$53)</f>
        <v>0</v>
      </c>
      <c r="V39" s="751">
        <f>SUMIF('RES-EN'!$D$6:$D$53,O39,'RES-EN'!$S$6:$S$53)</f>
        <v>0</v>
      </c>
      <c r="W39" s="751" t="str">
        <f t="shared" ref="W39:W55" si="41">IFERROR(IF(V39&gt;0,V39/$B$3,""),"")</f>
        <v/>
      </c>
      <c r="X39" s="751">
        <f t="shared" si="8"/>
        <v>0</v>
      </c>
      <c r="Y39" s="751" t="str">
        <f t="shared" ref="Y39:Y55" si="42">IFERROR(IF(X39&gt;0,X39/$B$3,""),"")</f>
        <v/>
      </c>
      <c r="Z39" s="105"/>
      <c r="AA39" s="769" t="str">
        <f>IFERROR(INDEX($N$7:$N$55,_xlfn.AGGREGATE(15,6,(ROW($O$7:$O$55)-ROW($O$7)+1)/(((MOD($R$7:$R$55,$B$3)&gt;0)+(MOD($V$7:$V$55,$B$3)&gt;0))&gt;0),ROWS($AA$7:AA39))),"")</f>
        <v/>
      </c>
      <c r="AB39" s="770" t="str">
        <f t="shared" ref="AB39:AB55" si="43">IF($AA39="","",INDEX($O$7:$O$55,MATCH($AA39,$N$7:$N$55,0)))</f>
        <v/>
      </c>
      <c r="AC39" s="771" t="str">
        <f t="shared" ref="AC39:AC55" si="44">IF($AA39="","",IF(MOD(INDEX($R$7:$R$55,MATCH($AA39,$N$7:$N$55,0)),$B$3)&gt;0,MOD(INDEX($R$7:$R$55,MATCH($AA39,$N$7:$N$55,0)),$B$3),""))</f>
        <v/>
      </c>
      <c r="AD39" s="771" t="str">
        <f t="shared" ref="AD39:AD55" si="45">IF($AA39="","",IF(MOD(INDEX($V$7:$V$55,MATCH($AA39,$N$7:$N$55,0)),$B$3)&gt;0,MOD(INDEX($V$7:$V$55,MATCH($AA39,$N$7:$N$55,0)),$B$3),""))</f>
        <v/>
      </c>
      <c r="AE39" s="772" t="str">
        <f t="shared" ref="AE39:AE55" si="46">IF($AA39="","",IF(AND(N(AC39)&gt;0,N(AD39)&gt;0),"PLACAS / TÚNEL (SEPARADOS)",IF(N(AC39)&gt;0,"PLACAS",IF(N(AD39)&gt;0,"TÚNEL",""))))</f>
        <v/>
      </c>
      <c r="AF39" s="105"/>
      <c r="AG39" s="898" t="str">
        <f t="shared" ref="AG39:AG55" si="47">IF($AA39="","",$AA39)</f>
        <v/>
      </c>
      <c r="AH39" s="899" t="str">
        <f t="shared" ref="AH39:AH55" si="48">IF($AA39="","",$AB39)</f>
        <v/>
      </c>
      <c r="AI39" s="900" t="str">
        <f t="shared" ref="AI39:AI55" si="49">IF($AA39="","",$AC39)</f>
        <v/>
      </c>
      <c r="AJ39" s="900" t="str">
        <f t="shared" ref="AJ39:AJ55" si="50">IF($AA39="","",$AD39)</f>
        <v/>
      </c>
      <c r="AK39" s="901"/>
      <c r="AL39" s="901"/>
      <c r="AM39" s="902" t="str">
        <f t="shared" ref="AM39:AM55" si="51">IF($AG39="","",INT(N(INDEX($R$7:$R$55,MATCH($AG39,$N$7:$N$55,0)))/$B$3))</f>
        <v/>
      </c>
      <c r="AN39" s="902" t="str">
        <f t="shared" ref="AN39:AN55" si="52">IF($AG39="","",INT(N(INDEX($V$7:$V$55,MATCH($AG39,$N$7:$N$55,0)))/$B$3))</f>
        <v/>
      </c>
      <c r="AO39" s="902" t="str">
        <f t="shared" ref="AO39:AO55" si="53">IF($AG39="","",INT((N($AI39)+N($AK39))/$B$3))</f>
        <v/>
      </c>
      <c r="AP39" s="900" t="str">
        <f t="shared" ref="AP39:AP55" si="54">IF($AG39="","",MOD(N($AI39)+N($AK39),$B$3))</f>
        <v/>
      </c>
      <c r="AQ39" s="902" t="str">
        <f t="shared" ref="AQ39:AQ55" si="55">IF($AG39="","",INT((N($AJ39)+N($AL39))/$B$3))</f>
        <v/>
      </c>
      <c r="AR39" s="900" t="str">
        <f t="shared" ref="AR39:AR55" si="56">IF($AG39="","",MOD(N($AJ39)+N($AL39),$B$3))</f>
        <v/>
      </c>
      <c r="AS39" s="902" t="str">
        <f t="shared" ref="AS39:AS55" si="57">IF($AG39="","",N($AM39)+N($AO39))</f>
        <v/>
      </c>
      <c r="AT39" s="902" t="str">
        <f t="shared" ref="AT39:AT55" si="58">IF($AG39="","",N($AN39)+N($AQ39))</f>
        <v/>
      </c>
      <c r="AU39" s="902" t="str">
        <f t="shared" ref="AU39:AU55" si="59">IF($AG39="","",N($AS39)+N($AT39))</f>
        <v/>
      </c>
      <c r="AV39" s="903" t="str">
        <f t="shared" ref="AV39:AV55" si="60">IF($AG39="","",IF(OR(N($AO39)&gt;0,N($AQ39)&gt;0),"SACO COMPLETO UNIDO",IF(OR(N($AI39)&gt;0,N($AJ39)&gt;0,N($AK39)&gt;0,N($AL39)&gt;0),"SALDO SOBRANTE","")))</f>
        <v/>
      </c>
      <c r="AW39" s="105"/>
      <c r="AX39" s="105"/>
      <c r="AY39" s="105"/>
      <c r="AZ39" s="105"/>
      <c r="BA39" s="105"/>
      <c r="BB39" s="843">
        <f>IF(PP!B39="","",PP!B39)</f>
        <v>16</v>
      </c>
      <c r="BC39" s="2880" t="str">
        <f>IF(PP!C39="","",PP!C39)</f>
        <v>FILETE C/M C/T TRES PIELES 2.0-4.0 kg/pza</v>
      </c>
      <c r="BD39" s="2881"/>
      <c r="BE39" s="844">
        <f t="shared" si="33"/>
        <v>0</v>
      </c>
      <c r="BF39" s="853">
        <f t="shared" si="28"/>
        <v>0</v>
      </c>
      <c r="BG39" s="846">
        <f t="shared" si="29"/>
        <v>0</v>
      </c>
      <c r="BH39" s="943">
        <f t="shared" si="30"/>
        <v>0</v>
      </c>
      <c r="BI39" s="845">
        <f t="shared" si="34"/>
        <v>0</v>
      </c>
      <c r="BJ39" s="845">
        <f t="shared" si="31"/>
        <v>0</v>
      </c>
      <c r="BK39" s="854"/>
      <c r="BL39" s="854">
        <f t="shared" si="32"/>
        <v>0</v>
      </c>
      <c r="BM39" s="12"/>
      <c r="BN39" s="779" t="str">
        <f>IF(PP!L39="","",PP!L39)</f>
        <v/>
      </c>
      <c r="BO39" s="765" t="str">
        <f>IF(PP!M39="","",PP!M39)</f>
        <v>BLANCO</v>
      </c>
      <c r="BP39" s="755"/>
    </row>
    <row r="40" spans="1:68" ht="25.5">
      <c r="A40" s="938" t="str">
        <f>IFERROR(INDEX($N$7:$N$55,_xlfn.AGGREGATE(15,6,(ROW($X$7:$X$55)-ROW($X$7)+1)/($X$7:$X$55&gt;0),ROWS($B$7:B40))),"")</f>
        <v/>
      </c>
      <c r="B40" s="938" t="str">
        <f>IFERROR(UPPER(INDEX($O$7:$Y$55,_xlfn.AGGREGATE(15,6,(ROW($X$7:$X$55)-ROW($X$7)+1)/($X$7:$X$55&gt;0),ROWS($B$7:B40)),1)),"")</f>
        <v/>
      </c>
      <c r="C40" s="935" t="str">
        <f>IFERROR(INDEX($O$7:$Y$55,_xlfn.AGGREGATE(15,6,(ROW($X$7:$X$55)-ROW($X$7)+1)/($X$7:$X$55&gt;0),ROWS($B$7:B40)),2),"")</f>
        <v/>
      </c>
      <c r="D40" s="928" t="str">
        <f>IFERROR(INDEX($O$7:$Y$55,_xlfn.AGGREGATE(15,6,(ROW($X$7:$X$55)-ROW($X$7)+1)/($X$7:$X$55&gt;0),ROWS($B$7:B40)),4),"")</f>
        <v/>
      </c>
      <c r="E40" s="935" t="str">
        <f t="shared" si="35"/>
        <v/>
      </c>
      <c r="F40" s="935" t="str">
        <f>IFERROR(INDEX($O$7:$Y$55,_xlfn.AGGREGATE(15,6,(ROW($X$7:$X$55)-ROW($X$7)+1)/($X$7:$X$55&gt;0),ROWS($B$7:B40)),6),"")</f>
        <v/>
      </c>
      <c r="G40" s="928" t="str">
        <f>IFERROR(INDEX($O$7:$Y$55,_xlfn.AGGREGATE(15,6,(ROW($X$7:$X$55)-ROW($X$7)+1)/($X$7:$X$55&gt;0),ROWS($B$7:B40)),8),"")</f>
        <v/>
      </c>
      <c r="H40" s="935" t="str">
        <f t="shared" si="36"/>
        <v/>
      </c>
      <c r="I40" s="928" t="str">
        <f>IFERROR(INDEX($O$7:$Y$55,_xlfn.AGGREGATE(15,6,(ROW($X$7:$X$55)-ROW($X$7)+1)/($X$7:$X$55&gt;0),ROWS($B$7:B40)),10),"")</f>
        <v/>
      </c>
      <c r="J40" s="935" t="str">
        <f t="shared" si="37"/>
        <v/>
      </c>
      <c r="K40" s="936" t="str">
        <f t="shared" si="38"/>
        <v/>
      </c>
      <c r="L40" s="936" t="str">
        <f t="shared" si="39"/>
        <v/>
      </c>
      <c r="M40" s="936" t="str">
        <f t="shared" si="40"/>
        <v/>
      </c>
      <c r="N40" s="932">
        <f>'ENV. PLACAS'!C38</f>
        <v>33</v>
      </c>
      <c r="O40" s="751" t="str">
        <f>IFERROR(UPPER('ENV. PLACAS'!D38),"")</f>
        <v>RECORTE PRECOCIDO</v>
      </c>
      <c r="P40" s="768">
        <f>'ENV. PLACAS'!AC38</f>
        <v>0</v>
      </c>
      <c r="Q40" s="768">
        <f>'ENV. PLACAS'!AD38</f>
        <v>0</v>
      </c>
      <c r="R40" s="751">
        <f>'ENV. PLACAS'!AE38</f>
        <v>0</v>
      </c>
      <c r="S40" s="751" t="str">
        <f t="shared" si="6"/>
        <v/>
      </c>
      <c r="T40" s="751">
        <f>SUMIF('RES-EN'!$D$6:$D$53,O40,'RES-EN'!$Q$6:$Q$53)</f>
        <v>0</v>
      </c>
      <c r="U40" s="751">
        <f>SUMIF('RES-EN'!$D$6:$D$53,O40,'RES-EN'!$R$6:$R$53)</f>
        <v>0</v>
      </c>
      <c r="V40" s="751">
        <f>SUMIF('RES-EN'!$D$6:$D$53,O40,'RES-EN'!$S$6:$S$53)</f>
        <v>0</v>
      </c>
      <c r="W40" s="751" t="str">
        <f t="shared" si="41"/>
        <v/>
      </c>
      <c r="X40" s="751">
        <f t="shared" si="8"/>
        <v>0</v>
      </c>
      <c r="Y40" s="751" t="str">
        <f t="shared" si="42"/>
        <v/>
      </c>
      <c r="Z40" s="105"/>
      <c r="AA40" s="769" t="str">
        <f>IFERROR(INDEX($N$7:$N$55,_xlfn.AGGREGATE(15,6,(ROW($O$7:$O$55)-ROW($O$7)+1)/(((MOD($R$7:$R$55,$B$3)&gt;0)+(MOD($V$7:$V$55,$B$3)&gt;0))&gt;0),ROWS($AA$7:AA40))),"")</f>
        <v/>
      </c>
      <c r="AB40" s="770" t="str">
        <f t="shared" si="43"/>
        <v/>
      </c>
      <c r="AC40" s="771" t="str">
        <f t="shared" si="44"/>
        <v/>
      </c>
      <c r="AD40" s="771" t="str">
        <f t="shared" si="45"/>
        <v/>
      </c>
      <c r="AE40" s="772" t="str">
        <f t="shared" si="46"/>
        <v/>
      </c>
      <c r="AF40" s="105"/>
      <c r="AG40" s="898" t="str">
        <f t="shared" si="47"/>
        <v/>
      </c>
      <c r="AH40" s="899" t="str">
        <f t="shared" si="48"/>
        <v/>
      </c>
      <c r="AI40" s="900" t="str">
        <f t="shared" si="49"/>
        <v/>
      </c>
      <c r="AJ40" s="900" t="str">
        <f t="shared" si="50"/>
        <v/>
      </c>
      <c r="AK40" s="901"/>
      <c r="AL40" s="901"/>
      <c r="AM40" s="902" t="str">
        <f t="shared" si="51"/>
        <v/>
      </c>
      <c r="AN40" s="902" t="str">
        <f t="shared" si="52"/>
        <v/>
      </c>
      <c r="AO40" s="902" t="str">
        <f t="shared" si="53"/>
        <v/>
      </c>
      <c r="AP40" s="900" t="str">
        <f t="shared" si="54"/>
        <v/>
      </c>
      <c r="AQ40" s="902" t="str">
        <f t="shared" si="55"/>
        <v/>
      </c>
      <c r="AR40" s="900" t="str">
        <f t="shared" si="56"/>
        <v/>
      </c>
      <c r="AS40" s="902" t="str">
        <f t="shared" si="57"/>
        <v/>
      </c>
      <c r="AT40" s="902" t="str">
        <f t="shared" si="58"/>
        <v/>
      </c>
      <c r="AU40" s="902" t="str">
        <f t="shared" si="59"/>
        <v/>
      </c>
      <c r="AV40" s="903" t="str">
        <f t="shared" si="60"/>
        <v/>
      </c>
      <c r="AW40" s="105"/>
      <c r="AX40" s="105"/>
      <c r="AY40" s="105"/>
      <c r="AZ40" s="105"/>
      <c r="BA40" s="105"/>
      <c r="BB40" s="843">
        <f>IF(PP!B40="","",PP!B40)</f>
        <v>17</v>
      </c>
      <c r="BC40" s="2880" t="str">
        <f>IF(PP!C40="","",PP!C40)</f>
        <v>FILETE C/M C/T ENTERO BLANCO 1.0-2.0 kg/pza</v>
      </c>
      <c r="BD40" s="2881"/>
      <c r="BE40" s="844">
        <f t="shared" si="33"/>
        <v>0</v>
      </c>
      <c r="BF40" s="853">
        <f t="shared" si="28"/>
        <v>0</v>
      </c>
      <c r="BG40" s="846">
        <f t="shared" si="29"/>
        <v>0</v>
      </c>
      <c r="BH40" s="943">
        <f t="shared" si="30"/>
        <v>0</v>
      </c>
      <c r="BI40" s="845">
        <f t="shared" si="34"/>
        <v>0</v>
      </c>
      <c r="BJ40" s="845">
        <f t="shared" si="31"/>
        <v>0</v>
      </c>
      <c r="BK40" s="854"/>
      <c r="BL40" s="854">
        <f t="shared" si="32"/>
        <v>0</v>
      </c>
      <c r="BM40" s="12"/>
      <c r="BN40" s="779" t="str">
        <f>IF(PP!L40="","",PP!L40)</f>
        <v/>
      </c>
      <c r="BO40" s="765" t="str">
        <f>IF(PP!M40="","",PP!M40)</f>
        <v>ROJO</v>
      </c>
      <c r="BP40" s="755"/>
    </row>
    <row r="41" spans="1:68" ht="25.5">
      <c r="A41" s="938" t="str">
        <f>IFERROR(INDEX($N$7:$N$55,_xlfn.AGGREGATE(15,6,(ROW($X$7:$X$55)-ROW($X$7)+1)/($X$7:$X$55&gt;0),ROWS($B$7:B41))),"")</f>
        <v/>
      </c>
      <c r="B41" s="938" t="str">
        <f>IFERROR(UPPER(INDEX($O$7:$Y$55,_xlfn.AGGREGATE(15,6,(ROW($X$7:$X$55)-ROW($X$7)+1)/($X$7:$X$55&gt;0),ROWS($B$7:B41)),1)),"")</f>
        <v/>
      </c>
      <c r="C41" s="935" t="str">
        <f>IFERROR(INDEX($O$7:$Y$55,_xlfn.AGGREGATE(15,6,(ROW($X$7:$X$55)-ROW($X$7)+1)/($X$7:$X$55&gt;0),ROWS($B$7:B41)),2),"")</f>
        <v/>
      </c>
      <c r="D41" s="928" t="str">
        <f>IFERROR(INDEX($O$7:$Y$55,_xlfn.AGGREGATE(15,6,(ROW($X$7:$X$55)-ROW($X$7)+1)/($X$7:$X$55&gt;0),ROWS($B$7:B41)),4),"")</f>
        <v/>
      </c>
      <c r="E41" s="935" t="str">
        <f t="shared" si="35"/>
        <v/>
      </c>
      <c r="F41" s="935" t="str">
        <f>IFERROR(INDEX($O$7:$Y$55,_xlfn.AGGREGATE(15,6,(ROW($X$7:$X$55)-ROW($X$7)+1)/($X$7:$X$55&gt;0),ROWS($B$7:B41)),6),"")</f>
        <v/>
      </c>
      <c r="G41" s="928" t="str">
        <f>IFERROR(INDEX($O$7:$Y$55,_xlfn.AGGREGATE(15,6,(ROW($X$7:$X$55)-ROW($X$7)+1)/($X$7:$X$55&gt;0),ROWS($B$7:B41)),8),"")</f>
        <v/>
      </c>
      <c r="H41" s="935" t="str">
        <f t="shared" si="36"/>
        <v/>
      </c>
      <c r="I41" s="928" t="str">
        <f>IFERROR(INDEX($O$7:$Y$55,_xlfn.AGGREGATE(15,6,(ROW($X$7:$X$55)-ROW($X$7)+1)/($X$7:$X$55&gt;0),ROWS($B$7:B41)),10),"")</f>
        <v/>
      </c>
      <c r="J41" s="935" t="str">
        <f t="shared" si="37"/>
        <v/>
      </c>
      <c r="K41" s="936" t="str">
        <f t="shared" si="38"/>
        <v/>
      </c>
      <c r="L41" s="936" t="str">
        <f t="shared" si="39"/>
        <v/>
      </c>
      <c r="M41" s="936" t="str">
        <f t="shared" si="40"/>
        <v/>
      </c>
      <c r="N41" s="932">
        <f>'ENV. PLACAS'!C39</f>
        <v>34</v>
      </c>
      <c r="O41" s="751" t="str">
        <f>IFERROR(UPPER('ENV. PLACAS'!D39),"")</f>
        <v>REPRODUCTORES SV, PEQUEÑO</v>
      </c>
      <c r="P41" s="768">
        <f>'ENV. PLACAS'!AC39</f>
        <v>0</v>
      </c>
      <c r="Q41" s="768">
        <f>'ENV. PLACAS'!AD39</f>
        <v>0</v>
      </c>
      <c r="R41" s="751">
        <f>'ENV. PLACAS'!AE39</f>
        <v>0</v>
      </c>
      <c r="S41" s="751" t="str">
        <f t="shared" si="6"/>
        <v/>
      </c>
      <c r="T41" s="751">
        <f>SUMIF('RES-EN'!$D$6:$D$53,O41,'RES-EN'!$Q$6:$Q$53)</f>
        <v>0</v>
      </c>
      <c r="U41" s="751">
        <f>SUMIF('RES-EN'!$D$6:$D$53,O41,'RES-EN'!$R$6:$R$53)</f>
        <v>0</v>
      </c>
      <c r="V41" s="751">
        <f>SUMIF('RES-EN'!$D$6:$D$53,O41,'RES-EN'!$S$6:$S$53)</f>
        <v>0</v>
      </c>
      <c r="W41" s="751" t="str">
        <f t="shared" si="41"/>
        <v/>
      </c>
      <c r="X41" s="751">
        <f t="shared" si="8"/>
        <v>0</v>
      </c>
      <c r="Y41" s="751" t="str">
        <f t="shared" si="42"/>
        <v/>
      </c>
      <c r="Z41" s="105"/>
      <c r="AA41" s="769" t="str">
        <f>IFERROR(INDEX($N$7:$N$55,_xlfn.AGGREGATE(15,6,(ROW($O$7:$O$55)-ROW($O$7)+1)/(((MOD($R$7:$R$55,$B$3)&gt;0)+(MOD($V$7:$V$55,$B$3)&gt;0))&gt;0),ROWS($AA$7:AA41))),"")</f>
        <v/>
      </c>
      <c r="AB41" s="770" t="str">
        <f t="shared" si="43"/>
        <v/>
      </c>
      <c r="AC41" s="771" t="str">
        <f t="shared" si="44"/>
        <v/>
      </c>
      <c r="AD41" s="771" t="str">
        <f t="shared" si="45"/>
        <v/>
      </c>
      <c r="AE41" s="772" t="str">
        <f t="shared" si="46"/>
        <v/>
      </c>
      <c r="AF41" s="105"/>
      <c r="AG41" s="898" t="str">
        <f t="shared" si="47"/>
        <v/>
      </c>
      <c r="AH41" s="899" t="str">
        <f t="shared" si="48"/>
        <v/>
      </c>
      <c r="AI41" s="900" t="str">
        <f t="shared" si="49"/>
        <v/>
      </c>
      <c r="AJ41" s="900" t="str">
        <f t="shared" si="50"/>
        <v/>
      </c>
      <c r="AK41" s="901"/>
      <c r="AL41" s="901"/>
      <c r="AM41" s="902" t="str">
        <f t="shared" si="51"/>
        <v/>
      </c>
      <c r="AN41" s="902" t="str">
        <f t="shared" si="52"/>
        <v/>
      </c>
      <c r="AO41" s="902" t="str">
        <f t="shared" si="53"/>
        <v/>
      </c>
      <c r="AP41" s="900" t="str">
        <f t="shared" si="54"/>
        <v/>
      </c>
      <c r="AQ41" s="902" t="str">
        <f t="shared" si="55"/>
        <v/>
      </c>
      <c r="AR41" s="900" t="str">
        <f t="shared" si="56"/>
        <v/>
      </c>
      <c r="AS41" s="902" t="str">
        <f t="shared" si="57"/>
        <v/>
      </c>
      <c r="AT41" s="902" t="str">
        <f t="shared" si="58"/>
        <v/>
      </c>
      <c r="AU41" s="902" t="str">
        <f t="shared" si="59"/>
        <v/>
      </c>
      <c r="AV41" s="903" t="str">
        <f t="shared" si="60"/>
        <v/>
      </c>
      <c r="AW41" s="105"/>
      <c r="AX41" s="105"/>
      <c r="AY41" s="105"/>
      <c r="AZ41" s="105"/>
      <c r="BA41" s="105"/>
      <c r="BB41" s="843">
        <f>IF(PP!B41="","",PP!B41)</f>
        <v>18</v>
      </c>
      <c r="BC41" s="2890" t="str">
        <f>IF(PP!C41="","",PP!C41)</f>
        <v>FILETE C/M C/T ENTERO BLANCO 2.0-4.0 kg/pza</v>
      </c>
      <c r="BD41" s="2891"/>
      <c r="BE41" s="844">
        <f t="shared" si="33"/>
        <v>0</v>
      </c>
      <c r="BF41" s="853">
        <f t="shared" si="28"/>
        <v>0</v>
      </c>
      <c r="BG41" s="846">
        <f t="shared" si="29"/>
        <v>0</v>
      </c>
      <c r="BH41" s="943">
        <f t="shared" si="30"/>
        <v>0</v>
      </c>
      <c r="BI41" s="845">
        <f t="shared" si="34"/>
        <v>0</v>
      </c>
      <c r="BJ41" s="845">
        <f t="shared" si="31"/>
        <v>0</v>
      </c>
      <c r="BK41" s="854"/>
      <c r="BL41" s="854">
        <f t="shared" si="32"/>
        <v>0</v>
      </c>
      <c r="BM41" s="8"/>
      <c r="BN41" s="779" t="str">
        <f>IF(PP!L41="","",PP!L41)</f>
        <v/>
      </c>
      <c r="BO41" s="765" t="str">
        <f>IF(PP!M41="","",PP!M41)</f>
        <v>BLANCO</v>
      </c>
      <c r="BP41" s="755"/>
    </row>
    <row r="42" spans="1:68" ht="26.25" thickBot="1">
      <c r="A42" s="938" t="str">
        <f>IFERROR(INDEX($N$7:$N$55,_xlfn.AGGREGATE(15,6,(ROW($X$7:$X$55)-ROW($X$7)+1)/($X$7:$X$55&gt;0),ROWS($B$7:B42))),"")</f>
        <v/>
      </c>
      <c r="B42" s="938" t="str">
        <f>IFERROR(UPPER(INDEX($O$7:$Y$55,_xlfn.AGGREGATE(15,6,(ROW($X$7:$X$55)-ROW($X$7)+1)/($X$7:$X$55&gt;0),ROWS($B$7:B42)),1)),"")</f>
        <v/>
      </c>
      <c r="C42" s="935" t="str">
        <f>IFERROR(INDEX($O$7:$Y$55,_xlfn.AGGREGATE(15,6,(ROW($X$7:$X$55)-ROW($X$7)+1)/($X$7:$X$55&gt;0),ROWS($B$7:B42)),2),"")</f>
        <v/>
      </c>
      <c r="D42" s="928" t="str">
        <f>IFERROR(INDEX($O$7:$Y$55,_xlfn.AGGREGATE(15,6,(ROW($X$7:$X$55)-ROW($X$7)+1)/($X$7:$X$55&gt;0),ROWS($B$7:B42)),4),"")</f>
        <v/>
      </c>
      <c r="E42" s="935" t="str">
        <f t="shared" si="35"/>
        <v/>
      </c>
      <c r="F42" s="935" t="str">
        <f>IFERROR(INDEX($O$7:$Y$55,_xlfn.AGGREGATE(15,6,(ROW($X$7:$X$55)-ROW($X$7)+1)/($X$7:$X$55&gt;0),ROWS($B$7:B42)),6),"")</f>
        <v/>
      </c>
      <c r="G42" s="928" t="str">
        <f>IFERROR(INDEX($O$7:$Y$55,_xlfn.AGGREGATE(15,6,(ROW($X$7:$X$55)-ROW($X$7)+1)/($X$7:$X$55&gt;0),ROWS($B$7:B42)),8),"")</f>
        <v/>
      </c>
      <c r="H42" s="935" t="str">
        <f t="shared" si="36"/>
        <v/>
      </c>
      <c r="I42" s="928" t="str">
        <f>IFERROR(INDEX($O$7:$Y$55,_xlfn.AGGREGATE(15,6,(ROW($X$7:$X$55)-ROW($X$7)+1)/($X$7:$X$55&gt;0),ROWS($B$7:B42)),10),"")</f>
        <v/>
      </c>
      <c r="J42" s="935" t="str">
        <f t="shared" si="37"/>
        <v/>
      </c>
      <c r="K42" s="936" t="str">
        <f t="shared" si="38"/>
        <v/>
      </c>
      <c r="L42" s="936" t="str">
        <f t="shared" si="39"/>
        <v/>
      </c>
      <c r="M42" s="936" t="str">
        <f t="shared" si="40"/>
        <v/>
      </c>
      <c r="N42" s="932">
        <f>'ENV. PLACAS'!C40</f>
        <v>35</v>
      </c>
      <c r="O42" s="751" t="str">
        <f>IFERROR(UPPER('ENV. PLACAS'!D40),"")</f>
        <v>REPRODUCTOR SV GRANDE</v>
      </c>
      <c r="P42" s="768">
        <f>'ENV. PLACAS'!AC40</f>
        <v>0</v>
      </c>
      <c r="Q42" s="768">
        <f>'ENV. PLACAS'!AD40</f>
        <v>0</v>
      </c>
      <c r="R42" s="751">
        <f>'ENV. PLACAS'!AE40</f>
        <v>0</v>
      </c>
      <c r="S42" s="751" t="str">
        <f t="shared" si="6"/>
        <v/>
      </c>
      <c r="T42" s="751">
        <f>SUMIF('RES-EN'!$D$6:$D$53,O42,'RES-EN'!$Q$6:$Q$53)</f>
        <v>0</v>
      </c>
      <c r="U42" s="751">
        <f>SUMIF('RES-EN'!$D$6:$D$53,O42,'RES-EN'!$R$6:$R$53)</f>
        <v>0</v>
      </c>
      <c r="V42" s="751">
        <f>SUMIF('RES-EN'!$D$6:$D$53,O42,'RES-EN'!$S$6:$S$53)</f>
        <v>0</v>
      </c>
      <c r="W42" s="751" t="str">
        <f t="shared" si="41"/>
        <v/>
      </c>
      <c r="X42" s="751">
        <f t="shared" si="8"/>
        <v>0</v>
      </c>
      <c r="Y42" s="751" t="str">
        <f t="shared" si="42"/>
        <v/>
      </c>
      <c r="Z42" s="105"/>
      <c r="AA42" s="769" t="str">
        <f>IFERROR(INDEX($N$7:$N$55,_xlfn.AGGREGATE(15,6,(ROW($O$7:$O$55)-ROW($O$7)+1)/(((MOD($R$7:$R$55,$B$3)&gt;0)+(MOD($V$7:$V$55,$B$3)&gt;0))&gt;0),ROWS($AA$7:AA42))),"")</f>
        <v/>
      </c>
      <c r="AB42" s="770" t="str">
        <f t="shared" si="43"/>
        <v/>
      </c>
      <c r="AC42" s="771" t="str">
        <f t="shared" si="44"/>
        <v/>
      </c>
      <c r="AD42" s="771" t="str">
        <f t="shared" si="45"/>
        <v/>
      </c>
      <c r="AE42" s="772" t="str">
        <f t="shared" si="46"/>
        <v/>
      </c>
      <c r="AF42" s="105"/>
      <c r="AG42" s="898" t="str">
        <f t="shared" si="47"/>
        <v/>
      </c>
      <c r="AH42" s="899" t="str">
        <f t="shared" si="48"/>
        <v/>
      </c>
      <c r="AI42" s="900" t="str">
        <f t="shared" si="49"/>
        <v/>
      </c>
      <c r="AJ42" s="900" t="str">
        <f t="shared" si="50"/>
        <v/>
      </c>
      <c r="AK42" s="901"/>
      <c r="AL42" s="901"/>
      <c r="AM42" s="902" t="str">
        <f t="shared" si="51"/>
        <v/>
      </c>
      <c r="AN42" s="902" t="str">
        <f t="shared" si="52"/>
        <v/>
      </c>
      <c r="AO42" s="902" t="str">
        <f t="shared" si="53"/>
        <v/>
      </c>
      <c r="AP42" s="900" t="str">
        <f t="shared" si="54"/>
        <v/>
      </c>
      <c r="AQ42" s="902" t="str">
        <f t="shared" si="55"/>
        <v/>
      </c>
      <c r="AR42" s="900" t="str">
        <f t="shared" si="56"/>
        <v/>
      </c>
      <c r="AS42" s="902" t="str">
        <f t="shared" si="57"/>
        <v/>
      </c>
      <c r="AT42" s="902" t="str">
        <f t="shared" si="58"/>
        <v/>
      </c>
      <c r="AU42" s="902" t="str">
        <f t="shared" si="59"/>
        <v/>
      </c>
      <c r="AV42" s="903" t="str">
        <f t="shared" si="60"/>
        <v/>
      </c>
      <c r="AW42" s="105"/>
      <c r="AX42" s="105"/>
      <c r="AY42" s="105"/>
      <c r="AZ42" s="105"/>
      <c r="BA42" s="105"/>
      <c r="BB42" s="843">
        <f>IF(PP!B42="","",PP!B42)</f>
        <v>19</v>
      </c>
      <c r="BC42" s="2882" t="str">
        <f>IF(PP!C42="","",PP!C42)</f>
        <v>FILETE LP C/M C/T ENTERO 2.0-4.0 kg/pza</v>
      </c>
      <c r="BD42" s="2883"/>
      <c r="BE42" s="848">
        <f t="shared" si="33"/>
        <v>0</v>
      </c>
      <c r="BF42" s="855">
        <f t="shared" si="28"/>
        <v>0</v>
      </c>
      <c r="BG42" s="850">
        <f t="shared" si="29"/>
        <v>0</v>
      </c>
      <c r="BH42" s="944">
        <f t="shared" si="30"/>
        <v>0</v>
      </c>
      <c r="BI42" s="845">
        <f t="shared" si="34"/>
        <v>0</v>
      </c>
      <c r="BJ42" s="845">
        <f t="shared" si="31"/>
        <v>0</v>
      </c>
      <c r="BK42" s="856"/>
      <c r="BL42" s="856">
        <f t="shared" si="32"/>
        <v>0</v>
      </c>
      <c r="BM42" s="8"/>
      <c r="BN42" s="779" t="str">
        <f>IF(PP!L42="","",PP!L42)</f>
        <v/>
      </c>
      <c r="BO42" s="765" t="str">
        <f>IF(PP!M42="","",PP!M42)</f>
        <v>BLANCO</v>
      </c>
      <c r="BP42" s="755"/>
    </row>
    <row r="43" spans="1:68" ht="25.5">
      <c r="A43" s="938" t="str">
        <f>IFERROR(INDEX($N$7:$N$55,_xlfn.AGGREGATE(15,6,(ROW($X$7:$X$55)-ROW($X$7)+1)/($X$7:$X$55&gt;0),ROWS($B$7:B43))),"")</f>
        <v/>
      </c>
      <c r="B43" s="938" t="str">
        <f>IFERROR(UPPER(INDEX($O$7:$Y$55,_xlfn.AGGREGATE(15,6,(ROW($X$7:$X$55)-ROW($X$7)+1)/($X$7:$X$55&gt;0),ROWS($B$7:B43)),1)),"")</f>
        <v/>
      </c>
      <c r="C43" s="935" t="str">
        <f>IFERROR(INDEX($O$7:$Y$55,_xlfn.AGGREGATE(15,6,(ROW($X$7:$X$55)-ROW($X$7)+1)/($X$7:$X$55&gt;0),ROWS($B$7:B43)),2),"")</f>
        <v/>
      </c>
      <c r="D43" s="928" t="str">
        <f>IFERROR(INDEX($O$7:$Y$55,_xlfn.AGGREGATE(15,6,(ROW($X$7:$X$55)-ROW($X$7)+1)/($X$7:$X$55&gt;0),ROWS($B$7:B43)),4),"")</f>
        <v/>
      </c>
      <c r="E43" s="935" t="str">
        <f t="shared" si="35"/>
        <v/>
      </c>
      <c r="F43" s="935" t="str">
        <f>IFERROR(INDEX($O$7:$Y$55,_xlfn.AGGREGATE(15,6,(ROW($X$7:$X$55)-ROW($X$7)+1)/($X$7:$X$55&gt;0),ROWS($B$7:B43)),6),"")</f>
        <v/>
      </c>
      <c r="G43" s="928" t="str">
        <f>IFERROR(INDEX($O$7:$Y$55,_xlfn.AGGREGATE(15,6,(ROW($X$7:$X$55)-ROW($X$7)+1)/($X$7:$X$55&gt;0),ROWS($B$7:B43)),8),"")</f>
        <v/>
      </c>
      <c r="H43" s="935" t="str">
        <f t="shared" si="36"/>
        <v/>
      </c>
      <c r="I43" s="928" t="str">
        <f>IFERROR(INDEX($O$7:$Y$55,_xlfn.AGGREGATE(15,6,(ROW($X$7:$X$55)-ROW($X$7)+1)/($X$7:$X$55&gt;0),ROWS($B$7:B43)),10),"")</f>
        <v/>
      </c>
      <c r="J43" s="935" t="str">
        <f t="shared" si="37"/>
        <v/>
      </c>
      <c r="K43" s="936" t="str">
        <f t="shared" si="38"/>
        <v/>
      </c>
      <c r="L43" s="936" t="str">
        <f t="shared" si="39"/>
        <v/>
      </c>
      <c r="M43" s="936" t="str">
        <f t="shared" si="40"/>
        <v/>
      </c>
      <c r="N43" s="932">
        <f>'ENV. PLACAS'!C41</f>
        <v>36</v>
      </c>
      <c r="O43" s="751" t="str">
        <f>IFERROR(UPPER('ENV. PLACAS'!D41),"")</f>
        <v>TUBO ALETA 1.0-2.0 KG/PZA</v>
      </c>
      <c r="P43" s="768">
        <f>'ENV. PLACAS'!AC41</f>
        <v>0</v>
      </c>
      <c r="Q43" s="768">
        <f>'ENV. PLACAS'!AD41</f>
        <v>0</v>
      </c>
      <c r="R43" s="751">
        <f>'ENV. PLACAS'!AE41</f>
        <v>0</v>
      </c>
      <c r="S43" s="751" t="str">
        <f t="shared" si="6"/>
        <v/>
      </c>
      <c r="T43" s="751">
        <f>SUMIF('RES-EN'!$D$6:$D$53,O43,'RES-EN'!$Q$6:$Q$53)</f>
        <v>0</v>
      </c>
      <c r="U43" s="751">
        <f>SUMIF('RES-EN'!$D$6:$D$53,O43,'RES-EN'!$R$6:$R$53)</f>
        <v>0</v>
      </c>
      <c r="V43" s="751">
        <f>SUMIF('RES-EN'!$D$6:$D$53,O43,'RES-EN'!$S$6:$S$53)</f>
        <v>0</v>
      </c>
      <c r="W43" s="751" t="str">
        <f t="shared" si="41"/>
        <v/>
      </c>
      <c r="X43" s="751">
        <f t="shared" si="8"/>
        <v>0</v>
      </c>
      <c r="Y43" s="751" t="str">
        <f t="shared" si="42"/>
        <v/>
      </c>
      <c r="Z43" s="105"/>
      <c r="AA43" s="769" t="str">
        <f>IFERROR(INDEX($N$7:$N$55,_xlfn.AGGREGATE(15,6,(ROW($O$7:$O$55)-ROW($O$7)+1)/(((MOD($R$7:$R$55,$B$3)&gt;0)+(MOD($V$7:$V$55,$B$3)&gt;0))&gt;0),ROWS($AA$7:AA43))),"")</f>
        <v/>
      </c>
      <c r="AB43" s="770" t="str">
        <f t="shared" si="43"/>
        <v/>
      </c>
      <c r="AC43" s="771" t="str">
        <f t="shared" si="44"/>
        <v/>
      </c>
      <c r="AD43" s="771" t="str">
        <f t="shared" si="45"/>
        <v/>
      </c>
      <c r="AE43" s="772" t="str">
        <f t="shared" si="46"/>
        <v/>
      </c>
      <c r="AF43" s="105"/>
      <c r="AG43" s="898" t="str">
        <f t="shared" si="47"/>
        <v/>
      </c>
      <c r="AH43" s="899" t="str">
        <f t="shared" si="48"/>
        <v/>
      </c>
      <c r="AI43" s="900" t="str">
        <f t="shared" si="49"/>
        <v/>
      </c>
      <c r="AJ43" s="900" t="str">
        <f t="shared" si="50"/>
        <v/>
      </c>
      <c r="AK43" s="901"/>
      <c r="AL43" s="901"/>
      <c r="AM43" s="902" t="str">
        <f t="shared" si="51"/>
        <v/>
      </c>
      <c r="AN43" s="902" t="str">
        <f t="shared" si="52"/>
        <v/>
      </c>
      <c r="AO43" s="902" t="str">
        <f t="shared" si="53"/>
        <v/>
      </c>
      <c r="AP43" s="900" t="str">
        <f t="shared" si="54"/>
        <v/>
      </c>
      <c r="AQ43" s="902" t="str">
        <f t="shared" si="55"/>
        <v/>
      </c>
      <c r="AR43" s="900" t="str">
        <f t="shared" si="56"/>
        <v/>
      </c>
      <c r="AS43" s="902" t="str">
        <f t="shared" si="57"/>
        <v/>
      </c>
      <c r="AT43" s="902" t="str">
        <f t="shared" si="58"/>
        <v/>
      </c>
      <c r="AU43" s="902" t="str">
        <f t="shared" si="59"/>
        <v/>
      </c>
      <c r="AV43" s="903" t="str">
        <f t="shared" si="60"/>
        <v/>
      </c>
      <c r="AW43" s="105"/>
      <c r="AX43" s="105"/>
      <c r="AY43" s="105"/>
      <c r="AZ43" s="105"/>
      <c r="BA43" s="105"/>
      <c r="BB43" s="839">
        <f>IF(PP!B43="","",PP!B43)</f>
        <v>20</v>
      </c>
      <c r="BC43" s="2878" t="str">
        <f>IF(PP!C43="","",PP!C43)</f>
        <v>MANTO BLANCO C/M C/T 500-1000 g/pza</v>
      </c>
      <c r="BD43" s="2879"/>
      <c r="BE43" s="840">
        <f t="shared" si="33"/>
        <v>0</v>
      </c>
      <c r="BF43" s="851">
        <f t="shared" si="28"/>
        <v>0</v>
      </c>
      <c r="BG43" s="846">
        <f t="shared" si="29"/>
        <v>0</v>
      </c>
      <c r="BH43" s="942">
        <f t="shared" si="30"/>
        <v>0</v>
      </c>
      <c r="BI43" s="841">
        <f t="shared" si="34"/>
        <v>0</v>
      </c>
      <c r="BJ43" s="841">
        <f t="shared" si="31"/>
        <v>0</v>
      </c>
      <c r="BK43" s="852"/>
      <c r="BL43" s="852">
        <f t="shared" si="32"/>
        <v>0</v>
      </c>
      <c r="BM43" s="11"/>
      <c r="BN43" s="779" t="str">
        <f>IF(PP!L43="","",PP!L43)</f>
        <v/>
      </c>
      <c r="BO43" s="765" t="str">
        <f>IF(PP!M43="","",PP!M43)</f>
        <v>NARANJA</v>
      </c>
      <c r="BP43" s="755"/>
    </row>
    <row r="44" spans="1:68" ht="25.5">
      <c r="A44" s="938" t="str">
        <f>IFERROR(INDEX($N$7:$N$55,_xlfn.AGGREGATE(15,6,(ROW($X$7:$X$55)-ROW($X$7)+1)/($X$7:$X$55&gt;0),ROWS($B$7:B44))),"")</f>
        <v/>
      </c>
      <c r="B44" s="938" t="str">
        <f>IFERROR(UPPER(INDEX($O$7:$Y$55,_xlfn.AGGREGATE(15,6,(ROW($X$7:$X$55)-ROW($X$7)+1)/($X$7:$X$55&gt;0),ROWS($B$7:B44)),1)),"")</f>
        <v/>
      </c>
      <c r="C44" s="935" t="str">
        <f>IFERROR(INDEX($O$7:$Y$55,_xlfn.AGGREGATE(15,6,(ROW($X$7:$X$55)-ROW($X$7)+1)/($X$7:$X$55&gt;0),ROWS($B$7:B44)),2),"")</f>
        <v/>
      </c>
      <c r="D44" s="928" t="str">
        <f>IFERROR(INDEX($O$7:$Y$55,_xlfn.AGGREGATE(15,6,(ROW($X$7:$X$55)-ROW($X$7)+1)/($X$7:$X$55&gt;0),ROWS($B$7:B44)),4),"")</f>
        <v/>
      </c>
      <c r="E44" s="935" t="str">
        <f t="shared" si="35"/>
        <v/>
      </c>
      <c r="F44" s="935" t="str">
        <f>IFERROR(INDEX($O$7:$Y$55,_xlfn.AGGREGATE(15,6,(ROW($X$7:$X$55)-ROW($X$7)+1)/($X$7:$X$55&gt;0),ROWS($B$7:B44)),6),"")</f>
        <v/>
      </c>
      <c r="G44" s="928" t="str">
        <f>IFERROR(INDEX($O$7:$Y$55,_xlfn.AGGREGATE(15,6,(ROW($X$7:$X$55)-ROW($X$7)+1)/($X$7:$X$55&gt;0),ROWS($B$7:B44)),8),"")</f>
        <v/>
      </c>
      <c r="H44" s="935" t="str">
        <f t="shared" si="36"/>
        <v/>
      </c>
      <c r="I44" s="928" t="str">
        <f>IFERROR(INDEX($O$7:$Y$55,_xlfn.AGGREGATE(15,6,(ROW($X$7:$X$55)-ROW($X$7)+1)/($X$7:$X$55&gt;0),ROWS($B$7:B44)),10),"")</f>
        <v/>
      </c>
      <c r="J44" s="935" t="str">
        <f t="shared" si="37"/>
        <v/>
      </c>
      <c r="K44" s="936" t="str">
        <f t="shared" si="38"/>
        <v/>
      </c>
      <c r="L44" s="936" t="str">
        <f t="shared" si="39"/>
        <v/>
      </c>
      <c r="M44" s="936" t="str">
        <f t="shared" si="40"/>
        <v/>
      </c>
      <c r="N44" s="932">
        <f>'ENV. PLACAS'!C42</f>
        <v>37</v>
      </c>
      <c r="O44" s="751" t="str">
        <f>IFERROR(UPPER('ENV. PLACAS'!D42),"")</f>
        <v>TENTACULO C/B C/V SR 100-300 G/PZA (SUCIO)</v>
      </c>
      <c r="P44" s="768">
        <f>'ENV. PLACAS'!AC42</f>
        <v>0</v>
      </c>
      <c r="Q44" s="768">
        <f>'ENV. PLACAS'!AD42</f>
        <v>0</v>
      </c>
      <c r="R44" s="751">
        <f>'ENV. PLACAS'!AE42</f>
        <v>0</v>
      </c>
      <c r="S44" s="751" t="str">
        <f t="shared" si="6"/>
        <v/>
      </c>
      <c r="T44" s="751">
        <f>SUMIF('RES-EN'!$D$6:$D$53,O44,'RES-EN'!$Q$6:$Q$53)</f>
        <v>0</v>
      </c>
      <c r="U44" s="751">
        <f>SUMIF('RES-EN'!$D$6:$D$53,O44,'RES-EN'!$R$6:$R$53)</f>
        <v>0</v>
      </c>
      <c r="V44" s="751">
        <f>SUMIF('RES-EN'!$D$6:$D$53,O44,'RES-EN'!$S$6:$S$53)</f>
        <v>0</v>
      </c>
      <c r="W44" s="751" t="str">
        <f t="shared" si="41"/>
        <v/>
      </c>
      <c r="X44" s="751">
        <f t="shared" si="8"/>
        <v>0</v>
      </c>
      <c r="Y44" s="751" t="str">
        <f t="shared" si="42"/>
        <v/>
      </c>
      <c r="Z44" s="105"/>
      <c r="AA44" s="769" t="str">
        <f>IFERROR(INDEX($N$7:$N$55,_xlfn.AGGREGATE(15,6,(ROW($O$7:$O$55)-ROW($O$7)+1)/(((MOD($R$7:$R$55,$B$3)&gt;0)+(MOD($V$7:$V$55,$B$3)&gt;0))&gt;0),ROWS($AA$7:AA44))),"")</f>
        <v/>
      </c>
      <c r="AB44" s="770" t="str">
        <f t="shared" si="43"/>
        <v/>
      </c>
      <c r="AC44" s="771" t="str">
        <f t="shared" si="44"/>
        <v/>
      </c>
      <c r="AD44" s="771" t="str">
        <f t="shared" si="45"/>
        <v/>
      </c>
      <c r="AE44" s="772" t="str">
        <f t="shared" si="46"/>
        <v/>
      </c>
      <c r="AF44" s="105"/>
      <c r="AG44" s="898" t="str">
        <f t="shared" si="47"/>
        <v/>
      </c>
      <c r="AH44" s="899" t="str">
        <f t="shared" si="48"/>
        <v/>
      </c>
      <c r="AI44" s="900" t="str">
        <f t="shared" si="49"/>
        <v/>
      </c>
      <c r="AJ44" s="900" t="str">
        <f t="shared" si="50"/>
        <v/>
      </c>
      <c r="AK44" s="901"/>
      <c r="AL44" s="901"/>
      <c r="AM44" s="902" t="str">
        <f t="shared" si="51"/>
        <v/>
      </c>
      <c r="AN44" s="902" t="str">
        <f t="shared" si="52"/>
        <v/>
      </c>
      <c r="AO44" s="902" t="str">
        <f t="shared" si="53"/>
        <v/>
      </c>
      <c r="AP44" s="900" t="str">
        <f t="shared" si="54"/>
        <v/>
      </c>
      <c r="AQ44" s="902" t="str">
        <f t="shared" si="55"/>
        <v/>
      </c>
      <c r="AR44" s="900" t="str">
        <f t="shared" si="56"/>
        <v/>
      </c>
      <c r="AS44" s="902" t="str">
        <f t="shared" si="57"/>
        <v/>
      </c>
      <c r="AT44" s="902" t="str">
        <f t="shared" si="58"/>
        <v/>
      </c>
      <c r="AU44" s="902" t="str">
        <f t="shared" si="59"/>
        <v/>
      </c>
      <c r="AV44" s="903" t="str">
        <f t="shared" si="60"/>
        <v/>
      </c>
      <c r="AW44" s="105"/>
      <c r="AX44" s="105"/>
      <c r="AY44" s="105"/>
      <c r="AZ44" s="105"/>
      <c r="BA44" s="105"/>
      <c r="BB44" s="843">
        <f>IF(PP!B44="","",PP!B44)</f>
        <v>21</v>
      </c>
      <c r="BC44" s="2880" t="str">
        <f>IF(PP!C44="","",PP!C44)</f>
        <v>MANTO BLANCO C/M C/T 1.0-2.0 kg/pza</v>
      </c>
      <c r="BD44" s="2881"/>
      <c r="BE44" s="844">
        <f t="shared" si="33"/>
        <v>0</v>
      </c>
      <c r="BF44" s="853">
        <f t="shared" si="28"/>
        <v>0</v>
      </c>
      <c r="BG44" s="846">
        <f t="shared" si="29"/>
        <v>0</v>
      </c>
      <c r="BH44" s="943">
        <f t="shared" si="30"/>
        <v>0</v>
      </c>
      <c r="BI44" s="845">
        <f t="shared" si="34"/>
        <v>0</v>
      </c>
      <c r="BJ44" s="845">
        <f t="shared" si="31"/>
        <v>0</v>
      </c>
      <c r="BK44" s="854"/>
      <c r="BL44" s="854">
        <f t="shared" si="32"/>
        <v>0</v>
      </c>
      <c r="BM44" s="8"/>
      <c r="BN44" s="779" t="str">
        <f>IF(PP!L44="","",PP!L44)</f>
        <v/>
      </c>
      <c r="BO44" s="765" t="str">
        <f>IF(PP!M44="","",PP!M44)</f>
        <v>LILA</v>
      </c>
      <c r="BP44" s="755"/>
    </row>
    <row r="45" spans="1:68" ht="25.5">
      <c r="A45" s="938" t="str">
        <f>IFERROR(INDEX($N$7:$N$55,_xlfn.AGGREGATE(15,6,(ROW($X$7:$X$55)-ROW($X$7)+1)/($X$7:$X$55&gt;0),ROWS($B$7:B45))),"")</f>
        <v/>
      </c>
      <c r="B45" s="938" t="str">
        <f>IFERROR(UPPER(INDEX($O$7:$Y$55,_xlfn.AGGREGATE(15,6,(ROW($X$7:$X$55)-ROW($X$7)+1)/($X$7:$X$55&gt;0),ROWS($B$7:B45)),1)),"")</f>
        <v/>
      </c>
      <c r="C45" s="935" t="str">
        <f>IFERROR(INDEX($O$7:$Y$55,_xlfn.AGGREGATE(15,6,(ROW($X$7:$X$55)-ROW($X$7)+1)/($X$7:$X$55&gt;0),ROWS($B$7:B45)),2),"")</f>
        <v/>
      </c>
      <c r="D45" s="928" t="str">
        <f>IFERROR(INDEX($O$7:$Y$55,_xlfn.AGGREGATE(15,6,(ROW($X$7:$X$55)-ROW($X$7)+1)/($X$7:$X$55&gt;0),ROWS($B$7:B45)),4),"")</f>
        <v/>
      </c>
      <c r="E45" s="935" t="str">
        <f t="shared" si="35"/>
        <v/>
      </c>
      <c r="F45" s="935" t="str">
        <f>IFERROR(INDEX($O$7:$Y$55,_xlfn.AGGREGATE(15,6,(ROW($X$7:$X$55)-ROW($X$7)+1)/($X$7:$X$55&gt;0),ROWS($B$7:B45)),6),"")</f>
        <v/>
      </c>
      <c r="G45" s="928" t="str">
        <f>IFERROR(INDEX($O$7:$Y$55,_xlfn.AGGREGATE(15,6,(ROW($X$7:$X$55)-ROW($X$7)+1)/($X$7:$X$55&gt;0),ROWS($B$7:B45)),8),"")</f>
        <v/>
      </c>
      <c r="H45" s="935" t="str">
        <f t="shared" si="36"/>
        <v/>
      </c>
      <c r="I45" s="928" t="str">
        <f>IFERROR(INDEX($O$7:$Y$55,_xlfn.AGGREGATE(15,6,(ROW($X$7:$X$55)-ROW($X$7)+1)/($X$7:$X$55&gt;0),ROWS($B$7:B45)),10),"")</f>
        <v/>
      </c>
      <c r="J45" s="935" t="str">
        <f t="shared" si="37"/>
        <v/>
      </c>
      <c r="K45" s="936" t="str">
        <f t="shared" si="38"/>
        <v/>
      </c>
      <c r="L45" s="936" t="str">
        <f t="shared" si="39"/>
        <v/>
      </c>
      <c r="M45" s="936" t="str">
        <f t="shared" si="40"/>
        <v/>
      </c>
      <c r="N45" s="932">
        <f>'ENV. PLACAS'!C43</f>
        <v>38</v>
      </c>
      <c r="O45" s="751" t="str">
        <f>IFERROR(UPPER('ENV. PLACAS'!D43),"")</f>
        <v>TENTACULO C/B C/V SR 300-500 G/PZA (SUCIO)</v>
      </c>
      <c r="P45" s="768">
        <f>'ENV. PLACAS'!AC43</f>
        <v>0</v>
      </c>
      <c r="Q45" s="768">
        <f>'ENV. PLACAS'!AD43</f>
        <v>0</v>
      </c>
      <c r="R45" s="751">
        <f>'ENV. PLACAS'!AE43</f>
        <v>0</v>
      </c>
      <c r="S45" s="751" t="str">
        <f t="shared" si="6"/>
        <v/>
      </c>
      <c r="T45" s="751">
        <f>SUMIF('RES-EN'!$D$6:$D$53,O45,'RES-EN'!$Q$6:$Q$53)</f>
        <v>0</v>
      </c>
      <c r="U45" s="751">
        <f>SUMIF('RES-EN'!$D$6:$D$53,O45,'RES-EN'!$R$6:$R$53)</f>
        <v>0</v>
      </c>
      <c r="V45" s="751">
        <f>SUMIF('RES-EN'!$D$6:$D$53,O45,'RES-EN'!$S$6:$S$53)</f>
        <v>0</v>
      </c>
      <c r="W45" s="751" t="str">
        <f t="shared" si="41"/>
        <v/>
      </c>
      <c r="X45" s="751">
        <f t="shared" si="8"/>
        <v>0</v>
      </c>
      <c r="Y45" s="751" t="str">
        <f t="shared" si="42"/>
        <v/>
      </c>
      <c r="Z45" s="105"/>
      <c r="AA45" s="769" t="str">
        <f>IFERROR(INDEX($N$7:$N$55,_xlfn.AGGREGATE(15,6,(ROW($O$7:$O$55)-ROW($O$7)+1)/(((MOD($R$7:$R$55,$B$3)&gt;0)+(MOD($V$7:$V$55,$B$3)&gt;0))&gt;0),ROWS($AA$7:AA45))),"")</f>
        <v/>
      </c>
      <c r="AB45" s="770" t="str">
        <f t="shared" si="43"/>
        <v/>
      </c>
      <c r="AC45" s="771" t="str">
        <f t="shared" si="44"/>
        <v/>
      </c>
      <c r="AD45" s="771" t="str">
        <f t="shared" si="45"/>
        <v/>
      </c>
      <c r="AE45" s="772" t="str">
        <f t="shared" si="46"/>
        <v/>
      </c>
      <c r="AF45" s="105"/>
      <c r="AG45" s="898" t="str">
        <f t="shared" si="47"/>
        <v/>
      </c>
      <c r="AH45" s="899" t="str">
        <f t="shared" si="48"/>
        <v/>
      </c>
      <c r="AI45" s="900" t="str">
        <f t="shared" si="49"/>
        <v/>
      </c>
      <c r="AJ45" s="900" t="str">
        <f t="shared" si="50"/>
        <v/>
      </c>
      <c r="AK45" s="901"/>
      <c r="AL45" s="901"/>
      <c r="AM45" s="902" t="str">
        <f t="shared" si="51"/>
        <v/>
      </c>
      <c r="AN45" s="902" t="str">
        <f t="shared" si="52"/>
        <v/>
      </c>
      <c r="AO45" s="902" t="str">
        <f t="shared" si="53"/>
        <v/>
      </c>
      <c r="AP45" s="900" t="str">
        <f t="shared" si="54"/>
        <v/>
      </c>
      <c r="AQ45" s="902" t="str">
        <f t="shared" si="55"/>
        <v/>
      </c>
      <c r="AR45" s="900" t="str">
        <f t="shared" si="56"/>
        <v/>
      </c>
      <c r="AS45" s="902" t="str">
        <f t="shared" si="57"/>
        <v/>
      </c>
      <c r="AT45" s="902" t="str">
        <f t="shared" si="58"/>
        <v/>
      </c>
      <c r="AU45" s="902" t="str">
        <f t="shared" si="59"/>
        <v/>
      </c>
      <c r="AV45" s="903" t="str">
        <f t="shared" si="60"/>
        <v/>
      </c>
      <c r="AW45" s="105"/>
      <c r="AX45" s="105"/>
      <c r="AY45" s="105"/>
      <c r="AZ45" s="105"/>
      <c r="BA45" s="105"/>
      <c r="BB45" s="843">
        <f>IF(PP!B45="","",PP!B45)</f>
        <v>22</v>
      </c>
      <c r="BC45" s="2880" t="str">
        <f>IF(PP!C45="","",PP!C45)</f>
        <v>MANTO BLANCO C/M C/T 2.0-4.0 kg/pza</v>
      </c>
      <c r="BD45" s="2881"/>
      <c r="BE45" s="844">
        <f t="shared" si="33"/>
        <v>0</v>
      </c>
      <c r="BF45" s="853">
        <f t="shared" si="28"/>
        <v>0</v>
      </c>
      <c r="BG45" s="846">
        <f t="shared" si="29"/>
        <v>0</v>
      </c>
      <c r="BH45" s="943">
        <f t="shared" si="30"/>
        <v>0</v>
      </c>
      <c r="BI45" s="845">
        <f t="shared" si="34"/>
        <v>0</v>
      </c>
      <c r="BJ45" s="845">
        <f t="shared" si="31"/>
        <v>0</v>
      </c>
      <c r="BK45" s="854"/>
      <c r="BL45" s="854">
        <f t="shared" si="32"/>
        <v>0</v>
      </c>
      <c r="BM45" s="8"/>
      <c r="BN45" s="779" t="str">
        <f>IF(PP!L45="","",PP!L45)</f>
        <v/>
      </c>
      <c r="BO45" s="765" t="str">
        <f>IF(PP!M45="","",PP!M45)</f>
        <v>AZUL</v>
      </c>
      <c r="BP45" s="755"/>
    </row>
    <row r="46" spans="1:68" ht="25.5">
      <c r="A46" s="938" t="str">
        <f>IFERROR(INDEX($N$7:$N$55,_xlfn.AGGREGATE(15,6,(ROW($X$7:$X$55)-ROW($X$7)+1)/($X$7:$X$55&gt;0),ROWS($B$7:B46))),"")</f>
        <v/>
      </c>
      <c r="B46" s="938" t="str">
        <f>IFERROR(UPPER(INDEX($O$7:$Y$55,_xlfn.AGGREGATE(15,6,(ROW($X$7:$X$55)-ROW($X$7)+1)/($X$7:$X$55&gt;0),ROWS($B$7:B46)),1)),"")</f>
        <v/>
      </c>
      <c r="C46" s="935" t="str">
        <f>IFERROR(INDEX($O$7:$Y$55,_xlfn.AGGREGATE(15,6,(ROW($X$7:$X$55)-ROW($X$7)+1)/($X$7:$X$55&gt;0),ROWS($B$7:B46)),2),"")</f>
        <v/>
      </c>
      <c r="D46" s="928" t="str">
        <f>IFERROR(INDEX($O$7:$Y$55,_xlfn.AGGREGATE(15,6,(ROW($X$7:$X$55)-ROW($X$7)+1)/($X$7:$X$55&gt;0),ROWS($B$7:B46)),4),"")</f>
        <v/>
      </c>
      <c r="E46" s="935" t="str">
        <f t="shared" si="35"/>
        <v/>
      </c>
      <c r="F46" s="935" t="str">
        <f>IFERROR(INDEX($O$7:$Y$55,_xlfn.AGGREGATE(15,6,(ROW($X$7:$X$55)-ROW($X$7)+1)/($X$7:$X$55&gt;0),ROWS($B$7:B46)),6),"")</f>
        <v/>
      </c>
      <c r="G46" s="928" t="str">
        <f>IFERROR(INDEX($O$7:$Y$55,_xlfn.AGGREGATE(15,6,(ROW($X$7:$X$55)-ROW($X$7)+1)/($X$7:$X$55&gt;0),ROWS($B$7:B46)),8),"")</f>
        <v/>
      </c>
      <c r="H46" s="935" t="str">
        <f t="shared" si="36"/>
        <v/>
      </c>
      <c r="I46" s="928" t="str">
        <f>IFERROR(INDEX($O$7:$Y$55,_xlfn.AGGREGATE(15,6,(ROW($X$7:$X$55)-ROW($X$7)+1)/($X$7:$X$55&gt;0),ROWS($B$7:B46)),10),"")</f>
        <v/>
      </c>
      <c r="J46" s="935" t="str">
        <f t="shared" si="37"/>
        <v/>
      </c>
      <c r="K46" s="936" t="str">
        <f t="shared" si="38"/>
        <v/>
      </c>
      <c r="L46" s="936" t="str">
        <f t="shared" si="39"/>
        <v/>
      </c>
      <c r="M46" s="936" t="str">
        <f t="shared" si="40"/>
        <v/>
      </c>
      <c r="N46" s="932">
        <f>'ENV. PLACAS'!C44</f>
        <v>39</v>
      </c>
      <c r="O46" s="751" t="str">
        <f>IFERROR(UPPER('ENV. PLACAS'!D44),"")</f>
        <v>TENTACULO C/B S/V SR 100-300 G/PZA</v>
      </c>
      <c r="P46" s="768">
        <f>'ENV. PLACAS'!AC44</f>
        <v>0</v>
      </c>
      <c r="Q46" s="768">
        <f>'ENV. PLACAS'!AD44</f>
        <v>0</v>
      </c>
      <c r="R46" s="751">
        <f>'ENV. PLACAS'!AE44</f>
        <v>0</v>
      </c>
      <c r="S46" s="751" t="str">
        <f t="shared" si="6"/>
        <v/>
      </c>
      <c r="T46" s="751">
        <f>SUMIF('RES-EN'!$D$6:$D$53,O46,'RES-EN'!$Q$6:$Q$53)</f>
        <v>0</v>
      </c>
      <c r="U46" s="751">
        <f>SUMIF('RES-EN'!$D$6:$D$53,O46,'RES-EN'!$R$6:$R$53)</f>
        <v>0</v>
      </c>
      <c r="V46" s="751">
        <f>SUMIF('RES-EN'!$D$6:$D$53,O46,'RES-EN'!$S$6:$S$53)</f>
        <v>0</v>
      </c>
      <c r="W46" s="751" t="str">
        <f t="shared" si="41"/>
        <v/>
      </c>
      <c r="X46" s="751">
        <f t="shared" si="8"/>
        <v>0</v>
      </c>
      <c r="Y46" s="751" t="str">
        <f t="shared" si="42"/>
        <v/>
      </c>
      <c r="Z46" s="105"/>
      <c r="AA46" s="769" t="str">
        <f>IFERROR(INDEX($N$7:$N$55,_xlfn.AGGREGATE(15,6,(ROW($O$7:$O$55)-ROW($O$7)+1)/(((MOD($R$7:$R$55,$B$3)&gt;0)+(MOD($V$7:$V$55,$B$3)&gt;0))&gt;0),ROWS($AA$7:AA46))),"")</f>
        <v/>
      </c>
      <c r="AB46" s="770" t="str">
        <f t="shared" si="43"/>
        <v/>
      </c>
      <c r="AC46" s="771" t="str">
        <f t="shared" si="44"/>
        <v/>
      </c>
      <c r="AD46" s="771" t="str">
        <f t="shared" si="45"/>
        <v/>
      </c>
      <c r="AE46" s="772" t="str">
        <f t="shared" si="46"/>
        <v/>
      </c>
      <c r="AF46" s="105"/>
      <c r="AG46" s="898" t="str">
        <f t="shared" si="47"/>
        <v/>
      </c>
      <c r="AH46" s="899" t="str">
        <f t="shared" si="48"/>
        <v/>
      </c>
      <c r="AI46" s="900" t="str">
        <f t="shared" si="49"/>
        <v/>
      </c>
      <c r="AJ46" s="900" t="str">
        <f t="shared" si="50"/>
        <v/>
      </c>
      <c r="AK46" s="901"/>
      <c r="AL46" s="901"/>
      <c r="AM46" s="902" t="str">
        <f t="shared" si="51"/>
        <v/>
      </c>
      <c r="AN46" s="902" t="str">
        <f t="shared" si="52"/>
        <v/>
      </c>
      <c r="AO46" s="902" t="str">
        <f t="shared" si="53"/>
        <v/>
      </c>
      <c r="AP46" s="900" t="str">
        <f t="shared" si="54"/>
        <v/>
      </c>
      <c r="AQ46" s="902" t="str">
        <f t="shared" si="55"/>
        <v/>
      </c>
      <c r="AR46" s="900" t="str">
        <f t="shared" si="56"/>
        <v/>
      </c>
      <c r="AS46" s="902" t="str">
        <f t="shared" si="57"/>
        <v/>
      </c>
      <c r="AT46" s="902" t="str">
        <f t="shared" si="58"/>
        <v/>
      </c>
      <c r="AU46" s="902" t="str">
        <f t="shared" si="59"/>
        <v/>
      </c>
      <c r="AV46" s="903" t="str">
        <f t="shared" si="60"/>
        <v/>
      </c>
      <c r="AW46" s="105"/>
      <c r="AX46" s="105"/>
      <c r="AY46" s="105"/>
      <c r="AZ46" s="105"/>
      <c r="BA46" s="105"/>
      <c r="BB46" s="843">
        <f>IF(PP!B46="","",PP!B46)</f>
        <v>23</v>
      </c>
      <c r="BC46" s="2880" t="str">
        <f>IF(PP!C46="","",PP!C46)</f>
        <v>MANTO LP C/M C/T 500-1000 g/pza</v>
      </c>
      <c r="BD46" s="2881"/>
      <c r="BE46" s="844">
        <f t="shared" si="33"/>
        <v>0</v>
      </c>
      <c r="BF46" s="853">
        <f t="shared" si="28"/>
        <v>0</v>
      </c>
      <c r="BG46" s="846">
        <f t="shared" si="29"/>
        <v>0</v>
      </c>
      <c r="BH46" s="943">
        <f t="shared" si="30"/>
        <v>0</v>
      </c>
      <c r="BI46" s="845">
        <f t="shared" si="34"/>
        <v>0</v>
      </c>
      <c r="BJ46" s="845">
        <f t="shared" si="31"/>
        <v>0</v>
      </c>
      <c r="BK46" s="854"/>
      <c r="BL46" s="854">
        <f t="shared" si="32"/>
        <v>0</v>
      </c>
      <c r="BM46" s="8"/>
      <c r="BN46" s="779" t="str">
        <f>IF(PP!L46="","",PP!L46)</f>
        <v/>
      </c>
      <c r="BO46" s="765" t="str">
        <f>IF(PP!M46="","",PP!M46)</f>
        <v>NARANJA</v>
      </c>
      <c r="BP46" s="755"/>
    </row>
    <row r="47" spans="1:68" ht="25.5">
      <c r="A47" s="938" t="str">
        <f>IFERROR(INDEX($N$7:$N$55,_xlfn.AGGREGATE(15,6,(ROW($X$7:$X$55)-ROW($X$7)+1)/($X$7:$X$55&gt;0),ROWS($B$7:B47))),"")</f>
        <v/>
      </c>
      <c r="B47" s="938" t="str">
        <f>IFERROR(UPPER(INDEX($O$7:$Y$55,_xlfn.AGGREGATE(15,6,(ROW($X$7:$X$55)-ROW($X$7)+1)/($X$7:$X$55&gt;0),ROWS($B$7:B47)),1)),"")</f>
        <v/>
      </c>
      <c r="C47" s="935" t="str">
        <f>IFERROR(INDEX($O$7:$Y$55,_xlfn.AGGREGATE(15,6,(ROW($X$7:$X$55)-ROW($X$7)+1)/($X$7:$X$55&gt;0),ROWS($B$7:B47)),2),"")</f>
        <v/>
      </c>
      <c r="D47" s="928" t="str">
        <f>IFERROR(INDEX($O$7:$Y$55,_xlfn.AGGREGATE(15,6,(ROW($X$7:$X$55)-ROW($X$7)+1)/($X$7:$X$55&gt;0),ROWS($B$7:B47)),4),"")</f>
        <v/>
      </c>
      <c r="E47" s="935" t="str">
        <f t="shared" si="35"/>
        <v/>
      </c>
      <c r="F47" s="935" t="str">
        <f>IFERROR(INDEX($O$7:$Y$55,_xlfn.AGGREGATE(15,6,(ROW($X$7:$X$55)-ROW($X$7)+1)/($X$7:$X$55&gt;0),ROWS($B$7:B47)),6),"")</f>
        <v/>
      </c>
      <c r="G47" s="928" t="str">
        <f>IFERROR(INDEX($O$7:$Y$55,_xlfn.AGGREGATE(15,6,(ROW($X$7:$X$55)-ROW($X$7)+1)/($X$7:$X$55&gt;0),ROWS($B$7:B47)),8),"")</f>
        <v/>
      </c>
      <c r="H47" s="935" t="str">
        <f t="shared" si="36"/>
        <v/>
      </c>
      <c r="I47" s="928" t="str">
        <f>IFERROR(INDEX($O$7:$Y$55,_xlfn.AGGREGATE(15,6,(ROW($X$7:$X$55)-ROW($X$7)+1)/($X$7:$X$55&gt;0),ROWS($B$7:B47)),10),"")</f>
        <v/>
      </c>
      <c r="J47" s="935" t="str">
        <f t="shared" si="37"/>
        <v/>
      </c>
      <c r="K47" s="936" t="str">
        <f t="shared" si="38"/>
        <v/>
      </c>
      <c r="L47" s="936" t="str">
        <f t="shared" si="39"/>
        <v/>
      </c>
      <c r="M47" s="936" t="str">
        <f t="shared" si="40"/>
        <v/>
      </c>
      <c r="N47" s="932">
        <f>'ENV. PLACAS'!C45</f>
        <v>40</v>
      </c>
      <c r="O47" s="751" t="str">
        <f>IFERROR(UPPER('ENV. PLACAS'!D45),"")</f>
        <v>TENTACULO C/B C/V SR 100-500 G/PZA (SUCIO)</v>
      </c>
      <c r="P47" s="768">
        <f>'ENV. PLACAS'!AC45</f>
        <v>0</v>
      </c>
      <c r="Q47" s="768">
        <f>'ENV. PLACAS'!AD45</f>
        <v>0</v>
      </c>
      <c r="R47" s="751">
        <f>'ENV. PLACAS'!AE45</f>
        <v>0</v>
      </c>
      <c r="S47" s="751" t="str">
        <f t="shared" si="6"/>
        <v/>
      </c>
      <c r="T47" s="751">
        <f>SUMIF('RES-EN'!$D$6:$D$53,O47,'RES-EN'!$Q$6:$Q$53)</f>
        <v>0</v>
      </c>
      <c r="U47" s="751">
        <f>SUMIF('RES-EN'!$D$6:$D$53,O47,'RES-EN'!$R$6:$R$53)</f>
        <v>0</v>
      </c>
      <c r="V47" s="751">
        <f>SUMIF('RES-EN'!$D$6:$D$53,O47,'RES-EN'!$S$6:$S$53)</f>
        <v>0</v>
      </c>
      <c r="W47" s="751" t="str">
        <f t="shared" si="41"/>
        <v/>
      </c>
      <c r="X47" s="751">
        <f t="shared" si="8"/>
        <v>0</v>
      </c>
      <c r="Y47" s="751" t="str">
        <f t="shared" si="42"/>
        <v/>
      </c>
      <c r="Z47" s="105"/>
      <c r="AA47" s="769" t="str">
        <f>IFERROR(INDEX($N$7:$N$55,_xlfn.AGGREGATE(15,6,(ROW($O$7:$O$55)-ROW($O$7)+1)/(((MOD($R$7:$R$55,$B$3)&gt;0)+(MOD($V$7:$V$55,$B$3)&gt;0))&gt;0),ROWS($AA$7:AA47))),"")</f>
        <v/>
      </c>
      <c r="AB47" s="770" t="str">
        <f t="shared" si="43"/>
        <v/>
      </c>
      <c r="AC47" s="771" t="str">
        <f t="shared" si="44"/>
        <v/>
      </c>
      <c r="AD47" s="771" t="str">
        <f t="shared" si="45"/>
        <v/>
      </c>
      <c r="AE47" s="772" t="str">
        <f t="shared" si="46"/>
        <v/>
      </c>
      <c r="AF47" s="105"/>
      <c r="AG47" s="898" t="str">
        <f t="shared" si="47"/>
        <v/>
      </c>
      <c r="AH47" s="899" t="str">
        <f t="shared" si="48"/>
        <v/>
      </c>
      <c r="AI47" s="900" t="str">
        <f t="shared" si="49"/>
        <v/>
      </c>
      <c r="AJ47" s="900" t="str">
        <f t="shared" si="50"/>
        <v/>
      </c>
      <c r="AK47" s="901"/>
      <c r="AL47" s="901"/>
      <c r="AM47" s="902" t="str">
        <f t="shared" si="51"/>
        <v/>
      </c>
      <c r="AN47" s="902" t="str">
        <f t="shared" si="52"/>
        <v/>
      </c>
      <c r="AO47" s="902" t="str">
        <f t="shared" si="53"/>
        <v/>
      </c>
      <c r="AP47" s="900" t="str">
        <f t="shared" si="54"/>
        <v/>
      </c>
      <c r="AQ47" s="902" t="str">
        <f t="shared" si="55"/>
        <v/>
      </c>
      <c r="AR47" s="900" t="str">
        <f t="shared" si="56"/>
        <v/>
      </c>
      <c r="AS47" s="902" t="str">
        <f t="shared" si="57"/>
        <v/>
      </c>
      <c r="AT47" s="902" t="str">
        <f t="shared" si="58"/>
        <v/>
      </c>
      <c r="AU47" s="902" t="str">
        <f t="shared" si="59"/>
        <v/>
      </c>
      <c r="AV47" s="903" t="str">
        <f t="shared" si="60"/>
        <v/>
      </c>
      <c r="AW47" s="105"/>
      <c r="AX47" s="105"/>
      <c r="AY47" s="105"/>
      <c r="AZ47" s="105"/>
      <c r="BA47" s="105"/>
      <c r="BB47" s="843">
        <f>IF(PP!B47="","",PP!B47)</f>
        <v>24</v>
      </c>
      <c r="BC47" s="2880" t="str">
        <f>IF(PP!C47="","",PP!C47)</f>
        <v>MANTO LP C/M C/T 1.0-2.0 Kg/pza</v>
      </c>
      <c r="BD47" s="2881"/>
      <c r="BE47" s="844">
        <f t="shared" si="33"/>
        <v>0</v>
      </c>
      <c r="BF47" s="853">
        <f t="shared" si="28"/>
        <v>0</v>
      </c>
      <c r="BG47" s="846">
        <f t="shared" si="29"/>
        <v>0</v>
      </c>
      <c r="BH47" s="943">
        <f t="shared" si="30"/>
        <v>0</v>
      </c>
      <c r="BI47" s="845">
        <f t="shared" si="34"/>
        <v>0</v>
      </c>
      <c r="BJ47" s="845">
        <f t="shared" si="31"/>
        <v>0</v>
      </c>
      <c r="BK47" s="854"/>
      <c r="BL47" s="854">
        <f t="shared" si="32"/>
        <v>0</v>
      </c>
      <c r="BM47" s="8"/>
      <c r="BN47" s="779" t="str">
        <f>IF(PP!L47="","",PP!L47)</f>
        <v/>
      </c>
      <c r="BO47" s="765" t="str">
        <f>IF(PP!M47="","",PP!M47)</f>
        <v>LILA</v>
      </c>
      <c r="BP47" s="755"/>
    </row>
    <row r="48" spans="1:68" ht="26.25" thickBot="1">
      <c r="A48" s="938" t="str">
        <f>IFERROR(INDEX($N$7:$N$55,_xlfn.AGGREGATE(15,6,(ROW($X$7:$X$55)-ROW($X$7)+1)/($X$7:$X$55&gt;0),ROWS($B$7:B48))),"")</f>
        <v/>
      </c>
      <c r="B48" s="938" t="str">
        <f>IFERROR(UPPER(INDEX($O$7:$Y$55,_xlfn.AGGREGATE(15,6,(ROW($X$7:$X$55)-ROW($X$7)+1)/($X$7:$X$55&gt;0),ROWS($B$7:B48)),1)),"")</f>
        <v/>
      </c>
      <c r="C48" s="935" t="str">
        <f>IFERROR(INDEX($O$7:$Y$55,_xlfn.AGGREGATE(15,6,(ROW($X$7:$X$55)-ROW($X$7)+1)/($X$7:$X$55&gt;0),ROWS($B$7:B48)),2),"")</f>
        <v/>
      </c>
      <c r="D48" s="928" t="str">
        <f>IFERROR(INDEX($O$7:$Y$55,_xlfn.AGGREGATE(15,6,(ROW($X$7:$X$55)-ROW($X$7)+1)/($X$7:$X$55&gt;0),ROWS($B$7:B48)),4),"")</f>
        <v/>
      </c>
      <c r="E48" s="935" t="str">
        <f t="shared" si="35"/>
        <v/>
      </c>
      <c r="F48" s="935" t="str">
        <f>IFERROR(INDEX($O$7:$Y$55,_xlfn.AGGREGATE(15,6,(ROW($X$7:$X$55)-ROW($X$7)+1)/($X$7:$X$55&gt;0),ROWS($B$7:B48)),6),"")</f>
        <v/>
      </c>
      <c r="G48" s="928" t="str">
        <f>IFERROR(INDEX($O$7:$Y$55,_xlfn.AGGREGATE(15,6,(ROW($X$7:$X$55)-ROW($X$7)+1)/($X$7:$X$55&gt;0),ROWS($B$7:B48)),8),"")</f>
        <v/>
      </c>
      <c r="H48" s="935" t="str">
        <f t="shared" si="36"/>
        <v/>
      </c>
      <c r="I48" s="928" t="str">
        <f>IFERROR(INDEX($O$7:$Y$55,_xlfn.AGGREGATE(15,6,(ROW($X$7:$X$55)-ROW($X$7)+1)/($X$7:$X$55&gt;0),ROWS($B$7:B48)),10),"")</f>
        <v/>
      </c>
      <c r="J48" s="935" t="str">
        <f t="shared" si="37"/>
        <v/>
      </c>
      <c r="K48" s="936" t="str">
        <f t="shared" si="38"/>
        <v/>
      </c>
      <c r="L48" s="936" t="str">
        <f t="shared" si="39"/>
        <v/>
      </c>
      <c r="M48" s="936" t="str">
        <f t="shared" si="40"/>
        <v/>
      </c>
      <c r="N48" s="932">
        <f>'ENV. PLACAS'!C46</f>
        <v>41</v>
      </c>
      <c r="O48" s="751" t="str">
        <f>IFERROR(UPPER('ENV. PLACAS'!D46),"")</f>
        <v>TENTACULO C/B S/V SR 100-500 G/PZA</v>
      </c>
      <c r="P48" s="768">
        <f>'ENV. PLACAS'!AC46</f>
        <v>0</v>
      </c>
      <c r="Q48" s="768">
        <f>'ENV. PLACAS'!AD46</f>
        <v>0</v>
      </c>
      <c r="R48" s="751">
        <f>'ENV. PLACAS'!AE46</f>
        <v>0</v>
      </c>
      <c r="S48" s="751" t="str">
        <f t="shared" si="6"/>
        <v/>
      </c>
      <c r="T48" s="751">
        <f>SUMIF('RES-EN'!$D$6:$D$53,O48,'RES-EN'!$Q$6:$Q$53)</f>
        <v>0</v>
      </c>
      <c r="U48" s="751">
        <f>SUMIF('RES-EN'!$D$6:$D$53,O48,'RES-EN'!$R$6:$R$53)</f>
        <v>0</v>
      </c>
      <c r="V48" s="751">
        <f>SUMIF('RES-EN'!$D$6:$D$53,O48,'RES-EN'!$S$6:$S$53)</f>
        <v>0</v>
      </c>
      <c r="W48" s="751" t="str">
        <f t="shared" si="41"/>
        <v/>
      </c>
      <c r="X48" s="751">
        <f t="shared" si="8"/>
        <v>0</v>
      </c>
      <c r="Y48" s="751" t="str">
        <f t="shared" si="42"/>
        <v/>
      </c>
      <c r="Z48" s="105"/>
      <c r="AA48" s="769" t="str">
        <f>IFERROR(INDEX($N$7:$N$55,_xlfn.AGGREGATE(15,6,(ROW($O$7:$O$55)-ROW($O$7)+1)/(((MOD($R$7:$R$55,$B$3)&gt;0)+(MOD($V$7:$V$55,$B$3)&gt;0))&gt;0),ROWS($AA$7:AA48))),"")</f>
        <v/>
      </c>
      <c r="AB48" s="770" t="str">
        <f t="shared" si="43"/>
        <v/>
      </c>
      <c r="AC48" s="771" t="str">
        <f t="shared" si="44"/>
        <v/>
      </c>
      <c r="AD48" s="771" t="str">
        <f t="shared" si="45"/>
        <v/>
      </c>
      <c r="AE48" s="772" t="str">
        <f t="shared" si="46"/>
        <v/>
      </c>
      <c r="AF48" s="105"/>
      <c r="AG48" s="898" t="str">
        <f t="shared" si="47"/>
        <v/>
      </c>
      <c r="AH48" s="899" t="str">
        <f t="shared" si="48"/>
        <v/>
      </c>
      <c r="AI48" s="900" t="str">
        <f t="shared" si="49"/>
        <v/>
      </c>
      <c r="AJ48" s="900" t="str">
        <f t="shared" si="50"/>
        <v/>
      </c>
      <c r="AK48" s="901"/>
      <c r="AL48" s="901"/>
      <c r="AM48" s="902" t="str">
        <f t="shared" si="51"/>
        <v/>
      </c>
      <c r="AN48" s="902" t="str">
        <f t="shared" si="52"/>
        <v/>
      </c>
      <c r="AO48" s="902" t="str">
        <f t="shared" si="53"/>
        <v/>
      </c>
      <c r="AP48" s="900" t="str">
        <f t="shared" si="54"/>
        <v/>
      </c>
      <c r="AQ48" s="902" t="str">
        <f t="shared" si="55"/>
        <v/>
      </c>
      <c r="AR48" s="900" t="str">
        <f t="shared" si="56"/>
        <v/>
      </c>
      <c r="AS48" s="902" t="str">
        <f t="shared" si="57"/>
        <v/>
      </c>
      <c r="AT48" s="902" t="str">
        <f t="shared" si="58"/>
        <v/>
      </c>
      <c r="AU48" s="902" t="str">
        <f t="shared" si="59"/>
        <v/>
      </c>
      <c r="AV48" s="903" t="str">
        <f t="shared" si="60"/>
        <v/>
      </c>
      <c r="AW48" s="105"/>
      <c r="AX48" s="105"/>
      <c r="AY48" s="105"/>
      <c r="AZ48" s="105"/>
      <c r="BA48" s="105"/>
      <c r="BB48" s="847">
        <f>IF(PP!B48="","",PP!B48)</f>
        <v>25</v>
      </c>
      <c r="BC48" s="2882" t="str">
        <f>IF(PP!C48="","",PP!C48)</f>
        <v>MANTO LP C/M C/T 2.0-4.0 Kg/pza</v>
      </c>
      <c r="BD48" s="2883"/>
      <c r="BE48" s="848">
        <f>IF($BC48="","",IFERROR(INDEX($AT$7:$AT$55,MATCH($BB48,$AG$7:$AG$55,0)),IFERROR(INT(N(INDEX($V$7:$V$55,MATCH($BB48,$N$7:$N$55,0)))/$B$3),0)))</f>
        <v>0</v>
      </c>
      <c r="BF48" s="855">
        <f>IF($BC48="","",BE48)</f>
        <v>0</v>
      </c>
      <c r="BG48" s="850">
        <f>IF($BC48="","",IFERROR(INDEX($AS$7:$AS$55,MATCH($BB48,$AG$7:$AG$55,0)),IFERROR(INT(N(INDEX($R$7:$R$55,MATCH($BB48,$N$7:$N$55,0)))/$B$3),0)))</f>
        <v>0</v>
      </c>
      <c r="BH48" s="944">
        <f>IF($BC48="","",BG48)</f>
        <v>0</v>
      </c>
      <c r="BI48" s="849">
        <f>IF($BC48="","",IFERROR(INDEX($AR$7:$AR$55,MATCH($BB48,$AG$7:$AG$55,0)),IFERROR(MOD(N(INDEX($V$7:$V$55,MATCH($BB48,$N$7:$N$55,0))),$B$3),0)))</f>
        <v>0</v>
      </c>
      <c r="BJ48" s="849">
        <f>IF($BC48="","",IFERROR(INDEX($AP$7:$AP$55,MATCH($BB48,$AG$7:$AG$55,0)),IFERROR(MOD(N(INDEX($R$7:$R$55,MATCH($BB48,$N$7:$N$55,0))),$B$3),0)))</f>
        <v>0</v>
      </c>
      <c r="BK48" s="856"/>
      <c r="BL48" s="856">
        <f>IF($BC48="","",(N(BF48)+N(BH48))*$B$3)</f>
        <v>0</v>
      </c>
      <c r="BM48" s="8" t="str">
        <f>IF(PP!K48="","",PP!K48)</f>
        <v/>
      </c>
      <c r="BN48" s="779" t="str">
        <f>IF(PP!L48="","",PP!L48)</f>
        <v/>
      </c>
      <c r="BO48" s="765" t="str">
        <f>IF(PP!M48="","",PP!M48)</f>
        <v>AZUL</v>
      </c>
      <c r="BP48" s="755"/>
    </row>
    <row r="49" spans="1:68" ht="25.5">
      <c r="A49" s="938" t="str">
        <f>IFERROR(INDEX($N$7:$N$55,_xlfn.AGGREGATE(15,6,(ROW($X$7:$X$55)-ROW($X$7)+1)/($X$7:$X$55&gt;0),ROWS($B$7:B49))),"")</f>
        <v/>
      </c>
      <c r="B49" s="938" t="str">
        <f>IFERROR(UPPER(INDEX($O$7:$Y$55,_xlfn.AGGREGATE(15,6,(ROW($X$7:$X$55)-ROW($X$7)+1)/($X$7:$X$55&gt;0),ROWS($B$7:B49)),1)),"")</f>
        <v/>
      </c>
      <c r="C49" s="935" t="str">
        <f>IFERROR(INDEX($O$7:$Y$55,_xlfn.AGGREGATE(15,6,(ROW($X$7:$X$55)-ROW($X$7)+1)/($X$7:$X$55&gt;0),ROWS($B$7:B49)),2),"")</f>
        <v/>
      </c>
      <c r="D49" s="928" t="str">
        <f>IFERROR(INDEX($O$7:$Y$55,_xlfn.AGGREGATE(15,6,(ROW($X$7:$X$55)-ROW($X$7)+1)/($X$7:$X$55&gt;0),ROWS($B$7:B49)),4),"")</f>
        <v/>
      </c>
      <c r="E49" s="935" t="str">
        <f t="shared" si="35"/>
        <v/>
      </c>
      <c r="F49" s="935" t="str">
        <f>IFERROR(INDEX($O$7:$Y$55,_xlfn.AGGREGATE(15,6,(ROW($X$7:$X$55)-ROW($X$7)+1)/($X$7:$X$55&gt;0),ROWS($B$7:B49)),6),"")</f>
        <v/>
      </c>
      <c r="G49" s="928" t="str">
        <f>IFERROR(INDEX($O$7:$Y$55,_xlfn.AGGREGATE(15,6,(ROW($X$7:$X$55)-ROW($X$7)+1)/($X$7:$X$55&gt;0),ROWS($B$7:B49)),8),"")</f>
        <v/>
      </c>
      <c r="H49" s="935" t="str">
        <f t="shared" si="36"/>
        <v/>
      </c>
      <c r="I49" s="928" t="str">
        <f>IFERROR(INDEX($O$7:$Y$55,_xlfn.AGGREGATE(15,6,(ROW($X$7:$X$55)-ROW($X$7)+1)/($X$7:$X$55&gt;0),ROWS($B$7:B49)),10),"")</f>
        <v/>
      </c>
      <c r="J49" s="935" t="str">
        <f t="shared" si="37"/>
        <v/>
      </c>
      <c r="K49" s="936" t="str">
        <f t="shared" si="38"/>
        <v/>
      </c>
      <c r="L49" s="936" t="str">
        <f t="shared" si="39"/>
        <v/>
      </c>
      <c r="M49" s="936" t="str">
        <f t="shared" si="40"/>
        <v/>
      </c>
      <c r="N49" s="932">
        <f>'ENV. PLACAS'!C47</f>
        <v>42</v>
      </c>
      <c r="O49" s="751" t="str">
        <f>IFERROR(UPPER('ENV. PLACAS'!D47),"")</f>
        <v>TENTACULO C/B S/V SR 300-500 G/PZA</v>
      </c>
      <c r="P49" s="768">
        <f>'ENV. PLACAS'!AC47</f>
        <v>0</v>
      </c>
      <c r="Q49" s="768">
        <f>'ENV. PLACAS'!AD47</f>
        <v>0</v>
      </c>
      <c r="R49" s="751">
        <f>'ENV. PLACAS'!AE47</f>
        <v>0</v>
      </c>
      <c r="S49" s="751" t="str">
        <f t="shared" si="6"/>
        <v/>
      </c>
      <c r="T49" s="751">
        <f>SUMIF('RES-EN'!$D$6:$D$53,O49,'RES-EN'!$Q$6:$Q$53)</f>
        <v>0</v>
      </c>
      <c r="U49" s="751">
        <f>SUMIF('RES-EN'!$D$6:$D$53,O49,'RES-EN'!$R$6:$R$53)</f>
        <v>0</v>
      </c>
      <c r="V49" s="751">
        <f>SUMIF('RES-EN'!$D$6:$D$53,O49,'RES-EN'!$S$6:$S$53)</f>
        <v>0</v>
      </c>
      <c r="W49" s="751" t="str">
        <f t="shared" si="41"/>
        <v/>
      </c>
      <c r="X49" s="751">
        <f t="shared" si="8"/>
        <v>0</v>
      </c>
      <c r="Y49" s="751" t="str">
        <f t="shared" si="42"/>
        <v/>
      </c>
      <c r="Z49" s="105"/>
      <c r="AA49" s="769" t="str">
        <f>IFERROR(INDEX($N$7:$N$55,_xlfn.AGGREGATE(15,6,(ROW($O$7:$O$55)-ROW($O$7)+1)/(((MOD($R$7:$R$55,$B$3)&gt;0)+(MOD($V$7:$V$55,$B$3)&gt;0))&gt;0),ROWS($AA$7:AA49))),"")</f>
        <v/>
      </c>
      <c r="AB49" s="770" t="str">
        <f t="shared" si="43"/>
        <v/>
      </c>
      <c r="AC49" s="771" t="str">
        <f t="shared" si="44"/>
        <v/>
      </c>
      <c r="AD49" s="771" t="str">
        <f t="shared" si="45"/>
        <v/>
      </c>
      <c r="AE49" s="772" t="str">
        <f t="shared" si="46"/>
        <v/>
      </c>
      <c r="AF49" s="105"/>
      <c r="AG49" s="898" t="str">
        <f t="shared" si="47"/>
        <v/>
      </c>
      <c r="AH49" s="899" t="str">
        <f t="shared" si="48"/>
        <v/>
      </c>
      <c r="AI49" s="900" t="str">
        <f t="shared" si="49"/>
        <v/>
      </c>
      <c r="AJ49" s="900" t="str">
        <f t="shared" si="50"/>
        <v/>
      </c>
      <c r="AK49" s="901"/>
      <c r="AL49" s="901"/>
      <c r="AM49" s="902" t="str">
        <f t="shared" si="51"/>
        <v/>
      </c>
      <c r="AN49" s="902" t="str">
        <f t="shared" si="52"/>
        <v/>
      </c>
      <c r="AO49" s="902" t="str">
        <f t="shared" si="53"/>
        <v/>
      </c>
      <c r="AP49" s="900" t="str">
        <f t="shared" si="54"/>
        <v/>
      </c>
      <c r="AQ49" s="902" t="str">
        <f t="shared" si="55"/>
        <v/>
      </c>
      <c r="AR49" s="900" t="str">
        <f t="shared" si="56"/>
        <v/>
      </c>
      <c r="AS49" s="902" t="str">
        <f t="shared" si="57"/>
        <v/>
      </c>
      <c r="AT49" s="902" t="str">
        <f t="shared" si="58"/>
        <v/>
      </c>
      <c r="AU49" s="902" t="str">
        <f t="shared" si="59"/>
        <v/>
      </c>
      <c r="AV49" s="903" t="str">
        <f t="shared" si="60"/>
        <v/>
      </c>
      <c r="AW49" s="105"/>
      <c r="AX49" s="105"/>
      <c r="AY49" s="105"/>
      <c r="AZ49" s="105"/>
      <c r="BA49" s="105"/>
      <c r="BB49" s="843">
        <f>IF(PP!B49="","",PP!B49)</f>
        <v>26</v>
      </c>
      <c r="BC49" s="2878" t="str">
        <f>IF(PP!C49="","",PP!C49)</f>
        <v>NUCA C/C CERRADO 0-100 g/pza</v>
      </c>
      <c r="BD49" s="2879"/>
      <c r="BE49" s="840">
        <f t="shared" si="33"/>
        <v>0</v>
      </c>
      <c r="BF49" s="851">
        <f t="shared" si="28"/>
        <v>0</v>
      </c>
      <c r="BG49" s="846">
        <f t="shared" si="29"/>
        <v>0</v>
      </c>
      <c r="BH49" s="943">
        <f t="shared" si="30"/>
        <v>0</v>
      </c>
      <c r="BI49" s="841">
        <f t="shared" si="34"/>
        <v>0</v>
      </c>
      <c r="BJ49" s="841">
        <f t="shared" si="31"/>
        <v>0</v>
      </c>
      <c r="BK49" s="854"/>
      <c r="BL49" s="854">
        <f t="shared" si="32"/>
        <v>0</v>
      </c>
      <c r="BM49" s="8"/>
      <c r="BN49" s="779" t="str">
        <f>IF(PP!L49="","",PP!L49)</f>
        <v/>
      </c>
      <c r="BO49" s="765" t="str">
        <f>IF(PP!M49="","",PP!M49)</f>
        <v>ROJO</v>
      </c>
      <c r="BP49" s="755"/>
    </row>
    <row r="50" spans="1:68" ht="25.5">
      <c r="A50" s="938" t="str">
        <f>IFERROR(INDEX($N$7:$N$55,_xlfn.AGGREGATE(15,6,(ROW($X$7:$X$55)-ROW($X$7)+1)/($X$7:$X$55&gt;0),ROWS($B$7:B50))),"")</f>
        <v/>
      </c>
      <c r="B50" s="938" t="str">
        <f>IFERROR(UPPER(INDEX($O$7:$Y$55,_xlfn.AGGREGATE(15,6,(ROW($X$7:$X$55)-ROW($X$7)+1)/($X$7:$X$55&gt;0),ROWS($B$7:B50)),1)),"")</f>
        <v/>
      </c>
      <c r="C50" s="935" t="str">
        <f>IFERROR(INDEX($O$7:$Y$55,_xlfn.AGGREGATE(15,6,(ROW($X$7:$X$55)-ROW($X$7)+1)/($X$7:$X$55&gt;0),ROWS($B$7:B50)),2),"")</f>
        <v/>
      </c>
      <c r="D50" s="928" t="str">
        <f>IFERROR(INDEX($O$7:$Y$55,_xlfn.AGGREGATE(15,6,(ROW($X$7:$X$55)-ROW($X$7)+1)/($X$7:$X$55&gt;0),ROWS($B$7:B50)),4),"")</f>
        <v/>
      </c>
      <c r="E50" s="935" t="str">
        <f t="shared" si="35"/>
        <v/>
      </c>
      <c r="F50" s="935" t="str">
        <f>IFERROR(INDEX($O$7:$Y$55,_xlfn.AGGREGATE(15,6,(ROW($X$7:$X$55)-ROW($X$7)+1)/($X$7:$X$55&gt;0),ROWS($B$7:B50)),6),"")</f>
        <v/>
      </c>
      <c r="G50" s="928" t="str">
        <f>IFERROR(INDEX($O$7:$Y$55,_xlfn.AGGREGATE(15,6,(ROW($X$7:$X$55)-ROW($X$7)+1)/($X$7:$X$55&gt;0),ROWS($B$7:B50)),8),"")</f>
        <v/>
      </c>
      <c r="H50" s="935" t="str">
        <f t="shared" si="36"/>
        <v/>
      </c>
      <c r="I50" s="928" t="str">
        <f>IFERROR(INDEX($O$7:$Y$55,_xlfn.AGGREGATE(15,6,(ROW($X$7:$X$55)-ROW($X$7)+1)/($X$7:$X$55&gt;0),ROWS($B$7:B50)),10),"")</f>
        <v/>
      </c>
      <c r="J50" s="935" t="str">
        <f t="shared" si="37"/>
        <v/>
      </c>
      <c r="K50" s="936" t="str">
        <f t="shared" si="38"/>
        <v/>
      </c>
      <c r="L50" s="936" t="str">
        <f t="shared" si="39"/>
        <v/>
      </c>
      <c r="M50" s="936" t="str">
        <f t="shared" si="40"/>
        <v/>
      </c>
      <c r="N50" s="932">
        <f>'ENV. PLACAS'!C48</f>
        <v>43</v>
      </c>
      <c r="O50" s="751" t="str">
        <f>IFERROR(UPPER('ENV. PLACAS'!D48),"")</f>
        <v>TENTACULO C/B C/V SR 500-1000 G/PZA (SUCIO)</v>
      </c>
      <c r="P50" s="768">
        <f>'ENV. PLACAS'!AC48</f>
        <v>0</v>
      </c>
      <c r="Q50" s="768">
        <f>'ENV. PLACAS'!AD48</f>
        <v>0</v>
      </c>
      <c r="R50" s="751">
        <f>'ENV. PLACAS'!AE48</f>
        <v>0</v>
      </c>
      <c r="S50" s="751" t="str">
        <f t="shared" si="6"/>
        <v/>
      </c>
      <c r="T50" s="751">
        <f>SUMIF('RES-EN'!$D$6:$D$53,O50,'RES-EN'!$Q$6:$Q$53)</f>
        <v>0</v>
      </c>
      <c r="U50" s="751">
        <f>SUMIF('RES-EN'!$D$6:$D$53,O50,'RES-EN'!$R$6:$R$53)</f>
        <v>0</v>
      </c>
      <c r="V50" s="751">
        <f>SUMIF('RES-EN'!$D$6:$D$53,O50,'RES-EN'!$S$6:$S$53)</f>
        <v>0</v>
      </c>
      <c r="W50" s="751" t="str">
        <f t="shared" si="41"/>
        <v/>
      </c>
      <c r="X50" s="751">
        <f t="shared" si="8"/>
        <v>0</v>
      </c>
      <c r="Y50" s="751" t="str">
        <f t="shared" si="42"/>
        <v/>
      </c>
      <c r="Z50" s="105"/>
      <c r="AA50" s="769" t="str">
        <f>IFERROR(INDEX($N$7:$N$55,_xlfn.AGGREGATE(15,6,(ROW($O$7:$O$55)-ROW($O$7)+1)/(((MOD($R$7:$R$55,$B$3)&gt;0)+(MOD($V$7:$V$55,$B$3)&gt;0))&gt;0),ROWS($AA$7:AA50))),"")</f>
        <v/>
      </c>
      <c r="AB50" s="770" t="str">
        <f t="shared" si="43"/>
        <v/>
      </c>
      <c r="AC50" s="771" t="str">
        <f t="shared" si="44"/>
        <v/>
      </c>
      <c r="AD50" s="771" t="str">
        <f t="shared" si="45"/>
        <v/>
      </c>
      <c r="AE50" s="772" t="str">
        <f t="shared" si="46"/>
        <v/>
      </c>
      <c r="AF50" s="105"/>
      <c r="AG50" s="898" t="str">
        <f t="shared" si="47"/>
        <v/>
      </c>
      <c r="AH50" s="899" t="str">
        <f t="shared" si="48"/>
        <v/>
      </c>
      <c r="AI50" s="900" t="str">
        <f t="shared" si="49"/>
        <v/>
      </c>
      <c r="AJ50" s="900" t="str">
        <f t="shared" si="50"/>
        <v/>
      </c>
      <c r="AK50" s="901"/>
      <c r="AL50" s="901"/>
      <c r="AM50" s="902" t="str">
        <f t="shared" si="51"/>
        <v/>
      </c>
      <c r="AN50" s="902" t="str">
        <f t="shared" si="52"/>
        <v/>
      </c>
      <c r="AO50" s="902" t="str">
        <f t="shared" si="53"/>
        <v/>
      </c>
      <c r="AP50" s="900" t="str">
        <f t="shared" si="54"/>
        <v/>
      </c>
      <c r="AQ50" s="902" t="str">
        <f t="shared" si="55"/>
        <v/>
      </c>
      <c r="AR50" s="900" t="str">
        <f t="shared" si="56"/>
        <v/>
      </c>
      <c r="AS50" s="902" t="str">
        <f t="shared" si="57"/>
        <v/>
      </c>
      <c r="AT50" s="902" t="str">
        <f t="shared" si="58"/>
        <v/>
      </c>
      <c r="AU50" s="902" t="str">
        <f t="shared" si="59"/>
        <v/>
      </c>
      <c r="AV50" s="903" t="str">
        <f t="shared" si="60"/>
        <v/>
      </c>
      <c r="AW50" s="105"/>
      <c r="AX50" s="105"/>
      <c r="AY50" s="105"/>
      <c r="AZ50" s="105"/>
      <c r="BA50" s="105"/>
      <c r="BB50" s="843">
        <f>IF(PP!B50="","",PP!B50)</f>
        <v>27</v>
      </c>
      <c r="BC50" s="2880" t="str">
        <f>IF(PP!C50="","",PP!C50)</f>
        <v>NUCA C/C ABIERTO 100-300 g/pza</v>
      </c>
      <c r="BD50" s="2881"/>
      <c r="BE50" s="844">
        <f t="shared" si="33"/>
        <v>0</v>
      </c>
      <c r="BF50" s="853">
        <f t="shared" si="28"/>
        <v>0</v>
      </c>
      <c r="BG50" s="846">
        <f t="shared" si="29"/>
        <v>0</v>
      </c>
      <c r="BH50" s="943">
        <f t="shared" si="30"/>
        <v>0</v>
      </c>
      <c r="BI50" s="845">
        <f t="shared" si="34"/>
        <v>0</v>
      </c>
      <c r="BJ50" s="845">
        <f t="shared" si="31"/>
        <v>0</v>
      </c>
      <c r="BK50" s="854"/>
      <c r="BL50" s="854">
        <f t="shared" si="32"/>
        <v>0</v>
      </c>
      <c r="BM50" s="8"/>
      <c r="BN50" s="779" t="str">
        <f>IF(PP!L50="","",PP!L50)</f>
        <v/>
      </c>
      <c r="BO50" s="765" t="str">
        <f>IF(PP!M50="","",PP!M50)</f>
        <v>LILA</v>
      </c>
      <c r="BP50" s="755"/>
    </row>
    <row r="51" spans="1:68" ht="25.5">
      <c r="A51" s="938" t="str">
        <f>IFERROR(INDEX($N$7:$N$55,_xlfn.AGGREGATE(15,6,(ROW($X$7:$X$55)-ROW($X$7)+1)/($X$7:$X$55&gt;0),ROWS($B$7:B51))),"")</f>
        <v/>
      </c>
      <c r="B51" s="938" t="str">
        <f>IFERROR(UPPER(INDEX($O$7:$Y$55,_xlfn.AGGREGATE(15,6,(ROW($X$7:$X$55)-ROW($X$7)+1)/($X$7:$X$55&gt;0),ROWS($B$7:B51)),1)),"")</f>
        <v/>
      </c>
      <c r="C51" s="935" t="str">
        <f>IFERROR(INDEX($O$7:$Y$55,_xlfn.AGGREGATE(15,6,(ROW($X$7:$X$55)-ROW($X$7)+1)/($X$7:$X$55&gt;0),ROWS($B$7:B51)),2),"")</f>
        <v/>
      </c>
      <c r="D51" s="928" t="str">
        <f>IFERROR(INDEX($O$7:$Y$55,_xlfn.AGGREGATE(15,6,(ROW($X$7:$X$55)-ROW($X$7)+1)/($X$7:$X$55&gt;0),ROWS($B$7:B51)),4),"")</f>
        <v/>
      </c>
      <c r="E51" s="935" t="str">
        <f t="shared" si="35"/>
        <v/>
      </c>
      <c r="F51" s="935" t="str">
        <f>IFERROR(INDEX($O$7:$Y$55,_xlfn.AGGREGATE(15,6,(ROW($X$7:$X$55)-ROW($X$7)+1)/($X$7:$X$55&gt;0),ROWS($B$7:B51)),6),"")</f>
        <v/>
      </c>
      <c r="G51" s="928" t="str">
        <f>IFERROR(INDEX($O$7:$Y$55,_xlfn.AGGREGATE(15,6,(ROW($X$7:$X$55)-ROW($X$7)+1)/($X$7:$X$55&gt;0),ROWS($B$7:B51)),8),"")</f>
        <v/>
      </c>
      <c r="H51" s="935" t="str">
        <f t="shared" si="36"/>
        <v/>
      </c>
      <c r="I51" s="928" t="str">
        <f>IFERROR(INDEX($O$7:$Y$55,_xlfn.AGGREGATE(15,6,(ROW($X$7:$X$55)-ROW($X$7)+1)/($X$7:$X$55&gt;0),ROWS($B$7:B51)),10),"")</f>
        <v/>
      </c>
      <c r="J51" s="935" t="str">
        <f t="shared" si="37"/>
        <v/>
      </c>
      <c r="K51" s="936" t="str">
        <f t="shared" si="38"/>
        <v/>
      </c>
      <c r="L51" s="936" t="str">
        <f t="shared" si="39"/>
        <v/>
      </c>
      <c r="M51" s="936" t="str">
        <f t="shared" si="40"/>
        <v/>
      </c>
      <c r="N51" s="932">
        <f>'ENV. PLACAS'!C49</f>
        <v>44</v>
      </c>
      <c r="O51" s="751" t="str">
        <f>IFERROR(UPPER('ENV. PLACAS'!D49),"")</f>
        <v>TENTACULO C/B S/V SR 500-1000 G/PZA</v>
      </c>
      <c r="P51" s="768">
        <f>'ENV. PLACAS'!AC49</f>
        <v>0</v>
      </c>
      <c r="Q51" s="768">
        <f>'ENV. PLACAS'!AD49</f>
        <v>0</v>
      </c>
      <c r="R51" s="751">
        <f>'ENV. PLACAS'!AE49</f>
        <v>0</v>
      </c>
      <c r="S51" s="751" t="str">
        <f t="shared" si="6"/>
        <v/>
      </c>
      <c r="T51" s="751">
        <f>SUMIF('RES-EN'!$D$6:$D$53,O51,'RES-EN'!$Q$6:$Q$53)</f>
        <v>0</v>
      </c>
      <c r="U51" s="751">
        <f>SUMIF('RES-EN'!$D$6:$D$53,O51,'RES-EN'!$R$6:$R$53)</f>
        <v>0</v>
      </c>
      <c r="V51" s="751">
        <f>SUMIF('RES-EN'!$D$6:$D$53,O51,'RES-EN'!$S$6:$S$53)</f>
        <v>0</v>
      </c>
      <c r="W51" s="751" t="str">
        <f t="shared" si="41"/>
        <v/>
      </c>
      <c r="X51" s="751">
        <f t="shared" si="8"/>
        <v>0</v>
      </c>
      <c r="Y51" s="751" t="str">
        <f t="shared" si="42"/>
        <v/>
      </c>
      <c r="Z51" s="105"/>
      <c r="AA51" s="769" t="str">
        <f>IFERROR(INDEX($N$7:$N$55,_xlfn.AGGREGATE(15,6,(ROW($O$7:$O$55)-ROW($O$7)+1)/(((MOD($R$7:$R$55,$B$3)&gt;0)+(MOD($V$7:$V$55,$B$3)&gt;0))&gt;0),ROWS($AA$7:AA51))),"")</f>
        <v/>
      </c>
      <c r="AB51" s="770" t="str">
        <f t="shared" si="43"/>
        <v/>
      </c>
      <c r="AC51" s="771" t="str">
        <f t="shared" si="44"/>
        <v/>
      </c>
      <c r="AD51" s="771" t="str">
        <f t="shared" si="45"/>
        <v/>
      </c>
      <c r="AE51" s="772" t="str">
        <f t="shared" si="46"/>
        <v/>
      </c>
      <c r="AF51" s="105"/>
      <c r="AG51" s="898" t="str">
        <f t="shared" si="47"/>
        <v/>
      </c>
      <c r="AH51" s="899" t="str">
        <f t="shared" si="48"/>
        <v/>
      </c>
      <c r="AI51" s="900" t="str">
        <f t="shared" si="49"/>
        <v/>
      </c>
      <c r="AJ51" s="900" t="str">
        <f t="shared" si="50"/>
        <v/>
      </c>
      <c r="AK51" s="901"/>
      <c r="AL51" s="901"/>
      <c r="AM51" s="902" t="str">
        <f t="shared" si="51"/>
        <v/>
      </c>
      <c r="AN51" s="902" t="str">
        <f t="shared" si="52"/>
        <v/>
      </c>
      <c r="AO51" s="902" t="str">
        <f t="shared" si="53"/>
        <v/>
      </c>
      <c r="AP51" s="900" t="str">
        <f t="shared" si="54"/>
        <v/>
      </c>
      <c r="AQ51" s="902" t="str">
        <f t="shared" si="55"/>
        <v/>
      </c>
      <c r="AR51" s="900" t="str">
        <f t="shared" si="56"/>
        <v/>
      </c>
      <c r="AS51" s="902" t="str">
        <f t="shared" si="57"/>
        <v/>
      </c>
      <c r="AT51" s="902" t="str">
        <f t="shared" si="58"/>
        <v/>
      </c>
      <c r="AU51" s="902" t="str">
        <f t="shared" si="59"/>
        <v/>
      </c>
      <c r="AV51" s="903" t="str">
        <f t="shared" si="60"/>
        <v/>
      </c>
      <c r="AW51" s="105"/>
      <c r="AX51" s="105"/>
      <c r="AY51" s="105"/>
      <c r="AZ51" s="105"/>
      <c r="BA51" s="105"/>
      <c r="BB51" s="843">
        <f>IF(PP!B51="","",PP!B51)</f>
        <v>28</v>
      </c>
      <c r="BC51" s="2880" t="str">
        <f>IF(PP!C51="","",PP!C51)</f>
        <v>NUCA C/C ABIERTO 300-500 g/pza</v>
      </c>
      <c r="BD51" s="2881"/>
      <c r="BE51" s="844">
        <f t="shared" si="33"/>
        <v>0</v>
      </c>
      <c r="BF51" s="853">
        <f t="shared" si="28"/>
        <v>0</v>
      </c>
      <c r="BG51" s="846">
        <f t="shared" si="29"/>
        <v>0</v>
      </c>
      <c r="BH51" s="943">
        <f t="shared" si="30"/>
        <v>0</v>
      </c>
      <c r="BI51" s="845">
        <f t="shared" si="34"/>
        <v>0</v>
      </c>
      <c r="BJ51" s="845">
        <f t="shared" si="31"/>
        <v>0</v>
      </c>
      <c r="BK51" s="854"/>
      <c r="BL51" s="854">
        <f t="shared" si="32"/>
        <v>0</v>
      </c>
      <c r="BM51" s="8"/>
      <c r="BN51" s="779" t="str">
        <f>IF(PP!L51="","",PP!L51)</f>
        <v/>
      </c>
      <c r="BO51" s="765" t="str">
        <f>IF(PP!M51="","",PP!M51)</f>
        <v>VERDE</v>
      </c>
      <c r="BP51" s="755"/>
    </row>
    <row r="52" spans="1:68" ht="25.5">
      <c r="A52" s="938" t="str">
        <f>IFERROR(INDEX($N$7:$N$55,_xlfn.AGGREGATE(15,6,(ROW($X$7:$X$55)-ROW($X$7)+1)/($X$7:$X$55&gt;0),ROWS($B$7:B52))),"")</f>
        <v/>
      </c>
      <c r="B52" s="938" t="str">
        <f>IFERROR(UPPER(INDEX($O$7:$Y$55,_xlfn.AGGREGATE(15,6,(ROW($X$7:$X$55)-ROW($X$7)+1)/($X$7:$X$55&gt;0),ROWS($B$7:B52)),1)),"")</f>
        <v/>
      </c>
      <c r="C52" s="935" t="str">
        <f>IFERROR(INDEX($O$7:$Y$55,_xlfn.AGGREGATE(15,6,(ROW($X$7:$X$55)-ROW($X$7)+1)/($X$7:$X$55&gt;0),ROWS($B$7:B52)),2),"")</f>
        <v/>
      </c>
      <c r="D52" s="928" t="str">
        <f>IFERROR(INDEX($O$7:$Y$55,_xlfn.AGGREGATE(15,6,(ROW($X$7:$X$55)-ROW($X$7)+1)/($X$7:$X$55&gt;0),ROWS($B$7:B52)),4),"")</f>
        <v/>
      </c>
      <c r="E52" s="935" t="str">
        <f t="shared" si="35"/>
        <v/>
      </c>
      <c r="F52" s="935" t="str">
        <f>IFERROR(INDEX($O$7:$Y$55,_xlfn.AGGREGATE(15,6,(ROW($X$7:$X$55)-ROW($X$7)+1)/($X$7:$X$55&gt;0),ROWS($B$7:B52)),6),"")</f>
        <v/>
      </c>
      <c r="G52" s="928" t="str">
        <f>IFERROR(INDEX($O$7:$Y$55,_xlfn.AGGREGATE(15,6,(ROW($X$7:$X$55)-ROW($X$7)+1)/($X$7:$X$55&gt;0),ROWS($B$7:B52)),8),"")</f>
        <v/>
      </c>
      <c r="H52" s="935" t="str">
        <f t="shared" si="36"/>
        <v/>
      </c>
      <c r="I52" s="928" t="str">
        <f>IFERROR(INDEX($O$7:$Y$55,_xlfn.AGGREGATE(15,6,(ROW($X$7:$X$55)-ROW($X$7)+1)/($X$7:$X$55&gt;0),ROWS($B$7:B52)),10),"")</f>
        <v/>
      </c>
      <c r="J52" s="935" t="str">
        <f t="shared" si="37"/>
        <v/>
      </c>
      <c r="K52" s="936" t="str">
        <f t="shared" si="38"/>
        <v/>
      </c>
      <c r="L52" s="936" t="str">
        <f t="shared" si="39"/>
        <v/>
      </c>
      <c r="M52" s="936" t="str">
        <f t="shared" si="40"/>
        <v/>
      </c>
      <c r="N52" s="932">
        <f>'ENV. PLACAS'!C50</f>
        <v>45</v>
      </c>
      <c r="O52" s="751" t="str">
        <f>IFERROR(UPPER('ENV. PLACAS'!D50),"")</f>
        <v>TENTACULO C/B C/V SR 1.0-2.0 KG/PZA (SUCIO)</v>
      </c>
      <c r="P52" s="768">
        <f>'ENV. PLACAS'!AC50</f>
        <v>0</v>
      </c>
      <c r="Q52" s="768">
        <f>'ENV. PLACAS'!AD50</f>
        <v>0</v>
      </c>
      <c r="R52" s="751">
        <f>'ENV. PLACAS'!AE50</f>
        <v>0</v>
      </c>
      <c r="S52" s="751" t="str">
        <f t="shared" si="6"/>
        <v/>
      </c>
      <c r="T52" s="751">
        <f>SUMIF('RES-EN'!$D$6:$D$53,O52,'RES-EN'!$Q$6:$Q$53)</f>
        <v>0</v>
      </c>
      <c r="U52" s="751">
        <f>SUMIF('RES-EN'!$D$6:$D$53,O52,'RES-EN'!$R$6:$R$53)</f>
        <v>0</v>
      </c>
      <c r="V52" s="751">
        <f>SUMIF('RES-EN'!$D$6:$D$53,O52,'RES-EN'!$S$6:$S$53)</f>
        <v>0</v>
      </c>
      <c r="W52" s="751" t="str">
        <f t="shared" si="41"/>
        <v/>
      </c>
      <c r="X52" s="751">
        <f t="shared" si="8"/>
        <v>0</v>
      </c>
      <c r="Y52" s="751" t="str">
        <f t="shared" si="42"/>
        <v/>
      </c>
      <c r="Z52" s="105"/>
      <c r="AA52" s="769" t="str">
        <f>IFERROR(INDEX($N$7:$N$55,_xlfn.AGGREGATE(15,6,(ROW($O$7:$O$55)-ROW($O$7)+1)/(((MOD($R$7:$R$55,$B$3)&gt;0)+(MOD($V$7:$V$55,$B$3)&gt;0))&gt;0),ROWS($AA$7:AA52))),"")</f>
        <v/>
      </c>
      <c r="AB52" s="770" t="str">
        <f t="shared" si="43"/>
        <v/>
      </c>
      <c r="AC52" s="771" t="str">
        <f t="shared" si="44"/>
        <v/>
      </c>
      <c r="AD52" s="771" t="str">
        <f t="shared" si="45"/>
        <v/>
      </c>
      <c r="AE52" s="772" t="str">
        <f t="shared" si="46"/>
        <v/>
      </c>
      <c r="AF52" s="105"/>
      <c r="AG52" s="898" t="str">
        <f t="shared" si="47"/>
        <v/>
      </c>
      <c r="AH52" s="899" t="str">
        <f t="shared" si="48"/>
        <v/>
      </c>
      <c r="AI52" s="900" t="str">
        <f t="shared" si="49"/>
        <v/>
      </c>
      <c r="AJ52" s="900" t="str">
        <f t="shared" si="50"/>
        <v/>
      </c>
      <c r="AK52" s="901"/>
      <c r="AL52" s="901"/>
      <c r="AM52" s="902" t="str">
        <f t="shared" si="51"/>
        <v/>
      </c>
      <c r="AN52" s="902" t="str">
        <f t="shared" si="52"/>
        <v/>
      </c>
      <c r="AO52" s="902" t="str">
        <f t="shared" si="53"/>
        <v/>
      </c>
      <c r="AP52" s="900" t="str">
        <f t="shared" si="54"/>
        <v/>
      </c>
      <c r="AQ52" s="902" t="str">
        <f t="shared" si="55"/>
        <v/>
      </c>
      <c r="AR52" s="900" t="str">
        <f t="shared" si="56"/>
        <v/>
      </c>
      <c r="AS52" s="902" t="str">
        <f t="shared" si="57"/>
        <v/>
      </c>
      <c r="AT52" s="902" t="str">
        <f t="shared" si="58"/>
        <v/>
      </c>
      <c r="AU52" s="902" t="str">
        <f t="shared" si="59"/>
        <v/>
      </c>
      <c r="AV52" s="903" t="str">
        <f t="shared" si="60"/>
        <v/>
      </c>
      <c r="AW52" s="105"/>
      <c r="AX52" s="105"/>
      <c r="AY52" s="105"/>
      <c r="AZ52" s="105"/>
      <c r="BA52" s="105"/>
      <c r="BB52" s="843">
        <f>IF(PP!B52="","",PP!B52)</f>
        <v>29</v>
      </c>
      <c r="BC52" s="2880" t="str">
        <f>IF(PP!C52="","",PP!C52)</f>
        <v>NUCA C/C ABIERTO 500-1000 g/pza</v>
      </c>
      <c r="BD52" s="2881"/>
      <c r="BE52" s="844">
        <f t="shared" si="33"/>
        <v>0</v>
      </c>
      <c r="BF52" s="853">
        <f t="shared" si="28"/>
        <v>0</v>
      </c>
      <c r="BG52" s="846">
        <f t="shared" si="29"/>
        <v>0</v>
      </c>
      <c r="BH52" s="943">
        <f t="shared" si="30"/>
        <v>0</v>
      </c>
      <c r="BI52" s="845">
        <f t="shared" si="34"/>
        <v>0</v>
      </c>
      <c r="BJ52" s="845">
        <f t="shared" si="31"/>
        <v>0</v>
      </c>
      <c r="BK52" s="854"/>
      <c r="BL52" s="854">
        <f t="shared" si="32"/>
        <v>0</v>
      </c>
      <c r="BM52" s="12"/>
      <c r="BN52" s="779" t="str">
        <f>IF(PP!L52="","",PP!L52)</f>
        <v/>
      </c>
      <c r="BO52" s="765" t="str">
        <f>IF(PP!M52="","",PP!M52)</f>
        <v>NARANJA</v>
      </c>
      <c r="BP52" s="755"/>
    </row>
    <row r="53" spans="1:68" ht="26.25" thickBot="1">
      <c r="A53" s="777" t="str">
        <f>IFERROR(INDEX($N$7:$N$55,_xlfn.AGGREGATE(15,6,(ROW($X$7:$X$55)-ROW($X$7)+1)/($X$7:$X$55&gt;0),ROWS($B$7:B53))),"")</f>
        <v/>
      </c>
      <c r="B53" s="777" t="str">
        <f>IFERROR(UPPER(INDEX($O$7:$Y$55,_xlfn.AGGREGATE(15,6,(ROW($X$7:$X$55)-ROW($X$7)+1)/($X$7:$X$55&gt;0),ROWS($B$7:B53)),1)),"")</f>
        <v/>
      </c>
      <c r="C53" s="774" t="str">
        <f>IFERROR(INDEX($O$7:$Y$55,_xlfn.AGGREGATE(15,6,(ROW($X$7:$X$55)-ROW($X$7)+1)/($X$7:$X$55&gt;0),ROWS($B$7:B53)),2),"")</f>
        <v/>
      </c>
      <c r="D53" s="766" t="str">
        <f>IFERROR(INDEX($O$7:$Y$55,_xlfn.AGGREGATE(15,6,(ROW($X$7:$X$55)-ROW($X$7)+1)/($X$7:$X$55&gt;0),ROWS($B$7:B53)),4),"")</f>
        <v/>
      </c>
      <c r="E53" s="774" t="str">
        <f t="shared" si="35"/>
        <v/>
      </c>
      <c r="F53" s="774" t="str">
        <f>IFERROR(INDEX($O$7:$Y$55,_xlfn.AGGREGATE(15,6,(ROW($X$7:$X$55)-ROW($X$7)+1)/($X$7:$X$55&gt;0),ROWS($B$7:B53)),6),"")</f>
        <v/>
      </c>
      <c r="G53" s="766" t="str">
        <f>IFERROR(INDEX($O$7:$Y$55,_xlfn.AGGREGATE(15,6,(ROW($X$7:$X$55)-ROW($X$7)+1)/($X$7:$X$55&gt;0),ROWS($B$7:B53)),8),"")</f>
        <v/>
      </c>
      <c r="H53" s="774" t="str">
        <f t="shared" si="36"/>
        <v/>
      </c>
      <c r="I53" s="766" t="str">
        <f>IFERROR(INDEX($O$7:$Y$55,_xlfn.AGGREGATE(15,6,(ROW($X$7:$X$55)-ROW($X$7)+1)/($X$7:$X$55&gt;0),ROWS($B$7:B53)),10),"")</f>
        <v/>
      </c>
      <c r="J53" s="774" t="str">
        <f t="shared" si="37"/>
        <v/>
      </c>
      <c r="K53" s="775" t="str">
        <f t="shared" si="38"/>
        <v/>
      </c>
      <c r="L53" s="775" t="str">
        <f t="shared" si="39"/>
        <v/>
      </c>
      <c r="M53" s="775" t="str">
        <f t="shared" si="40"/>
        <v/>
      </c>
      <c r="N53" s="767">
        <f>'ENV. PLACAS'!C52</f>
        <v>47</v>
      </c>
      <c r="O53" s="751" t="str">
        <f>IFERROR(UPPER('ENV. PLACAS'!D52),"")</f>
        <v>TENTACULO C/B S/V SR 2 UP KG/PZA</v>
      </c>
      <c r="P53" s="768">
        <f>'ENV. PLACAS'!AC52</f>
        <v>0</v>
      </c>
      <c r="Q53" s="768">
        <f>'ENV. PLACAS'!AD52</f>
        <v>0</v>
      </c>
      <c r="R53" s="751">
        <f>'ENV. PLACAS'!AE52</f>
        <v>0</v>
      </c>
      <c r="S53" s="751" t="str">
        <f t="shared" si="6"/>
        <v/>
      </c>
      <c r="T53" s="751">
        <f>SUMIF('RES-EN'!$D$6:$D$53,O53,'RES-EN'!$Q$6:$Q$53)</f>
        <v>0</v>
      </c>
      <c r="U53" s="751">
        <f>SUMIF('RES-EN'!$D$6:$D$53,O53,'RES-EN'!$R$6:$R$53)</f>
        <v>0</v>
      </c>
      <c r="V53" s="751">
        <f>SUMIF('RES-EN'!$D$6:$D$53,O53,'RES-EN'!$S$6:$S$53)</f>
        <v>0</v>
      </c>
      <c r="W53" s="751" t="str">
        <f t="shared" si="41"/>
        <v/>
      </c>
      <c r="X53" s="751">
        <f t="shared" si="8"/>
        <v>0</v>
      </c>
      <c r="Y53" s="751" t="str">
        <f t="shared" si="42"/>
        <v/>
      </c>
      <c r="Z53" s="105"/>
      <c r="AA53" s="769" t="str">
        <f>IFERROR(INDEX($N$7:$N$55,_xlfn.AGGREGATE(15,6,(ROW($O$7:$O$55)-ROW($O$7)+1)/(((MOD($R$7:$R$55,$B$3)&gt;0)+(MOD($V$7:$V$55,$B$3)&gt;0))&gt;0),ROWS($AA$7:AA53))),"")</f>
        <v/>
      </c>
      <c r="AB53" s="770" t="str">
        <f t="shared" si="43"/>
        <v/>
      </c>
      <c r="AC53" s="771" t="str">
        <f t="shared" si="44"/>
        <v/>
      </c>
      <c r="AD53" s="771" t="str">
        <f t="shared" si="45"/>
        <v/>
      </c>
      <c r="AE53" s="772" t="str">
        <f t="shared" si="46"/>
        <v/>
      </c>
      <c r="AF53" s="105"/>
      <c r="AG53" s="898" t="str">
        <f t="shared" si="47"/>
        <v/>
      </c>
      <c r="AH53" s="899" t="str">
        <f t="shared" si="48"/>
        <v/>
      </c>
      <c r="AI53" s="900" t="str">
        <f t="shared" si="49"/>
        <v/>
      </c>
      <c r="AJ53" s="900" t="str">
        <f t="shared" si="50"/>
        <v/>
      </c>
      <c r="AK53" s="901"/>
      <c r="AL53" s="901"/>
      <c r="AM53" s="902" t="str">
        <f t="shared" si="51"/>
        <v/>
      </c>
      <c r="AN53" s="902" t="str">
        <f t="shared" si="52"/>
        <v/>
      </c>
      <c r="AO53" s="902" t="str">
        <f t="shared" si="53"/>
        <v/>
      </c>
      <c r="AP53" s="900" t="str">
        <f t="shared" si="54"/>
        <v/>
      </c>
      <c r="AQ53" s="902" t="str">
        <f t="shared" si="55"/>
        <v/>
      </c>
      <c r="AR53" s="900" t="str">
        <f t="shared" si="56"/>
        <v/>
      </c>
      <c r="AS53" s="902" t="str">
        <f t="shared" si="57"/>
        <v/>
      </c>
      <c r="AT53" s="902" t="str">
        <f t="shared" si="58"/>
        <v/>
      </c>
      <c r="AU53" s="902" t="str">
        <f t="shared" si="59"/>
        <v/>
      </c>
      <c r="AV53" s="903" t="str">
        <f t="shared" si="60"/>
        <v/>
      </c>
      <c r="AW53" s="105"/>
      <c r="AX53" s="105"/>
      <c r="AY53" s="105"/>
      <c r="AZ53" s="105"/>
      <c r="BA53" s="105"/>
      <c r="BB53" s="843">
        <f>IF(PP!B53="","",PP!B53)</f>
        <v>30</v>
      </c>
      <c r="BC53" s="2882" t="str">
        <f>IF(PP!C53="","",PP!C53)</f>
        <v>NUCA C/C ABIERTO 1.0 - UP kg/pza</v>
      </c>
      <c r="BD53" s="2883"/>
      <c r="BE53" s="848">
        <f t="shared" si="33"/>
        <v>0</v>
      </c>
      <c r="BF53" s="853">
        <f t="shared" si="28"/>
        <v>0</v>
      </c>
      <c r="BG53" s="846">
        <f t="shared" si="29"/>
        <v>0</v>
      </c>
      <c r="BH53" s="943">
        <f t="shared" si="30"/>
        <v>0</v>
      </c>
      <c r="BI53" s="849">
        <f t="shared" si="34"/>
        <v>0</v>
      </c>
      <c r="BJ53" s="849">
        <f t="shared" si="31"/>
        <v>0</v>
      </c>
      <c r="BK53" s="854"/>
      <c r="BL53" s="854">
        <f t="shared" si="32"/>
        <v>0</v>
      </c>
      <c r="BM53" s="8"/>
      <c r="BN53" s="779" t="str">
        <f>IF(PP!L53="","",PP!L53)</f>
        <v/>
      </c>
      <c r="BO53" s="765" t="str">
        <f>IF(PP!M53="","",PP!M53)</f>
        <v>ROSADO</v>
      </c>
      <c r="BP53" s="755"/>
    </row>
    <row r="54" spans="1:68" ht="25.5">
      <c r="A54" s="777" t="str">
        <f>IFERROR(INDEX($N$7:$N$55,_xlfn.AGGREGATE(15,6,(ROW($X$7:$X$55)-ROW($X$7)+1)/($X$7:$X$55&gt;0),ROWS($B$7:B54))),"")</f>
        <v/>
      </c>
      <c r="B54" s="777" t="str">
        <f>IFERROR(UPPER(INDEX($O$7:$Y$55,_xlfn.AGGREGATE(15,6,(ROW($X$7:$X$55)-ROW($X$7)+1)/($X$7:$X$55&gt;0),ROWS($B$7:B54)),1)),"")</f>
        <v/>
      </c>
      <c r="C54" s="774" t="str">
        <f>IFERROR(INDEX($O$7:$Y$55,_xlfn.AGGREGATE(15,6,(ROW($X$7:$X$55)-ROW($X$7)+1)/($X$7:$X$55&gt;0),ROWS($B$7:B54)),2),"")</f>
        <v/>
      </c>
      <c r="D54" s="766" t="str">
        <f>IFERROR(INDEX($O$7:$Y$55,_xlfn.AGGREGATE(15,6,(ROW($X$7:$X$55)-ROW($X$7)+1)/($X$7:$X$55&gt;0),ROWS($B$7:B54)),4),"")</f>
        <v/>
      </c>
      <c r="E54" s="774" t="str">
        <f t="shared" si="35"/>
        <v/>
      </c>
      <c r="F54" s="774" t="str">
        <f>IFERROR(INDEX($O$7:$Y$55,_xlfn.AGGREGATE(15,6,(ROW($X$7:$X$55)-ROW($X$7)+1)/($X$7:$X$55&gt;0),ROWS($B$7:B54)),6),"")</f>
        <v/>
      </c>
      <c r="G54" s="766" t="str">
        <f>IFERROR(INDEX($O$7:$Y$55,_xlfn.AGGREGATE(15,6,(ROW($X$7:$X$55)-ROW($X$7)+1)/($X$7:$X$55&gt;0),ROWS($B$7:B54)),8),"")</f>
        <v/>
      </c>
      <c r="H54" s="774" t="str">
        <f t="shared" si="36"/>
        <v/>
      </c>
      <c r="I54" s="766" t="str">
        <f>IFERROR(INDEX($O$7:$Y$55,_xlfn.AGGREGATE(15,6,(ROW($X$7:$X$55)-ROW($X$7)+1)/($X$7:$X$55&gt;0),ROWS($B$7:B54)),10),"")</f>
        <v/>
      </c>
      <c r="J54" s="774" t="str">
        <f t="shared" si="37"/>
        <v/>
      </c>
      <c r="K54" s="775" t="str">
        <f t="shared" si="38"/>
        <v/>
      </c>
      <c r="L54" s="775" t="str">
        <f t="shared" si="39"/>
        <v/>
      </c>
      <c r="M54" s="775" t="str">
        <f t="shared" si="40"/>
        <v/>
      </c>
      <c r="N54" s="767">
        <f>'ENV. PLACAS'!C53</f>
        <v>48</v>
      </c>
      <c r="O54" s="751" t="str">
        <f>IFERROR(UPPER('ENV. PLACAS'!D53),"")</f>
        <v>TUBO ALETA 500-1000 G/PZA</v>
      </c>
      <c r="P54" s="768">
        <f>'ENV. PLACAS'!AC53</f>
        <v>0</v>
      </c>
      <c r="Q54" s="768">
        <f>'ENV. PLACAS'!AD53</f>
        <v>0</v>
      </c>
      <c r="R54" s="751">
        <f>'ENV. PLACAS'!AE53</f>
        <v>0</v>
      </c>
      <c r="S54" s="751" t="str">
        <f t="shared" si="6"/>
        <v/>
      </c>
      <c r="T54" s="751">
        <f>SUMIF('RES-EN'!$D$6:$D$53,O54,'RES-EN'!$Q$6:$Q$53)</f>
        <v>0</v>
      </c>
      <c r="U54" s="751">
        <f>SUMIF('RES-EN'!$D$6:$D$53,O54,'RES-EN'!$R$6:$R$53)</f>
        <v>0</v>
      </c>
      <c r="V54" s="751">
        <f>SUMIF('RES-EN'!$D$6:$D$53,O54,'RES-EN'!$S$6:$S$53)</f>
        <v>0</v>
      </c>
      <c r="W54" s="751" t="str">
        <f t="shared" si="41"/>
        <v/>
      </c>
      <c r="X54" s="751">
        <f t="shared" si="8"/>
        <v>0</v>
      </c>
      <c r="Y54" s="751" t="str">
        <f t="shared" si="42"/>
        <v/>
      </c>
      <c r="Z54" s="105"/>
      <c r="AA54" s="769" t="str">
        <f>IFERROR(INDEX($N$7:$N$55,_xlfn.AGGREGATE(15,6,(ROW($O$7:$O$55)-ROW($O$7)+1)/(((MOD($R$7:$R$55,$B$3)&gt;0)+(MOD($V$7:$V$55,$B$3)&gt;0))&gt;0),ROWS($AA$7:AA54))),"")</f>
        <v/>
      </c>
      <c r="AB54" s="770" t="str">
        <f t="shared" si="43"/>
        <v/>
      </c>
      <c r="AC54" s="771" t="str">
        <f t="shared" si="44"/>
        <v/>
      </c>
      <c r="AD54" s="771" t="str">
        <f t="shared" si="45"/>
        <v/>
      </c>
      <c r="AE54" s="772" t="str">
        <f t="shared" si="46"/>
        <v/>
      </c>
      <c r="AF54" s="105"/>
      <c r="AG54" s="898" t="str">
        <f t="shared" si="47"/>
        <v/>
      </c>
      <c r="AH54" s="899" t="str">
        <f t="shared" si="48"/>
        <v/>
      </c>
      <c r="AI54" s="900" t="str">
        <f t="shared" si="49"/>
        <v/>
      </c>
      <c r="AJ54" s="900" t="str">
        <f t="shared" si="50"/>
        <v/>
      </c>
      <c r="AK54" s="901"/>
      <c r="AL54" s="901"/>
      <c r="AM54" s="902" t="str">
        <f t="shared" si="51"/>
        <v/>
      </c>
      <c r="AN54" s="902" t="str">
        <f t="shared" si="52"/>
        <v/>
      </c>
      <c r="AO54" s="902" t="str">
        <f t="shared" si="53"/>
        <v/>
      </c>
      <c r="AP54" s="900" t="str">
        <f t="shared" si="54"/>
        <v/>
      </c>
      <c r="AQ54" s="902" t="str">
        <f t="shared" si="55"/>
        <v/>
      </c>
      <c r="AR54" s="900" t="str">
        <f t="shared" si="56"/>
        <v/>
      </c>
      <c r="AS54" s="902" t="str">
        <f t="shared" si="57"/>
        <v/>
      </c>
      <c r="AT54" s="902" t="str">
        <f t="shared" si="58"/>
        <v/>
      </c>
      <c r="AU54" s="902" t="str">
        <f t="shared" si="59"/>
        <v/>
      </c>
      <c r="AV54" s="903" t="str">
        <f t="shared" si="60"/>
        <v/>
      </c>
      <c r="AW54" s="105"/>
      <c r="AX54" s="105"/>
      <c r="AY54" s="105"/>
      <c r="AZ54" s="105"/>
      <c r="BA54" s="105"/>
      <c r="BB54" s="839">
        <f>IF(PP!B54="","",PP!B54)</f>
        <v>31</v>
      </c>
      <c r="BC54" s="2878" t="str">
        <f>IF(PP!C54="","",PP!C54)</f>
        <v>RECORTE BLANCO SM ST</v>
      </c>
      <c r="BD54" s="2879"/>
      <c r="BE54" s="840">
        <f t="shared" si="33"/>
        <v>0</v>
      </c>
      <c r="BF54" s="851">
        <f t="shared" si="28"/>
        <v>0</v>
      </c>
      <c r="BG54" s="842">
        <f t="shared" si="29"/>
        <v>0</v>
      </c>
      <c r="BH54" s="942">
        <f t="shared" si="30"/>
        <v>0</v>
      </c>
      <c r="BI54" s="841">
        <f t="shared" si="34"/>
        <v>0</v>
      </c>
      <c r="BJ54" s="841">
        <f t="shared" si="31"/>
        <v>0</v>
      </c>
      <c r="BK54" s="852"/>
      <c r="BL54" s="852">
        <f t="shared" si="32"/>
        <v>0</v>
      </c>
      <c r="BM54" s="8"/>
      <c r="BN54" s="779" t="str">
        <f>IF(PP!L54="","",PP!L54)</f>
        <v/>
      </c>
      <c r="BO54" s="765" t="str">
        <f>IF(PP!M54="","",PP!M54)</f>
        <v>CRISTAL</v>
      </c>
      <c r="BP54" s="755"/>
    </row>
    <row r="55" spans="1:68" ht="26.25" thickBot="1">
      <c r="A55" s="777" t="str">
        <f>IFERROR(INDEX($N$7:$N$55,_xlfn.AGGREGATE(15,6,(ROW($X$7:$X$55)-ROW($X$7)+1)/($X$7:$X$55&gt;0),ROWS($B$7:B55))),"")</f>
        <v/>
      </c>
      <c r="B55" s="777" t="str">
        <f>IFERROR(UPPER(INDEX($O$7:$Y$55,_xlfn.AGGREGATE(15,6,(ROW($X$7:$X$55)-ROW($X$7)+1)/($X$7:$X$55&gt;0),ROWS($B$7:B55)),1)),"")</f>
        <v/>
      </c>
      <c r="C55" s="774" t="str">
        <f>IFERROR(INDEX($O$7:$Y$55,_xlfn.AGGREGATE(15,6,(ROW($X$7:$X$55)-ROW($X$7)+1)/($X$7:$X$55&gt;0),ROWS($B$7:B55)),2),"")</f>
        <v/>
      </c>
      <c r="D55" s="766" t="str">
        <f>IFERROR(INDEX($O$7:$Y$55,_xlfn.AGGREGATE(15,6,(ROW($X$7:$X$55)-ROW($X$7)+1)/($X$7:$X$55&gt;0),ROWS($B$7:B55)),4),"")</f>
        <v/>
      </c>
      <c r="E55" s="774" t="str">
        <f t="shared" si="35"/>
        <v/>
      </c>
      <c r="F55" s="774" t="str">
        <f>IFERROR(INDEX($O$7:$Y$55,_xlfn.AGGREGATE(15,6,(ROW($X$7:$X$55)-ROW($X$7)+1)/($X$7:$X$55&gt;0),ROWS($B$7:B55)),6),"")</f>
        <v/>
      </c>
      <c r="G55" s="766" t="str">
        <f>IFERROR(INDEX($O$7:$Y$55,_xlfn.AGGREGATE(15,6,(ROW($X$7:$X$55)-ROW($X$7)+1)/($X$7:$X$55&gt;0),ROWS($B$7:B55)),8),"")</f>
        <v/>
      </c>
      <c r="H55" s="774" t="str">
        <f t="shared" si="36"/>
        <v/>
      </c>
      <c r="I55" s="766" t="str">
        <f>IFERROR(INDEX($O$7:$Y$55,_xlfn.AGGREGATE(15,6,(ROW($X$7:$X$55)-ROW($X$7)+1)/($X$7:$X$55&gt;0),ROWS($B$7:B55)),10),"")</f>
        <v/>
      </c>
      <c r="J55" s="774" t="str">
        <f t="shared" si="37"/>
        <v/>
      </c>
      <c r="K55" s="775" t="str">
        <f t="shared" si="38"/>
        <v/>
      </c>
      <c r="L55" s="775" t="str">
        <f t="shared" si="39"/>
        <v/>
      </c>
      <c r="M55" s="775" t="str">
        <f t="shared" si="40"/>
        <v/>
      </c>
      <c r="N55" s="767">
        <f>'RES-EN'!C6</f>
        <v>1</v>
      </c>
      <c r="O55" s="751" t="str">
        <f>IF(COUNTIF('ENV. PLACAS'!$D$6:$D$53,'RES-EN'!D6)=0,UPPER('RES-EN'!D6),"")</f>
        <v/>
      </c>
      <c r="P55" s="751">
        <f>0</f>
        <v>0</v>
      </c>
      <c r="Q55" s="751">
        <f>0</f>
        <v>0</v>
      </c>
      <c r="R55" s="751">
        <f>0</f>
        <v>0</v>
      </c>
      <c r="S55" s="751" t="str">
        <f>""</f>
        <v/>
      </c>
      <c r="T55" s="751">
        <f>IF(O55&lt;&gt;"",'RES-EN'!Q6,0)</f>
        <v>0</v>
      </c>
      <c r="U55" s="751">
        <f>IF(O55&lt;&gt;"",'RES-EN'!R6,0)</f>
        <v>0</v>
      </c>
      <c r="V55" s="751">
        <f>IF(O55&lt;&gt;"",'RES-EN'!S6,0)</f>
        <v>0</v>
      </c>
      <c r="W55" s="751" t="str">
        <f t="shared" si="41"/>
        <v/>
      </c>
      <c r="X55" s="751">
        <f>IF(O55&lt;&gt;"",SUM(R55,V55),0)</f>
        <v>0</v>
      </c>
      <c r="Y55" s="751" t="str">
        <f t="shared" si="42"/>
        <v/>
      </c>
      <c r="Z55" s="105"/>
      <c r="AA55" s="780" t="str">
        <f>IFERROR(INDEX($N$7:$N$55,_xlfn.AGGREGATE(15,6,(ROW($O$7:$O$55)-ROW($O$7)+1)/(((MOD($R$7:$R$55,$B$3)&gt;0)+(MOD($V$7:$V$55,$B$3)&gt;0))&gt;0),ROWS($AA$7:AA55))),"")</f>
        <v/>
      </c>
      <c r="AB55" s="781" t="str">
        <f t="shared" si="43"/>
        <v/>
      </c>
      <c r="AC55" s="782" t="str">
        <f t="shared" si="44"/>
        <v/>
      </c>
      <c r="AD55" s="782" t="str">
        <f t="shared" si="45"/>
        <v/>
      </c>
      <c r="AE55" s="783" t="str">
        <f t="shared" si="46"/>
        <v/>
      </c>
      <c r="AF55" s="105"/>
      <c r="AG55" s="904" t="str">
        <f t="shared" si="47"/>
        <v/>
      </c>
      <c r="AH55" s="905" t="str">
        <f t="shared" si="48"/>
        <v/>
      </c>
      <c r="AI55" s="906" t="str">
        <f t="shared" si="49"/>
        <v/>
      </c>
      <c r="AJ55" s="906" t="str">
        <f t="shared" si="50"/>
        <v/>
      </c>
      <c r="AK55" s="907"/>
      <c r="AL55" s="907"/>
      <c r="AM55" s="908" t="str">
        <f t="shared" si="51"/>
        <v/>
      </c>
      <c r="AN55" s="908" t="str">
        <f t="shared" si="52"/>
        <v/>
      </c>
      <c r="AO55" s="908" t="str">
        <f t="shared" si="53"/>
        <v/>
      </c>
      <c r="AP55" s="906" t="str">
        <f t="shared" si="54"/>
        <v/>
      </c>
      <c r="AQ55" s="908" t="str">
        <f t="shared" si="55"/>
        <v/>
      </c>
      <c r="AR55" s="906" t="str">
        <f t="shared" si="56"/>
        <v/>
      </c>
      <c r="AS55" s="908" t="str">
        <f t="shared" si="57"/>
        <v/>
      </c>
      <c r="AT55" s="908" t="str">
        <f t="shared" si="58"/>
        <v/>
      </c>
      <c r="AU55" s="908" t="str">
        <f t="shared" si="59"/>
        <v/>
      </c>
      <c r="AV55" s="909" t="str">
        <f t="shared" si="60"/>
        <v/>
      </c>
      <c r="AW55" s="105"/>
      <c r="AX55" s="105"/>
      <c r="AY55" s="105"/>
      <c r="AZ55" s="105"/>
      <c r="BA55" s="105"/>
      <c r="BB55" s="843">
        <f>IF(PP!B55="","",PP!B55)</f>
        <v>32</v>
      </c>
      <c r="BC55" s="2880" t="str">
        <f>IF(PP!C55="","",PP!C55)</f>
        <v>RECORTE AMARILLO SM ST</v>
      </c>
      <c r="BD55" s="2881"/>
      <c r="BE55" s="844">
        <f t="shared" si="33"/>
        <v>0</v>
      </c>
      <c r="BF55" s="853">
        <f t="shared" si="28"/>
        <v>0</v>
      </c>
      <c r="BG55" s="846">
        <f t="shared" si="29"/>
        <v>0</v>
      </c>
      <c r="BH55" s="943">
        <f t="shared" si="30"/>
        <v>0</v>
      </c>
      <c r="BI55" s="845">
        <f t="shared" si="34"/>
        <v>0</v>
      </c>
      <c r="BJ55" s="845">
        <f t="shared" si="31"/>
        <v>0</v>
      </c>
      <c r="BK55" s="854"/>
      <c r="BL55" s="854">
        <f t="shared" si="32"/>
        <v>0</v>
      </c>
      <c r="BM55" s="8"/>
      <c r="BN55" s="779" t="str">
        <f>IF(PP!L55="","",PP!L55)</f>
        <v/>
      </c>
      <c r="BO55" s="765" t="str">
        <f>IF(PP!M55="","",PP!M55)</f>
        <v>ROJO</v>
      </c>
      <c r="BP55" s="755"/>
    </row>
    <row r="56" spans="1:68" ht="27" thickTop="1" thickBot="1">
      <c r="A56" s="784"/>
      <c r="B56" s="784"/>
      <c r="C56" s="784"/>
      <c r="D56" s="784"/>
      <c r="E56" s="784"/>
      <c r="F56" s="784"/>
      <c r="G56" s="784"/>
      <c r="H56" s="784"/>
      <c r="I56" s="784"/>
      <c r="J56" s="784"/>
      <c r="AG56" s="910" t="s">
        <v>3</v>
      </c>
      <c r="AH56" s="911" t="s">
        <v>566</v>
      </c>
      <c r="AI56" s="912">
        <f t="shared" ref="AI56:AU56" si="61">SUM(AI7:AI55)</f>
        <v>0</v>
      </c>
      <c r="AJ56" s="912">
        <f t="shared" si="61"/>
        <v>0</v>
      </c>
      <c r="AK56" s="912">
        <f t="shared" si="61"/>
        <v>0</v>
      </c>
      <c r="AL56" s="912">
        <f t="shared" si="61"/>
        <v>0</v>
      </c>
      <c r="AM56" s="913">
        <f t="shared" si="61"/>
        <v>0</v>
      </c>
      <c r="AN56" s="913">
        <f t="shared" si="61"/>
        <v>0</v>
      </c>
      <c r="AO56" s="913">
        <f t="shared" si="61"/>
        <v>0</v>
      </c>
      <c r="AP56" s="912">
        <f t="shared" si="61"/>
        <v>0</v>
      </c>
      <c r="AQ56" s="913">
        <f t="shared" si="61"/>
        <v>0</v>
      </c>
      <c r="AR56" s="912">
        <f t="shared" si="61"/>
        <v>0</v>
      </c>
      <c r="AS56" s="913">
        <f t="shared" si="61"/>
        <v>0</v>
      </c>
      <c r="AT56" s="913">
        <f t="shared" si="61"/>
        <v>0</v>
      </c>
      <c r="AU56" s="913">
        <f t="shared" si="61"/>
        <v>0</v>
      </c>
      <c r="AV56" s="910" t="str">
        <f>IF(OR(AP56&gt;0,AR56&gt;0),"SALDO SOBRANTE","SACOS COMPLETOS")</f>
        <v>SACOS COMPLETOS</v>
      </c>
      <c r="BB56" s="843">
        <f>IF(PP!B56="","",PP!B56)</f>
        <v>33</v>
      </c>
      <c r="BC56" s="2882" t="str">
        <f>IF(PP!C56="","",PP!C56)</f>
        <v>RECORTE PRECOCIDO</v>
      </c>
      <c r="BD56" s="2883"/>
      <c r="BE56" s="844">
        <f t="shared" si="33"/>
        <v>0</v>
      </c>
      <c r="BF56" s="853">
        <f t="shared" si="28"/>
        <v>0</v>
      </c>
      <c r="BG56" s="846">
        <f t="shared" si="29"/>
        <v>0</v>
      </c>
      <c r="BH56" s="943">
        <f t="shared" si="30"/>
        <v>0</v>
      </c>
      <c r="BI56" s="849">
        <f t="shared" ref="BI56:BI71" si="62">IF($BC56="","",IFERROR(INDEX($AP$7:$AP$55,MATCH($BB56,$AG$7:$AG$55,0))+INDEX($AR$7:$AR$55,MATCH($BB56,$AG$7:$AG$55,0)),IFERROR(MOD(N(INDEX($R$7:$R$55,MATCH($BB56,$N$7:$N$55,0))),$B$3)+MOD(N(INDEX($V$7:$V$55,MATCH($BB56,$N$7:$N$55,0))),$B$3),0)))</f>
        <v>0</v>
      </c>
      <c r="BJ56" s="849"/>
      <c r="BK56" s="854"/>
      <c r="BL56" s="854">
        <f t="shared" si="32"/>
        <v>0</v>
      </c>
      <c r="BM56" s="8"/>
      <c r="BN56" s="779" t="str">
        <f>IF(PP!L56="","",PP!L56)</f>
        <v/>
      </c>
      <c r="BO56" s="765" t="str">
        <f>IF(PP!M56="","",PP!M56)</f>
        <v>LILA</v>
      </c>
      <c r="BP56" s="755"/>
    </row>
    <row r="57" spans="1:68" ht="24" thickTop="1">
      <c r="A57" s="784"/>
      <c r="B57" s="784"/>
      <c r="C57" s="784"/>
      <c r="D57" s="784"/>
      <c r="E57" s="784"/>
      <c r="F57" s="784"/>
      <c r="G57" s="784"/>
      <c r="H57" s="784"/>
      <c r="I57" s="784"/>
      <c r="J57" s="784"/>
      <c r="AG57" s="2874"/>
      <c r="AH57" s="2874"/>
      <c r="AI57" s="2874"/>
      <c r="AJ57" s="2874"/>
      <c r="AK57" s="2874"/>
      <c r="AL57" s="2874"/>
      <c r="AM57" s="2874"/>
      <c r="AN57" s="2874"/>
      <c r="AO57" s="2874"/>
      <c r="AP57" s="2874"/>
      <c r="AQ57" s="2874"/>
      <c r="AR57" s="2874"/>
      <c r="AS57" s="2874"/>
      <c r="AT57" s="2874"/>
      <c r="AU57" s="2874"/>
      <c r="AV57" s="2874"/>
      <c r="BB57" s="839">
        <f>IF(PP!B57="","",PP!B57)</f>
        <v>34</v>
      </c>
      <c r="BC57" s="2878" t="str">
        <f>IF(PP!C57="","",PP!C57)</f>
        <v>REPRODUCTORES SV, PEQUEÑO</v>
      </c>
      <c r="BD57" s="2879"/>
      <c r="BE57" s="861">
        <f t="shared" si="33"/>
        <v>0</v>
      </c>
      <c r="BF57" s="841">
        <f t="shared" si="28"/>
        <v>0</v>
      </c>
      <c r="BG57" s="842">
        <f t="shared" si="29"/>
        <v>0</v>
      </c>
      <c r="BH57" s="942">
        <f t="shared" si="30"/>
        <v>0</v>
      </c>
      <c r="BI57" s="841">
        <f t="shared" si="62"/>
        <v>0</v>
      </c>
      <c r="BJ57" s="841"/>
      <c r="BK57" s="852"/>
      <c r="BL57" s="852">
        <f t="shared" si="32"/>
        <v>0</v>
      </c>
      <c r="BM57" s="8"/>
      <c r="BN57" s="779" t="str">
        <f>IF(PP!L57="","",PP!L57)</f>
        <v/>
      </c>
      <c r="BO57" s="765" t="str">
        <f>IF(PP!M57="","",PP!M57)</f>
        <v>CREMA</v>
      </c>
      <c r="BP57" s="755"/>
    </row>
    <row r="58" spans="1:68" ht="24" thickBot="1">
      <c r="BB58" s="843">
        <f>IF(PP!B58="","",PP!B58)</f>
        <v>35</v>
      </c>
      <c r="BC58" s="2882" t="str">
        <f>IF(PP!C58="","",PP!C58)</f>
        <v>REPRODUCTOR SV GRANDE</v>
      </c>
      <c r="BD58" s="2883"/>
      <c r="BE58" s="862">
        <f t="shared" si="33"/>
        <v>0</v>
      </c>
      <c r="BF58" s="849">
        <f t="shared" si="28"/>
        <v>0</v>
      </c>
      <c r="BG58" s="850">
        <f t="shared" si="29"/>
        <v>0</v>
      </c>
      <c r="BH58" s="944">
        <f t="shared" si="30"/>
        <v>0</v>
      </c>
      <c r="BI58" s="849">
        <f t="shared" si="62"/>
        <v>0</v>
      </c>
      <c r="BJ58" s="849"/>
      <c r="BK58" s="856"/>
      <c r="BL58" s="856">
        <f t="shared" si="32"/>
        <v>0</v>
      </c>
      <c r="BM58" s="8"/>
      <c r="BN58" s="779" t="str">
        <f>IF(PP!L58="","",PP!L58)</f>
        <v/>
      </c>
      <c r="BO58" s="765" t="str">
        <f>IF(PP!M58="","",PP!M58)</f>
        <v>AZUL</v>
      </c>
      <c r="BP58" s="755"/>
    </row>
    <row r="59" spans="1:68" ht="24" thickBot="1">
      <c r="BB59" s="815">
        <f>IF(PP!B59="","",PP!B59)</f>
        <v>36</v>
      </c>
      <c r="BC59" s="2886" t="str">
        <f>IF(PP!C59="","",PP!C59)</f>
        <v>TUBO ALETA 1.0-2.0 Kg/pza</v>
      </c>
      <c r="BD59" s="2887"/>
      <c r="BE59" s="857">
        <f t="shared" si="33"/>
        <v>0</v>
      </c>
      <c r="BF59" s="859">
        <f t="shared" si="28"/>
        <v>0</v>
      </c>
      <c r="BG59" s="863">
        <f t="shared" si="29"/>
        <v>0</v>
      </c>
      <c r="BH59" s="945">
        <f t="shared" si="30"/>
        <v>0</v>
      </c>
      <c r="BI59" s="859">
        <f t="shared" si="62"/>
        <v>0</v>
      </c>
      <c r="BJ59" s="859"/>
      <c r="BK59" s="858"/>
      <c r="BL59" s="859">
        <f t="shared" si="32"/>
        <v>0</v>
      </c>
      <c r="BM59" s="12"/>
      <c r="BN59" s="779" t="str">
        <f>IF(PP!L59="","",PP!L59)</f>
        <v/>
      </c>
      <c r="BO59" s="765" t="str">
        <f>IF(PP!M59="","",PP!M59)</f>
        <v/>
      </c>
      <c r="BP59" s="755"/>
    </row>
    <row r="60" spans="1:68" ht="23.25">
      <c r="BB60" s="839">
        <f>IF(PP!B60="","",PP!B60)</f>
        <v>37</v>
      </c>
      <c r="BC60" s="2878" t="str">
        <f>IF(PP!C60="","",PP!C60)</f>
        <v>TENTACULO C/B C/V SR 100-300 g/pza (SUCIO)</v>
      </c>
      <c r="BD60" s="2879"/>
      <c r="BE60" s="844">
        <f t="shared" si="33"/>
        <v>0</v>
      </c>
      <c r="BF60" s="845">
        <f t="shared" si="28"/>
        <v>0</v>
      </c>
      <c r="BG60" s="846">
        <f t="shared" si="29"/>
        <v>0</v>
      </c>
      <c r="BH60" s="943">
        <f t="shared" si="30"/>
        <v>0</v>
      </c>
      <c r="BI60" s="845">
        <f t="shared" si="62"/>
        <v>0</v>
      </c>
      <c r="BJ60" s="845"/>
      <c r="BK60" s="853"/>
      <c r="BL60" s="845">
        <f t="shared" si="32"/>
        <v>0</v>
      </c>
      <c r="BM60" s="8"/>
      <c r="BN60" s="779" t="str">
        <f>IF(PP!L60="","",PP!L60)</f>
        <v/>
      </c>
      <c r="BO60" s="765" t="str">
        <f>IF(PP!M60="","",PP!M60)</f>
        <v>VERDE</v>
      </c>
      <c r="BP60" s="755"/>
    </row>
    <row r="61" spans="1:68" ht="23.25">
      <c r="BB61" s="843">
        <f>IF(PP!B61="","",PP!B61)</f>
        <v>38</v>
      </c>
      <c r="BC61" s="2880" t="str">
        <f>IF(PP!C61="","",PP!C61)</f>
        <v>TENTACULO C/B C/V SR 300-500 g/pza (SUCIO)</v>
      </c>
      <c r="BD61" s="2881"/>
      <c r="BE61" s="844">
        <f t="shared" si="33"/>
        <v>0</v>
      </c>
      <c r="BF61" s="845">
        <f t="shared" si="28"/>
        <v>0</v>
      </c>
      <c r="BG61" s="846">
        <f t="shared" si="29"/>
        <v>0</v>
      </c>
      <c r="BH61" s="943">
        <f t="shared" si="30"/>
        <v>0</v>
      </c>
      <c r="BI61" s="845">
        <f t="shared" si="62"/>
        <v>0</v>
      </c>
      <c r="BJ61" s="845"/>
      <c r="BK61" s="853"/>
      <c r="BL61" s="845">
        <f t="shared" si="32"/>
        <v>0</v>
      </c>
      <c r="BM61" s="8"/>
      <c r="BN61" s="779" t="str">
        <f>IF(PP!L61="","",PP!L61)</f>
        <v/>
      </c>
      <c r="BO61" s="765" t="str">
        <f>IF(PP!M61="","",PP!M61)</f>
        <v>VERDE</v>
      </c>
      <c r="BP61" s="755"/>
    </row>
    <row r="62" spans="1:68" ht="23.25">
      <c r="BB62" s="843">
        <f>IF(PP!B62="","",PP!B62)</f>
        <v>39</v>
      </c>
      <c r="BC62" s="2880" t="str">
        <f>IF(PP!C62="","",PP!C62)</f>
        <v>TENTACULO C/B S/V SR 100-300 g/pza</v>
      </c>
      <c r="BD62" s="2881"/>
      <c r="BE62" s="844">
        <f t="shared" si="33"/>
        <v>0</v>
      </c>
      <c r="BF62" s="845">
        <f t="shared" si="28"/>
        <v>0</v>
      </c>
      <c r="BG62" s="846">
        <f t="shared" si="29"/>
        <v>0</v>
      </c>
      <c r="BH62" s="943">
        <f t="shared" si="30"/>
        <v>0</v>
      </c>
      <c r="BI62" s="845">
        <f t="shared" si="62"/>
        <v>0</v>
      </c>
      <c r="BJ62" s="845"/>
      <c r="BK62" s="853"/>
      <c r="BL62" s="845">
        <f t="shared" si="32"/>
        <v>0</v>
      </c>
      <c r="BM62" s="8"/>
      <c r="BN62" s="779" t="str">
        <f>IF(PP!L62="","",PP!L62)</f>
        <v/>
      </c>
      <c r="BO62" s="765" t="str">
        <f>IF(PP!M62="","",PP!M62)</f>
        <v>VERDE</v>
      </c>
      <c r="BP62" s="755"/>
    </row>
    <row r="63" spans="1:68" ht="23.25">
      <c r="BB63" s="843">
        <f>IF(PP!B63="","",PP!B63)</f>
        <v>40</v>
      </c>
      <c r="BC63" s="2880" t="str">
        <f>IF(PP!C63="","",PP!C63)</f>
        <v>TENTACULO C/B C/V SR 100-500 g/pza (SUCIO)</v>
      </c>
      <c r="BD63" s="2881"/>
      <c r="BE63" s="844">
        <f t="shared" si="33"/>
        <v>0</v>
      </c>
      <c r="BF63" s="845">
        <f t="shared" si="28"/>
        <v>0</v>
      </c>
      <c r="BG63" s="846">
        <f t="shared" si="29"/>
        <v>0</v>
      </c>
      <c r="BH63" s="943">
        <f t="shared" si="30"/>
        <v>0</v>
      </c>
      <c r="BI63" s="845">
        <f t="shared" si="62"/>
        <v>0</v>
      </c>
      <c r="BJ63" s="845"/>
      <c r="BK63" s="853"/>
      <c r="BL63" s="845">
        <f t="shared" si="32"/>
        <v>0</v>
      </c>
      <c r="BM63" s="8"/>
      <c r="BN63" s="779" t="str">
        <f>IF(PP!L63="","",PP!L63)</f>
        <v/>
      </c>
      <c r="BO63" s="765" t="str">
        <f>IF(PP!M63="","",PP!M63)</f>
        <v>VERDE</v>
      </c>
      <c r="BP63" s="755"/>
    </row>
    <row r="64" spans="1:68" ht="23.25">
      <c r="BB64" s="843">
        <f>IF(PP!B64="","",PP!B64)</f>
        <v>41</v>
      </c>
      <c r="BC64" s="2880" t="str">
        <f>IF(PP!C64="","",PP!C64)</f>
        <v>TENTACULO C/B S/V SR 100-500 g/pza</v>
      </c>
      <c r="BD64" s="2881"/>
      <c r="BE64" s="844">
        <f t="shared" si="33"/>
        <v>0</v>
      </c>
      <c r="BF64" s="845">
        <f t="shared" si="28"/>
        <v>0</v>
      </c>
      <c r="BG64" s="846">
        <f t="shared" si="29"/>
        <v>0</v>
      </c>
      <c r="BH64" s="943">
        <f t="shared" si="30"/>
        <v>0</v>
      </c>
      <c r="BI64" s="845">
        <f t="shared" si="62"/>
        <v>0</v>
      </c>
      <c r="BJ64" s="845"/>
      <c r="BK64" s="853"/>
      <c r="BL64" s="845">
        <f t="shared" si="32"/>
        <v>0</v>
      </c>
      <c r="BM64" s="8"/>
      <c r="BN64" s="779" t="str">
        <f>IF(PP!L64="","",PP!L64)</f>
        <v/>
      </c>
      <c r="BO64" s="765" t="str">
        <f>IF(PP!M64="","",PP!M64)</f>
        <v>VERDE</v>
      </c>
      <c r="BP64" s="755"/>
    </row>
    <row r="65" spans="54:68" ht="23.25">
      <c r="BB65" s="843">
        <f>IF(PP!B65="","",PP!B65)</f>
        <v>42</v>
      </c>
      <c r="BC65" s="2880" t="str">
        <f>IF(PP!C65="","",PP!C65)</f>
        <v>TENTACULO C/B S/V SR 300-500 g/pza</v>
      </c>
      <c r="BD65" s="2881"/>
      <c r="BE65" s="844">
        <f t="shared" si="33"/>
        <v>0</v>
      </c>
      <c r="BF65" s="845">
        <f t="shared" si="28"/>
        <v>0</v>
      </c>
      <c r="BG65" s="846">
        <f t="shared" si="29"/>
        <v>0</v>
      </c>
      <c r="BH65" s="943">
        <f t="shared" si="30"/>
        <v>0</v>
      </c>
      <c r="BI65" s="845">
        <f t="shared" si="62"/>
        <v>0</v>
      </c>
      <c r="BJ65" s="845"/>
      <c r="BK65" s="853"/>
      <c r="BL65" s="845">
        <f t="shared" si="32"/>
        <v>0</v>
      </c>
      <c r="BM65" s="8"/>
      <c r="BN65" s="779" t="str">
        <f>IF(PP!L65="","",PP!L65)</f>
        <v/>
      </c>
      <c r="BO65" s="765" t="str">
        <f>IF(PP!M65="","",PP!M65)</f>
        <v>VERDE</v>
      </c>
      <c r="BP65" s="755"/>
    </row>
    <row r="66" spans="54:68" ht="23.25">
      <c r="BB66" s="843">
        <f>IF(PP!B66="","",PP!B66)</f>
        <v>43</v>
      </c>
      <c r="BC66" s="2880" t="str">
        <f>IF(PP!C66="","",PP!C66)</f>
        <v>TENTACULO C/B C/V SR 500-1000 g/pza (SUCIO)</v>
      </c>
      <c r="BD66" s="2881"/>
      <c r="BE66" s="844">
        <f t="shared" si="33"/>
        <v>0</v>
      </c>
      <c r="BF66" s="845">
        <f t="shared" si="28"/>
        <v>0</v>
      </c>
      <c r="BG66" s="846">
        <f t="shared" si="29"/>
        <v>0</v>
      </c>
      <c r="BH66" s="943">
        <f t="shared" si="30"/>
        <v>0</v>
      </c>
      <c r="BI66" s="845">
        <f t="shared" si="62"/>
        <v>0</v>
      </c>
      <c r="BJ66" s="845"/>
      <c r="BK66" s="853"/>
      <c r="BL66" s="845">
        <f t="shared" si="32"/>
        <v>0</v>
      </c>
      <c r="BM66" s="8"/>
      <c r="BN66" s="779" t="str">
        <f>IF(PP!L66="","",PP!L66)</f>
        <v/>
      </c>
      <c r="BO66" s="765" t="str">
        <f>IF(PP!M66="","",PP!M66)</f>
        <v>BLANCO SUCIO</v>
      </c>
      <c r="BP66" s="755"/>
    </row>
    <row r="67" spans="54:68" ht="23.25">
      <c r="BB67" s="843">
        <f>IF(PP!B67="","",PP!B67)</f>
        <v>44</v>
      </c>
      <c r="BC67" s="2880" t="str">
        <f>IF(PP!C67="","",PP!C67)</f>
        <v>TENTACULO C/B S/V SR 500-1000 g/pza</v>
      </c>
      <c r="BD67" s="2881"/>
      <c r="BE67" s="844">
        <f t="shared" si="33"/>
        <v>0</v>
      </c>
      <c r="BF67" s="845">
        <f t="shared" si="28"/>
        <v>0</v>
      </c>
      <c r="BG67" s="846">
        <f t="shared" si="29"/>
        <v>0</v>
      </c>
      <c r="BH67" s="943">
        <f t="shared" si="30"/>
        <v>0</v>
      </c>
      <c r="BI67" s="845">
        <f t="shared" si="62"/>
        <v>0</v>
      </c>
      <c r="BJ67" s="845"/>
      <c r="BK67" s="853"/>
      <c r="BL67" s="845">
        <f t="shared" si="32"/>
        <v>0</v>
      </c>
      <c r="BM67" s="8"/>
      <c r="BN67" s="779" t="str">
        <f>IF(PP!L67="","",PP!L67)</f>
        <v/>
      </c>
      <c r="BO67" s="765" t="str">
        <f>IF(PP!M67="","",PP!M67)</f>
        <v>ROJO LIMPIO</v>
      </c>
      <c r="BP67" s="755"/>
    </row>
    <row r="68" spans="54:68" ht="23.25">
      <c r="BB68" s="843">
        <f>IF(PP!B68="","",PP!B68)</f>
        <v>45</v>
      </c>
      <c r="BC68" s="2880" t="str">
        <f>IF(PP!C68="","",PP!C68)</f>
        <v>TENTACULO C/B C/V SR 1.0-2.0 Kg/pza (SUCIO)</v>
      </c>
      <c r="BD68" s="2881"/>
      <c r="BE68" s="844">
        <f t="shared" si="33"/>
        <v>0</v>
      </c>
      <c r="BF68" s="845">
        <f t="shared" si="28"/>
        <v>0</v>
      </c>
      <c r="BG68" s="846">
        <f t="shared" si="29"/>
        <v>0</v>
      </c>
      <c r="BH68" s="943">
        <f t="shared" si="30"/>
        <v>0</v>
      </c>
      <c r="BI68" s="845">
        <f t="shared" si="62"/>
        <v>0</v>
      </c>
      <c r="BJ68" s="845"/>
      <c r="BK68" s="853"/>
      <c r="BL68" s="845">
        <f t="shared" si="32"/>
        <v>0</v>
      </c>
      <c r="BM68" s="8"/>
      <c r="BN68" s="779" t="str">
        <f>IF(PP!L68="","",PP!L68)</f>
        <v/>
      </c>
      <c r="BO68" s="765" t="str">
        <f>IF(PP!M68="","",PP!M68)</f>
        <v>AMARILLO</v>
      </c>
      <c r="BP68" s="755"/>
    </row>
    <row r="69" spans="54:68" ht="23.25">
      <c r="BB69" s="843">
        <f>IF(PP!B69="","",PP!B69)</f>
        <v>46</v>
      </c>
      <c r="BC69" s="2880" t="str">
        <f>IF(PP!C69="","",PP!C69)</f>
        <v>TENTACULO C/B S/V SR 1.0-2.0 Kg/pza</v>
      </c>
      <c r="BD69" s="2881"/>
      <c r="BE69" s="844">
        <f t="shared" si="33"/>
        <v>0</v>
      </c>
      <c r="BF69" s="845">
        <f t="shared" si="28"/>
        <v>0</v>
      </c>
      <c r="BG69" s="846">
        <f t="shared" si="29"/>
        <v>0</v>
      </c>
      <c r="BH69" s="943">
        <f t="shared" si="30"/>
        <v>0</v>
      </c>
      <c r="BI69" s="845">
        <f t="shared" si="62"/>
        <v>0</v>
      </c>
      <c r="BJ69" s="845"/>
      <c r="BK69" s="853"/>
      <c r="BL69" s="845">
        <f t="shared" si="32"/>
        <v>0</v>
      </c>
      <c r="BM69" s="8"/>
      <c r="BN69" s="779" t="str">
        <f>IF(PP!L69="","",PP!L69)</f>
        <v/>
      </c>
      <c r="BO69" s="765" t="str">
        <f>IF(PP!M69="","",PP!M69)</f>
        <v>AMARILLO</v>
      </c>
      <c r="BP69" s="755"/>
    </row>
    <row r="70" spans="54:68" ht="24" thickBot="1">
      <c r="BB70" s="847">
        <f>IF(PP!B70="","",PP!B70)</f>
        <v>47</v>
      </c>
      <c r="BC70" s="2882" t="str">
        <f>IF(PP!C70="","",PP!C70)</f>
        <v>TENTACULO C/B S/V SR 2 UP Kg/pza</v>
      </c>
      <c r="BD70" s="2883"/>
      <c r="BE70" s="844">
        <f t="shared" si="33"/>
        <v>0</v>
      </c>
      <c r="BF70" s="845">
        <f t="shared" si="28"/>
        <v>0</v>
      </c>
      <c r="BG70" s="846">
        <f t="shared" si="29"/>
        <v>0</v>
      </c>
      <c r="BH70" s="943">
        <f t="shared" si="30"/>
        <v>0</v>
      </c>
      <c r="BI70" s="845">
        <f t="shared" si="62"/>
        <v>0</v>
      </c>
      <c r="BJ70" s="845"/>
      <c r="BK70" s="853"/>
      <c r="BL70" s="849">
        <f t="shared" si="32"/>
        <v>0</v>
      </c>
      <c r="BM70" s="8"/>
      <c r="BN70" s="779" t="str">
        <f>IF(PP!L70="","",PP!L70)</f>
        <v/>
      </c>
      <c r="BO70" s="765" t="str">
        <f>IF(PP!M70="","",PP!M70)</f>
        <v>LILA</v>
      </c>
      <c r="BP70" s="755"/>
    </row>
    <row r="71" spans="54:68" ht="24" thickBot="1">
      <c r="BB71" s="847">
        <f>IF(PP!B71="","",PP!B71)</f>
        <v>48</v>
      </c>
      <c r="BC71" s="864" t="str">
        <f>IF(PP!C71="","",PP!C71)</f>
        <v>TUBO ALETA 500-1000 g/pza</v>
      </c>
      <c r="BD71" s="864" t="str">
        <f>IF(PP!D71="","",PP!D71)</f>
        <v/>
      </c>
      <c r="BE71" s="840">
        <f t="shared" si="33"/>
        <v>0</v>
      </c>
      <c r="BF71" s="859">
        <f t="shared" si="28"/>
        <v>0</v>
      </c>
      <c r="BG71" s="863">
        <f t="shared" si="29"/>
        <v>0</v>
      </c>
      <c r="BH71" s="851">
        <f t="shared" si="30"/>
        <v>0</v>
      </c>
      <c r="BI71" s="859">
        <f t="shared" si="62"/>
        <v>0</v>
      </c>
      <c r="BJ71" s="859"/>
      <c r="BK71" s="852"/>
      <c r="BL71" s="841">
        <f t="shared" si="32"/>
        <v>0</v>
      </c>
      <c r="BM71" s="12"/>
      <c r="BN71" s="779" t="str">
        <f>IF(PP!L71="","",PP!L71)</f>
        <v/>
      </c>
      <c r="BO71" s="765" t="str">
        <f>IF(PP!M71="","",PP!M71)</f>
        <v>AMARILLO</v>
      </c>
      <c r="BP71" s="755"/>
    </row>
    <row r="72" spans="54:68" ht="24" thickBot="1">
      <c r="BB72" s="865" t="str">
        <f>IF(PP!B72="","",PP!B72)</f>
        <v>TOTAL</v>
      </c>
      <c r="BC72" s="866" t="str">
        <f>IF(PP!C72="","",PP!C72)</f>
        <v/>
      </c>
      <c r="BD72" s="867" t="str">
        <f>IF(PP!D72="","",PP!D72)</f>
        <v/>
      </c>
      <c r="BE72" s="868">
        <f t="shared" ref="BE72:BI72" si="63">SUM(BE24:BE71)</f>
        <v>0</v>
      </c>
      <c r="BF72" s="869">
        <f t="shared" si="63"/>
        <v>0</v>
      </c>
      <c r="BG72" s="863">
        <f t="shared" si="63"/>
        <v>0</v>
      </c>
      <c r="BH72" s="870">
        <f t="shared" si="63"/>
        <v>0</v>
      </c>
      <c r="BI72" s="871">
        <f t="shared" si="63"/>
        <v>0</v>
      </c>
      <c r="BJ72" s="871"/>
      <c r="BK72" s="871"/>
      <c r="BL72" s="870">
        <f>SUM(BL24:BL71)</f>
        <v>0</v>
      </c>
      <c r="BM72" s="15"/>
      <c r="BN72" s="785" t="str">
        <f>IF(PP!L72="","",PP!L72)</f>
        <v/>
      </c>
      <c r="BO72" s="765" t="str">
        <f>IF(PP!M72="","",PP!M72)</f>
        <v/>
      </c>
      <c r="BP72" s="755"/>
    </row>
    <row r="73" spans="54:68" ht="23.25">
      <c r="BB73" s="2" t="str">
        <f>IF(PP!B73="","",PP!B73)</f>
        <v/>
      </c>
      <c r="BC73" s="1" t="str">
        <f>IF(PP!C73="","",PP!C73)</f>
        <v/>
      </c>
      <c r="BD73" s="1" t="str">
        <f>IF(PP!D73="","",PP!D73)</f>
        <v/>
      </c>
      <c r="BE73" s="1" t="str">
        <f>IF(PP!E73="","",PP!E73)</f>
        <v/>
      </c>
      <c r="BF73" s="1" t="str">
        <f>IF(PP!F73="","",PP!F73)</f>
        <v/>
      </c>
      <c r="BG73" s="1" t="str">
        <f>IF(PP!G73="","",PP!G73)</f>
        <v/>
      </c>
      <c r="BH73" s="1" t="str">
        <f>IF(PP!H73="","",PP!H73)</f>
        <v/>
      </c>
      <c r="BI73" s="1" t="str">
        <f>IF(PP!I73="","",PP!I73)</f>
        <v/>
      </c>
      <c r="BJ73" s="1"/>
      <c r="BK73" s="1"/>
      <c r="BL73" s="1" t="str">
        <f>IF(PP!J73="","",PP!J73)</f>
        <v/>
      </c>
      <c r="BM73" s="16" t="str">
        <f>IF(PP!K73="","",PP!K73)</f>
        <v/>
      </c>
      <c r="BN73" s="786" t="str">
        <f>IF(PP!L73="","",PP!L73)</f>
        <v/>
      </c>
      <c r="BO73" s="765" t="str">
        <f>IF(PP!M73="","",PP!M73)</f>
        <v/>
      </c>
      <c r="BP73" s="755"/>
    </row>
    <row r="74" spans="54:68" ht="23.25">
      <c r="BB74" s="2" t="str">
        <f>IF(PP!B74="","",PP!B74)</f>
        <v/>
      </c>
      <c r="BC74" s="1" t="str">
        <f>IF(PP!C74="","",PP!C74)</f>
        <v/>
      </c>
      <c r="BD74" s="1" t="str">
        <f>IF(PP!D74="","",PP!D74)</f>
        <v/>
      </c>
      <c r="BE74" s="1" t="str">
        <f>IF(PP!E74="","",PP!E74)</f>
        <v/>
      </c>
      <c r="BF74" s="1" t="str">
        <f>IF(PP!F74="","",PP!F74)</f>
        <v/>
      </c>
      <c r="BG74" s="1" t="str">
        <f>IF(PP!G74="","",PP!G74)</f>
        <v/>
      </c>
      <c r="BH74" s="1" t="str">
        <f>IF(PP!H74="","",PP!H74)</f>
        <v/>
      </c>
      <c r="BI74" s="2" t="str">
        <f>IF(PP!I74="","",PP!I74)</f>
        <v/>
      </c>
      <c r="BJ74" s="2"/>
      <c r="BK74" s="2"/>
      <c r="BL74" s="2" t="str">
        <f>IF(PP!J74="","",PP!J74)</f>
        <v/>
      </c>
      <c r="BM74" s="15" t="str">
        <f>IF(PP!K74="","",PP!K74)</f>
        <v/>
      </c>
      <c r="BN74" s="773" t="str">
        <f>IF(PP!L74="","",PP!L74)</f>
        <v/>
      </c>
      <c r="BO74" s="779" t="str">
        <f>IF(PP!M74="","",PP!M74)</f>
        <v/>
      </c>
      <c r="BP74" s="755"/>
    </row>
    <row r="75" spans="54:68" ht="24" thickBot="1">
      <c r="BB75" s="2" t="str">
        <f>IF(PP!B75="","",PP!B75)</f>
        <v/>
      </c>
      <c r="BC75" s="1" t="str">
        <f>IF(PP!C75="","",PP!C75)</f>
        <v/>
      </c>
      <c r="BD75" s="1" t="str">
        <f>IF(PP!D75="","",PP!D75)</f>
        <v/>
      </c>
      <c r="BE75" s="1" t="str">
        <f>IF(PP!E75="","",PP!E75)</f>
        <v/>
      </c>
      <c r="BF75" s="1" t="str">
        <f>IF(PP!F75="","",PP!F75)</f>
        <v/>
      </c>
      <c r="BG75" s="1" t="str">
        <f>IF(PP!G75="","",PP!G75)</f>
        <v/>
      </c>
      <c r="BH75" s="1" t="str">
        <f>IF(PP!H75="","",PP!H75)</f>
        <v/>
      </c>
      <c r="BI75" s="2" t="str">
        <f>IF(PP!I75="","",PP!I75)</f>
        <v/>
      </c>
      <c r="BJ75" s="2"/>
      <c r="BK75" s="2"/>
      <c r="BL75" s="2" t="str">
        <f>IF(PP!J75="","",PP!J75)</f>
        <v/>
      </c>
      <c r="BM75" s="15" t="str">
        <f>IF(PP!K75="","",PP!K75)</f>
        <v/>
      </c>
      <c r="BN75" s="773" t="str">
        <f>IF(PP!L75="","",PP!L75)</f>
        <v/>
      </c>
      <c r="BO75" s="779" t="str">
        <f>IF(PP!M75="","",PP!M75)</f>
        <v/>
      </c>
      <c r="BP75" s="755"/>
    </row>
    <row r="76" spans="54:68" ht="24" thickBot="1">
      <c r="BB76" s="2" t="str">
        <f>IF(PP!B76="","",PP!B76)</f>
        <v/>
      </c>
      <c r="BC76" s="738" t="str">
        <f>IF(PP!C76="","",PP!C76)</f>
        <v>INSUMOS</v>
      </c>
      <c r="BD76" s="739" t="str">
        <f>IF(PP!D76="","",PP!D76)</f>
        <v/>
      </c>
      <c r="BE76" s="740" t="str">
        <f>IF(PP!E76="","",PP!E76)</f>
        <v>UND</v>
      </c>
      <c r="BF76" s="2" t="str">
        <f>IF(PP!F76="","",PP!F76)</f>
        <v/>
      </c>
      <c r="BG76" s="2" t="str">
        <f>IF(PP!G76="","",PP!G76)</f>
        <v/>
      </c>
      <c r="BH76" s="2" t="str">
        <f>IF(PP!H76="","",PP!H76)</f>
        <v/>
      </c>
      <c r="BI76" s="2" t="str">
        <f>IF(PP!I76="","",PP!I76)</f>
        <v/>
      </c>
      <c r="BJ76" s="2"/>
      <c r="BK76" s="2"/>
      <c r="BL76" s="2" t="str">
        <f>IF(PP!J76="","",PP!J76)</f>
        <v/>
      </c>
      <c r="BM76" s="15" t="str">
        <f>IF(PP!K76="","",PP!K76)</f>
        <v/>
      </c>
      <c r="BN76" s="773" t="str">
        <f>IF(PP!L76="","",PP!L76)</f>
        <v/>
      </c>
      <c r="BO76" s="779" t="str">
        <f>IF(PP!M76="","",PP!M76)</f>
        <v/>
      </c>
      <c r="BP76" s="755"/>
    </row>
    <row r="77" spans="54:68" ht="23.25">
      <c r="BB77" s="2" t="str">
        <f>IF(PP!B77="","",PP!B77)</f>
        <v/>
      </c>
      <c r="BC77" s="2896" t="str">
        <f>IF(PP!C77="","",PP!C77)</f>
        <v>STRECH FILM ( UND)</v>
      </c>
      <c r="BD77" s="2897"/>
      <c r="BE77" s="741">
        <f>IF(PP!E77="","",PP!E77)</f>
        <v>15</v>
      </c>
      <c r="BF77" s="2" t="str">
        <f>IF(PP!F77="","",PP!F77)</f>
        <v/>
      </c>
      <c r="BG77" s="2" t="str">
        <f>IF(PP!G77="","",PP!G77)</f>
        <v/>
      </c>
      <c r="BH77" s="2" t="str">
        <f>IF(PP!H77="","",PP!H77)</f>
        <v/>
      </c>
      <c r="BI77" s="2" t="str">
        <f>IF(PP!I77="","",PP!I77)</f>
        <v/>
      </c>
      <c r="BJ77" s="2"/>
      <c r="BK77" s="2"/>
      <c r="BL77" s="2" t="str">
        <f>IF(PP!J77="","",PP!J77)</f>
        <v/>
      </c>
      <c r="BM77" s="15" t="str">
        <f>IF(PP!K77="","",PP!K77)</f>
        <v/>
      </c>
      <c r="BN77" s="773" t="str">
        <f>IF(PP!L77="","",PP!L77)</f>
        <v/>
      </c>
      <c r="BO77" s="779" t="str">
        <f>IF(PP!M77="","",PP!M77)</f>
        <v/>
      </c>
      <c r="BP77" s="755"/>
    </row>
    <row r="78" spans="54:68" ht="23.25">
      <c r="BB78" s="2" t="str">
        <f>IF(PP!B78="","",PP!B78)</f>
        <v/>
      </c>
      <c r="BC78" s="2888" t="str">
        <f>IF(PP!C78="","",PP!C78)</f>
        <v>SACOS (UND)</v>
      </c>
      <c r="BD78" s="2889"/>
      <c r="BE78" s="742">
        <f>SUM(BF72,BH72)</f>
        <v>0</v>
      </c>
      <c r="BF78" s="2" t="str">
        <f>IF(PP!F78="","",PP!F78)</f>
        <v/>
      </c>
      <c r="BG78" s="2" t="str">
        <f>IF(PP!G78="","",PP!G78)</f>
        <v/>
      </c>
      <c r="BH78" s="2" t="str">
        <f>IF(PP!H78="","",PP!H78)</f>
        <v/>
      </c>
      <c r="BI78" s="2" t="str">
        <f>IF(PP!I78="","",PP!I78)</f>
        <v/>
      </c>
      <c r="BJ78" s="2"/>
      <c r="BK78" s="2"/>
      <c r="BL78" s="2" t="str">
        <f>IF(PP!J78="","",PP!J78)</f>
        <v/>
      </c>
      <c r="BM78" s="5" t="str">
        <f>IF(PP!K78="","",PP!K78)</f>
        <v/>
      </c>
      <c r="BN78" s="773" t="str">
        <f>IF(PP!L78="","",PP!L78)</f>
        <v/>
      </c>
      <c r="BO78" s="779" t="str">
        <f>IF(PP!M78="","",PP!M78)</f>
        <v/>
      </c>
      <c r="BP78" s="755"/>
    </row>
    <row r="79" spans="54:68" ht="23.25">
      <c r="BB79" s="2" t="str">
        <f>IF(PP!B79="","",PP!B79)</f>
        <v/>
      </c>
      <c r="BC79" s="2888" t="str">
        <f>IF(PP!C79="","",PP!C79)</f>
        <v xml:space="preserve">CINTAS </v>
      </c>
      <c r="BD79" s="2889"/>
      <c r="BE79" s="742" t="str">
        <f>IF(PP!E79="","",PP!E79)</f>
        <v/>
      </c>
      <c r="BF79" s="2" t="str">
        <f>IF(PP!F79="","",PP!F79)</f>
        <v/>
      </c>
      <c r="BG79" s="2" t="str">
        <f>IF(PP!G79="","",PP!G79)</f>
        <v/>
      </c>
      <c r="BH79" s="2" t="str">
        <f>IF(PP!H79="","",PP!H79)</f>
        <v/>
      </c>
      <c r="BI79" s="2" t="str">
        <f>IF(PP!I79="","",PP!I79)</f>
        <v/>
      </c>
      <c r="BJ79" s="2"/>
      <c r="BK79" s="2"/>
      <c r="BL79" s="2" t="str">
        <f>IF(PP!J79="","",PP!J79)</f>
        <v/>
      </c>
      <c r="BM79" s="5" t="str">
        <f>IF(PP!K79="","",PP!K79)</f>
        <v/>
      </c>
      <c r="BN79" s="773" t="str">
        <f>IF(PP!L79="","",PP!L79)</f>
        <v/>
      </c>
      <c r="BO79" s="779" t="str">
        <f>IF(PP!M79="","",PP!M79)</f>
        <v/>
      </c>
      <c r="BP79" s="755"/>
    </row>
    <row r="80" spans="54:68" ht="23.25">
      <c r="BB80" s="2" t="str">
        <f>IF(PP!B80="","",PP!B80)</f>
        <v/>
      </c>
      <c r="BC80" s="2888" t="str">
        <f>IF(PP!C80="","",PP!C80)</f>
        <v>BOLSAS CRISTAL</v>
      </c>
      <c r="BD80" s="2889"/>
      <c r="BE80" s="743" t="str">
        <f>IF(PP!E80="","",PP!E80)</f>
        <v/>
      </c>
      <c r="BF80" s="2" t="str">
        <f>IF(PP!F80="","",PP!F80)</f>
        <v/>
      </c>
      <c r="BG80" s="2" t="str">
        <f>IF(PP!G80="","",PP!G80)</f>
        <v/>
      </c>
      <c r="BH80" s="2" t="str">
        <f>IF(PP!H80="","",PP!H80)</f>
        <v/>
      </c>
      <c r="BI80" s="2" t="str">
        <f>IF(PP!I80="","",PP!I80)</f>
        <v/>
      </c>
      <c r="BJ80" s="2"/>
      <c r="BK80" s="2"/>
      <c r="BL80" s="2" t="str">
        <f>IF(PP!J80="","",PP!J80)</f>
        <v/>
      </c>
      <c r="BM80" s="5" t="str">
        <f>IF(PP!K80="","",PP!K80)</f>
        <v/>
      </c>
      <c r="BN80" s="773" t="str">
        <f>IF(PP!L80="","",PP!L80)</f>
        <v/>
      </c>
      <c r="BO80" s="779" t="str">
        <f>IF(PP!M80="","",PP!M80)</f>
        <v/>
      </c>
      <c r="BP80" s="755"/>
    </row>
    <row r="81" spans="54:68" ht="23.25">
      <c r="BB81" s="2" t="str">
        <f>IF(PP!B81="","",PP!B81)</f>
        <v/>
      </c>
      <c r="BC81" s="2888" t="str">
        <f>IF(PP!C81="","",PP!C81)</f>
        <v>RAFIA  AZUL (KG)</v>
      </c>
      <c r="BD81" s="2889"/>
      <c r="BE81" s="743">
        <f>IF(PP!E81="","",PP!E81)</f>
        <v>5.7</v>
      </c>
      <c r="BF81" s="2" t="str">
        <f>IF(PP!F81="","",PP!F81)</f>
        <v/>
      </c>
      <c r="BG81" s="2" t="str">
        <f>IF(PP!G81="","",PP!G81)</f>
        <v/>
      </c>
      <c r="BH81" s="2" t="str">
        <f>IF(PP!H81="","",PP!H81)</f>
        <v/>
      </c>
      <c r="BI81" s="2" t="str">
        <f>IF(PP!I81="","",PP!I81)</f>
        <v/>
      </c>
      <c r="BJ81" s="2"/>
      <c r="BK81" s="2"/>
      <c r="BL81" s="2" t="str">
        <f>IF(PP!J81="","",PP!J81)</f>
        <v/>
      </c>
      <c r="BM81" s="5" t="str">
        <f>IF(PP!K81="","",PP!K81)</f>
        <v/>
      </c>
      <c r="BN81" s="773" t="str">
        <f>IF(PP!L81="","",PP!L81)</f>
        <v/>
      </c>
      <c r="BO81" s="779" t="str">
        <f>IF(PP!M81="","",PP!M81)</f>
        <v>ETIQUTAS</v>
      </c>
      <c r="BP81" s="755"/>
    </row>
    <row r="82" spans="54:68" ht="23.25">
      <c r="BB82" s="2" t="str">
        <f>IF(PP!B82="","",PP!B82)</f>
        <v/>
      </c>
      <c r="BC82" s="2888" t="str">
        <f>IF(PP!C82="","",PP!C82)</f>
        <v>ETIQUETAS (UND)</v>
      </c>
      <c r="BD82" s="2889"/>
      <c r="BE82" s="743" t="str">
        <f>IF(PP!E82="","",PP!E82)</f>
        <v/>
      </c>
      <c r="BF82" s="2" t="str">
        <f>IF(PP!F82="","",PP!F82)</f>
        <v/>
      </c>
      <c r="BG82" s="2" t="str">
        <f>IF(PP!G82="","",PP!G82)</f>
        <v/>
      </c>
      <c r="BH82" s="2" t="str">
        <f>IF(PP!H82="","",PP!H82)</f>
        <v/>
      </c>
      <c r="BI82" s="2" t="str">
        <f>IF(PP!I82="","",PP!I82)</f>
        <v/>
      </c>
      <c r="BJ82" s="2"/>
      <c r="BK82" s="2"/>
      <c r="BL82" s="2" t="str">
        <f>IF(PP!J82="","",PP!J82)</f>
        <v/>
      </c>
      <c r="BM82" s="5" t="str">
        <f>IF(PP!K82="","",PP!K82)</f>
        <v/>
      </c>
      <c r="BN82" s="773" t="str">
        <f>IF(PP!L82="","",PP!L82)</f>
        <v/>
      </c>
      <c r="BO82" s="779" t="str">
        <f>IF(PP!M82="","",PP!M82)</f>
        <v/>
      </c>
      <c r="BP82" s="755"/>
    </row>
    <row r="83" spans="54:68" ht="23.25">
      <c r="BB83" s="2" t="str">
        <f>IF(PP!B83="","",PP!B83)</f>
        <v/>
      </c>
      <c r="BC83" s="2888" t="str">
        <f>IF(PP!C83="","",PP!C83)</f>
        <v>LAMINAS DE POLIETILENO AZUL (UND)</v>
      </c>
      <c r="BD83" s="2889"/>
      <c r="BE83" s="743">
        <f>(SUMIF($BO$24:$BO$71,"AZUL",$BF$24:$BF$71)+SUMIF($BO$24:$BO$71,"AZUL",$BH$24:$BH$71))*2+ROUNDUP((SUMIF($BO$24:$BO$71,"AZUL",$BI$24:$BI$71)+SUMIF($BO$24:$BO$71,"AZUL",$BJ$24:$BJ$71))/($B$3/2),0)</f>
        <v>0</v>
      </c>
      <c r="BF83" s="2" t="str">
        <f>IF(PP!F83="","",PP!F83)</f>
        <v/>
      </c>
      <c r="BG83" s="2" t="str">
        <f>IF(PP!G83="","",PP!G83)</f>
        <v/>
      </c>
      <c r="BH83" s="2" t="str">
        <f>IF(PP!H83="","",PP!H83)</f>
        <v/>
      </c>
      <c r="BI83" s="2" t="str">
        <f>IF(PP!I83="","",PP!I83)</f>
        <v/>
      </c>
      <c r="BJ83" s="2"/>
      <c r="BK83" s="2"/>
      <c r="BL83" s="2" t="str">
        <f>IF(PP!J83="","",PP!J83)</f>
        <v/>
      </c>
      <c r="BM83" s="5" t="str">
        <f>IF(PP!K83="","",PP!K83)</f>
        <v/>
      </c>
      <c r="BN83" s="2" t="str">
        <f>IF(PP!L83="","",PP!L83)</f>
        <v/>
      </c>
      <c r="BO83" s="5" t="str">
        <f>IF(PP!M83="","",PP!M83)</f>
        <v/>
      </c>
    </row>
    <row r="84" spans="54:68" ht="23.25">
      <c r="BB84" s="2" t="str">
        <f>IF(PP!B84="","",PP!B84)</f>
        <v/>
      </c>
      <c r="BC84" s="2888" t="str">
        <f>IF(PP!C84="","",PP!C84)</f>
        <v>LAMINAS DE POLIETILENO BLANCO (UND)</v>
      </c>
      <c r="BD84" s="2889"/>
      <c r="BE84" s="743">
        <f>(SUMIF($BO$24:$BO$71,"BLANCO*",$BF$24:$BF$71)+SUMIF($BO$24:$BO$71,"BLANCO*",$BH$24:$BH$71))*2+ROUNDUP((SUMIF($BO$24:$BO$71,"BLANCO*",$BI$24:$BI$71)+SUMIF($BO$24:$BO$71,"BLANCO*",$BJ$24:$BJ$71))/($B$3/2),0)</f>
        <v>0</v>
      </c>
      <c r="BF84" s="2" t="str">
        <f>IF(PP!F84="","",PP!F84)</f>
        <v/>
      </c>
      <c r="BG84" s="744" t="str">
        <f>IF(PP!G84="","",PP!G84)</f>
        <v/>
      </c>
      <c r="BH84" s="2" t="str">
        <f>IF(PP!H84="","",PP!H84)</f>
        <v/>
      </c>
      <c r="BI84" s="2" t="str">
        <f>IF(PP!I84="","",PP!I84)</f>
        <v/>
      </c>
      <c r="BJ84" s="2"/>
      <c r="BK84" s="2"/>
      <c r="BL84" s="2" t="str">
        <f>IF(PP!J84="","",PP!J84)</f>
        <v/>
      </c>
      <c r="BM84" s="5" t="str">
        <f>IF(PP!K84="","",PP!K84)</f>
        <v/>
      </c>
      <c r="BN84" s="2" t="str">
        <f>IF(PP!L84="","",PP!L84)</f>
        <v/>
      </c>
      <c r="BO84" s="5" t="str">
        <f>IF(PP!M84="","",PP!M84)</f>
        <v/>
      </c>
    </row>
    <row r="85" spans="54:68" ht="23.25">
      <c r="BB85" s="2" t="str">
        <f>IF(PP!B85="","",PP!B85)</f>
        <v/>
      </c>
      <c r="BC85" s="2888" t="str">
        <f>IF(PP!C85="","",PP!C85)</f>
        <v>LAMINAS DE POLIETILENO CELESTE (UND)</v>
      </c>
      <c r="BD85" s="2889"/>
      <c r="BE85" s="743">
        <f>(SUMIF($BO$24:$BO$71,"CELESTE",$BF$24:$BF$71)+SUMIF($BO$24:$BO$71,"CELESTE",$BH$24:$BH$71))*2+ROUNDUP((SUMIF($BO$24:$BO$71,"CELESTE",$BI$24:$BI$71)+SUMIF($BO$24:$BO$71,"CELESTE",$BJ$24:$BJ$71))/($B$3/2),0)</f>
        <v>0</v>
      </c>
      <c r="BF85" s="2" t="str">
        <f>IF(PP!F85="","",PP!F85)</f>
        <v/>
      </c>
      <c r="BG85" s="744" t="str">
        <f>IF(PP!G85="","",PP!G85)</f>
        <v/>
      </c>
      <c r="BH85" s="2" t="str">
        <f>IF(PP!H85="","",PP!H85)</f>
        <v/>
      </c>
      <c r="BI85" s="2" t="str">
        <f>IF(PP!I85="","",PP!I85)</f>
        <v/>
      </c>
      <c r="BJ85" s="2"/>
      <c r="BK85" s="2"/>
      <c r="BL85" s="2" t="str">
        <f>IF(PP!J85="","",PP!J85)</f>
        <v/>
      </c>
      <c r="BM85" s="5" t="str">
        <f>IF(PP!K85="","",PP!K85)</f>
        <v/>
      </c>
      <c r="BN85" s="2" t="str">
        <f>IF(PP!L85="","",PP!L85)</f>
        <v/>
      </c>
      <c r="BO85" s="5" t="str">
        <f>IF(PP!M85="","",PP!M85)</f>
        <v/>
      </c>
    </row>
    <row r="86" spans="54:68" ht="23.25">
      <c r="BB86" s="2" t="str">
        <f>IF(PP!B86="","",PP!B86)</f>
        <v/>
      </c>
      <c r="BC86" s="2888" t="str">
        <f>IF(PP!C86="","",PP!C86)</f>
        <v>LAMINAS DE  POLIETILENO LILA  (UND)</v>
      </c>
      <c r="BD86" s="2889"/>
      <c r="BE86" s="743">
        <f>(SUMIF($BO$24:$BO$71,"LILA",$BF$24:$BF$71)+SUMIF($BO$24:$BO$71,"LILA",$BH$24:$BH$71))*2+ROUNDUP((SUMIF($BO$24:$BO$71,"LILA",$BI$24:$BI$71)+SUMIF($BO$24:$BO$71,"LILA",$BJ$24:$BJ$71))/($B$3/2),0)</f>
        <v>0</v>
      </c>
      <c r="BF86" s="2" t="str">
        <f>IF(PP!F86="","",PP!F86)</f>
        <v/>
      </c>
      <c r="BG86" s="744" t="str">
        <f>IF(PP!G86="","",PP!G86)</f>
        <v/>
      </c>
      <c r="BH86" s="2" t="str">
        <f>IF(PP!H86="","",PP!H86)</f>
        <v/>
      </c>
      <c r="BI86" s="2" t="str">
        <f>IF(PP!I86="","",PP!I86)</f>
        <v/>
      </c>
      <c r="BJ86" s="2"/>
      <c r="BK86" s="2"/>
      <c r="BL86" s="2" t="str">
        <f>IF(PP!J86="","",PP!J86)</f>
        <v/>
      </c>
      <c r="BM86" s="5" t="str">
        <f>IF(PP!K86="","",PP!K86)</f>
        <v/>
      </c>
      <c r="BN86" s="2" t="str">
        <f>IF(PP!L86="","",PP!L86)</f>
        <v/>
      </c>
      <c r="BO86" s="5" t="str">
        <f>IF(PP!M86="","",PP!M86)</f>
        <v/>
      </c>
    </row>
    <row r="87" spans="54:68" ht="23.25">
      <c r="BB87" s="2" t="str">
        <f>IF(PP!B87="","",PP!B87)</f>
        <v/>
      </c>
      <c r="BC87" s="2888" t="str">
        <f>IF(PP!C87="","",PP!C87)</f>
        <v>LAMINAS DE POLIETILENO CRISTAL  (UND)</v>
      </c>
      <c r="BD87" s="2889"/>
      <c r="BE87" s="743">
        <f>(SUMIF($BO$24:$BO$71,"CRISTAL",$BF$24:$BF$71)+SUMIF($BO$24:$BO$71,"CRISTAL",$BH$24:$BH$71))*2+ROUNDUP((SUMIF($BO$24:$BO$71,"CRISTAL",$BI$24:$BI$71)+SUMIF($BO$24:$BO$71,"CRISTAL",$BJ$24:$BJ$71))/($B$3/2),0)</f>
        <v>0</v>
      </c>
      <c r="BF87" s="2" t="str">
        <f>IF(PP!F87="","",PP!F87)</f>
        <v/>
      </c>
      <c r="BG87" s="744" t="str">
        <f>IF(PP!G87="","",PP!G87)</f>
        <v/>
      </c>
      <c r="BH87" s="2" t="str">
        <f>IF(PP!H87="","",PP!H87)</f>
        <v/>
      </c>
      <c r="BI87" s="2" t="str">
        <f>IF(PP!I87="","",PP!I87)</f>
        <v/>
      </c>
      <c r="BJ87" s="2"/>
      <c r="BK87" s="2"/>
      <c r="BL87" s="2" t="str">
        <f>IF(PP!J87="","",PP!J87)</f>
        <v/>
      </c>
      <c r="BM87" s="5" t="str">
        <f>IF(PP!K87="","",PP!K87)</f>
        <v/>
      </c>
      <c r="BN87" s="2" t="str">
        <f>IF(PP!L87="","",PP!L87)</f>
        <v/>
      </c>
      <c r="BO87" s="5" t="str">
        <f>IF(PP!M87="","",PP!M87)</f>
        <v/>
      </c>
    </row>
    <row r="88" spans="54:68" ht="23.25">
      <c r="BB88" s="2" t="str">
        <f>IF(PP!B88="","",PP!B88)</f>
        <v/>
      </c>
      <c r="BC88" s="2888" t="str">
        <f>IF(PP!C88="","",PP!C88)</f>
        <v>LAMINAS DE POLIETILENO AMARILLO (UND)</v>
      </c>
      <c r="BD88" s="2889"/>
      <c r="BE88" s="743">
        <f>(SUMIF($BO$24:$BO$71,"AMARILLO",$BF$24:$BF$71)+SUMIF($BO$24:$BO$71,"AMARILLO",$BH$24:$BH$71))*2+ROUNDUP((SUMIF($BO$24:$BO$71,"AMARILLO",$BI$24:$BI$71)+SUMIF($BO$24:$BO$71,"AMARILLO",$BJ$24:$BJ$71))/($B$3/2),0)</f>
        <v>0</v>
      </c>
      <c r="BF88" s="2" t="str">
        <f>IF(PP!F88="","",PP!F88)</f>
        <v/>
      </c>
      <c r="BG88" s="2" t="str">
        <f>IF(PP!G88="","",PP!G88)</f>
        <v/>
      </c>
      <c r="BH88" s="2" t="str">
        <f>IF(PP!H88="","",PP!H88)</f>
        <v/>
      </c>
      <c r="BI88" s="2" t="str">
        <f>IF(PP!I88="","",PP!I88)</f>
        <v/>
      </c>
      <c r="BJ88" s="2"/>
      <c r="BK88" s="2"/>
      <c r="BL88" s="2" t="str">
        <f>IF(PP!J88="","",PP!J88)</f>
        <v/>
      </c>
      <c r="BM88" s="5" t="str">
        <f>IF(PP!K88="","",PP!K88)</f>
        <v/>
      </c>
      <c r="BN88" s="2" t="str">
        <f>IF(PP!L88="","",PP!L88)</f>
        <v/>
      </c>
      <c r="BO88" s="5" t="str">
        <f>IF(PP!M88="","",PP!M88)</f>
        <v/>
      </c>
    </row>
    <row r="89" spans="54:68" ht="23.25">
      <c r="BB89" s="2" t="str">
        <f>IF(PP!B89="","",PP!B89)</f>
        <v/>
      </c>
      <c r="BC89" s="2888" t="str">
        <f>IF(PP!C89="","",PP!C89)</f>
        <v>LAMINAS DE POLIETILENO NARANJA (UND)</v>
      </c>
      <c r="BD89" s="2889"/>
      <c r="BE89" s="743">
        <f>(SUMIF($BO$24:$BO$71,"NARANJA*",$BF$24:$BF$71)+SUMIF($BO$24:$BO$71,"NARANJA*",$BH$24:$BH$71))*2+ROUNDUP((SUMIF($BO$24:$BO$71,"NARANJA*",$BI$24:$BI$71)+SUMIF($BO$24:$BO$71,"NARANJA*",$BJ$24:$BJ$71))/($B$3/2),0)</f>
        <v>0</v>
      </c>
      <c r="BF89" s="2" t="str">
        <f>IF(PP!F89="","",PP!F89)</f>
        <v/>
      </c>
      <c r="BG89" s="2" t="str">
        <f>IF(PP!G89="","",PP!G89)</f>
        <v/>
      </c>
      <c r="BH89" s="2" t="str">
        <f>IF(PP!H89="","",PP!H89)</f>
        <v/>
      </c>
      <c r="BI89" s="2" t="str">
        <f>IF(PP!I89="","",PP!I89)</f>
        <v/>
      </c>
      <c r="BJ89" s="2"/>
      <c r="BK89" s="2"/>
      <c r="BL89" s="2" t="str">
        <f>IF(PP!J89="","",PP!J89)</f>
        <v/>
      </c>
      <c r="BM89" s="5" t="str">
        <f>IF(PP!K89="","",PP!K89)</f>
        <v/>
      </c>
      <c r="BN89" s="2" t="str">
        <f>IF(PP!L89="","",PP!L89)</f>
        <v/>
      </c>
      <c r="BO89" s="5" t="str">
        <f>IF(PP!M89="","",PP!M89)</f>
        <v/>
      </c>
    </row>
    <row r="90" spans="54:68" ht="23.25">
      <c r="BB90" s="2" t="str">
        <f>IF(PP!B90="","",PP!B90)</f>
        <v/>
      </c>
      <c r="BC90" s="2888" t="str">
        <f>IF(PP!C90="","",PP!C90)</f>
        <v>LAMINAS DE POLIETILENO ROJO (UND)</v>
      </c>
      <c r="BD90" s="2889"/>
      <c r="BE90" s="743">
        <f>(SUMIF($BO$24:$BO$71,"ROJO*",$BF$24:$BF$71)+SUMIF($BO$24:$BO$71,"ROJO*",$BH$24:$BH$71))*2+ROUNDUP((SUMIF($BO$24:$BO$71,"ROJO*",$BI$24:$BI$71)+SUMIF($BO$24:$BO$71,"ROJO*",$BJ$24:$BJ$71))/($B$3/2),0)</f>
        <v>0</v>
      </c>
      <c r="BF90" s="2" t="str">
        <f>IF(PP!F90="","",PP!F90)</f>
        <v/>
      </c>
      <c r="BG90" s="2" t="str">
        <f>IF(PP!G90="","",PP!G90)</f>
        <v/>
      </c>
      <c r="BH90" s="2" t="str">
        <f>IF(PP!H90="","",PP!H90)</f>
        <v/>
      </c>
      <c r="BI90" s="2" t="str">
        <f>IF(PP!I90="","",PP!I90)</f>
        <v/>
      </c>
      <c r="BJ90" s="2"/>
      <c r="BK90" s="2"/>
      <c r="BL90" s="2" t="str">
        <f>IF(PP!J90="","",PP!J90)</f>
        <v/>
      </c>
      <c r="BM90" s="5" t="str">
        <f>IF(PP!K90="","",PP!K90)</f>
        <v/>
      </c>
      <c r="BN90" s="2" t="str">
        <f>IF(PP!L90="","",PP!L90)</f>
        <v/>
      </c>
      <c r="BO90" s="5" t="str">
        <f>IF(PP!M90="","",PP!M90)</f>
        <v/>
      </c>
    </row>
    <row r="91" spans="54:68" ht="23.25">
      <c r="BB91" s="2" t="str">
        <f>IF(PP!B91="","",PP!B91)</f>
        <v/>
      </c>
      <c r="BC91" s="2888" t="str">
        <f>IF(PP!C91="","",PP!C91)</f>
        <v>LAMINAS DE POLIETILENO VERDE (UND)</v>
      </c>
      <c r="BD91" s="2889"/>
      <c r="BE91" s="743">
        <f>(SUMIF($BO$24:$BO$71,"VERDE",$BF$24:$BF$71)+SUMIF($BO$24:$BO$71,"VERDE",$BH$24:$BH$71))*2+ROUNDUP((SUMIF($BO$24:$BO$71,"VERDE",$BI$24:$BI$71)+SUMIF($BO$24:$BO$71,"VERDE",$BJ$24:$BJ$71))/($B$3/2),0)</f>
        <v>0</v>
      </c>
      <c r="BF91" s="2" t="str">
        <f>IF(PP!F91="","",PP!F91)</f>
        <v/>
      </c>
      <c r="BG91" s="2" t="str">
        <f>IF(PP!G91="","",PP!G91)</f>
        <v/>
      </c>
      <c r="BH91" s="2" t="str">
        <f>IF(PP!H91="","",PP!H91)</f>
        <v/>
      </c>
      <c r="BI91" s="2" t="str">
        <f>IF(PP!I91="","",PP!I91)</f>
        <v/>
      </c>
      <c r="BJ91" s="2"/>
      <c r="BK91" s="2"/>
      <c r="BL91" s="2" t="str">
        <f>IF(PP!J91="","",PP!J91)</f>
        <v/>
      </c>
      <c r="BM91" s="5" t="str">
        <f>IF(PP!K91="","",PP!K91)</f>
        <v/>
      </c>
      <c r="BN91" s="2" t="str">
        <f>IF(PP!L91="","",PP!L91)</f>
        <v/>
      </c>
      <c r="BO91" s="5" t="str">
        <f>IF(PP!M91="","",PP!M91)</f>
        <v/>
      </c>
    </row>
    <row r="92" spans="54:68" ht="23.25">
      <c r="BB92" s="2" t="str">
        <f>IF(PP!B92="","",PP!B92)</f>
        <v/>
      </c>
      <c r="BC92" s="2888" t="str">
        <f>IF(PP!C92="","",PP!C92)</f>
        <v>LAMINAS DE POLIETILENO ROSADO (UND)</v>
      </c>
      <c r="BD92" s="2889"/>
      <c r="BE92" s="743">
        <f>(SUMIF($BO$24:$BO$71,"ROSADO",$BF$24:$BF$71)+SUMIF($BO$24:$BO$71,"ROSADO",$BH$24:$BH$71))*2+ROUNDUP((SUMIF($BO$24:$BO$71,"ROSADO",$BI$24:$BI$71)+SUMIF($BO$24:$BO$71,"ROSADO",$BJ$24:$BJ$71))/($B$3/2),0)</f>
        <v>0</v>
      </c>
      <c r="BF92" s="2" t="str">
        <f>IF(PP!F92="","",PP!F92)</f>
        <v/>
      </c>
      <c r="BG92" s="2" t="str">
        <f>IF(PP!G92="","",PP!G92)</f>
        <v/>
      </c>
      <c r="BH92" s="2" t="str">
        <f>IF(PP!H92="","",PP!H92)</f>
        <v/>
      </c>
      <c r="BI92" s="2" t="str">
        <f>IF(PP!I92="","",PP!I92)</f>
        <v/>
      </c>
      <c r="BJ92" s="2"/>
      <c r="BK92" s="2"/>
      <c r="BL92" s="2" t="str">
        <f>IF(PP!J92="","",PP!J92)</f>
        <v/>
      </c>
      <c r="BM92" s="5" t="str">
        <f>IF(PP!K92="","",PP!K92)</f>
        <v/>
      </c>
      <c r="BN92" s="2" t="str">
        <f>IF(PP!L92="","",PP!L92)</f>
        <v/>
      </c>
      <c r="BO92" s="5" t="str">
        <f>IF(PP!M92="","",PP!M92)</f>
        <v/>
      </c>
    </row>
    <row r="93" spans="54:68" ht="23.25">
      <c r="BB93" s="2" t="str">
        <f>IF(PP!B93="","",PP!B93)</f>
        <v/>
      </c>
      <c r="BC93" s="2888" t="str">
        <f>IF(PP!C93="","",PP!C93)</f>
        <v>LAMINAS DE POLIETILENO CREMA (UND)</v>
      </c>
      <c r="BD93" s="2889"/>
      <c r="BE93" s="743">
        <f>(SUMIF($BO$24:$BO$71,"CREMA",$BF$24:$BF$71)+SUMIF($BO$24:$BO$71,"CREMA",$BH$24:$BH$71))*2+ROUNDUP((SUMIF($BO$24:$BO$71,"CREMA",$BI$24:$BI$71)+SUMIF($BO$24:$BO$71,"CREMA",$BJ$24:$BJ$71))/($B$3/2),0)</f>
        <v>0</v>
      </c>
      <c r="BF93" s="2" t="str">
        <f>IF(PP!F93="","",PP!F93)</f>
        <v/>
      </c>
      <c r="BG93" s="2" t="str">
        <f>IF(PP!G93="","",PP!G93)</f>
        <v/>
      </c>
      <c r="BH93" s="2" t="str">
        <f>IF(PP!H93="","",PP!H93)</f>
        <v/>
      </c>
      <c r="BI93" s="2" t="str">
        <f>IF(PP!I93="","",PP!I93)</f>
        <v/>
      </c>
      <c r="BJ93" s="2"/>
      <c r="BK93" s="2"/>
      <c r="BL93" s="2" t="str">
        <f>IF(PP!J93="","",PP!J93)</f>
        <v/>
      </c>
      <c r="BM93" s="5" t="str">
        <f>IF(PP!K93="","",PP!K93)</f>
        <v/>
      </c>
      <c r="BN93" s="2" t="str">
        <f>IF(PP!L93="","",PP!L93)</f>
        <v/>
      </c>
      <c r="BO93" s="5" t="str">
        <f>IF(PP!M93="","",PP!M93)</f>
        <v/>
      </c>
    </row>
    <row r="94" spans="54:68" ht="23.25">
      <c r="BB94" s="2" t="str">
        <f>IF(PP!B94="","",PP!B94)</f>
        <v/>
      </c>
      <c r="BC94" s="693" t="str">
        <f>IF(PP!C94="","",PP!C94)</f>
        <v>HIELO (KG)</v>
      </c>
      <c r="BD94" s="694" t="str">
        <f>IF(PP!D94="","",PP!D94)</f>
        <v/>
      </c>
      <c r="BE94" s="745">
        <f>IF(PP!E94="","",PP!E94)</f>
        <v>14500</v>
      </c>
      <c r="BF94" s="2" t="str">
        <f>IF(PP!F94="","",PP!F94)</f>
        <v xml:space="preserve"> </v>
      </c>
      <c r="BG94" s="2" t="str">
        <f>IF(PP!G94="","",PP!G94)</f>
        <v/>
      </c>
      <c r="BH94" s="2" t="str">
        <f>IF(PP!H94="","",PP!H94)</f>
        <v/>
      </c>
      <c r="BI94" s="2" t="str">
        <f>IF(PP!I94="","",PP!I94)</f>
        <v/>
      </c>
      <c r="BJ94" s="2"/>
      <c r="BK94" s="2"/>
      <c r="BL94" s="2" t="str">
        <f>IF(PP!J94="","",PP!J94)</f>
        <v/>
      </c>
      <c r="BM94" s="5" t="str">
        <f>IF(PP!K94="","",PP!K94)</f>
        <v/>
      </c>
      <c r="BN94" s="2" t="str">
        <f>IF(PP!L94="","",PP!L94)</f>
        <v/>
      </c>
      <c r="BO94" s="5" t="str">
        <f>IF(PP!M94="","",PP!M94)</f>
        <v/>
      </c>
    </row>
    <row r="95" spans="54:68" ht="24" thickBot="1">
      <c r="BB95" s="2" t="str">
        <f>IF(PP!B95="","",PP!B95)</f>
        <v/>
      </c>
      <c r="BC95" s="698" t="str">
        <f>IF(PP!C95="","",PP!C95)</f>
        <v>PLUMON (UND)</v>
      </c>
      <c r="BD95" s="699" t="str">
        <f>IF(PP!D95="","",PP!D95)</f>
        <v/>
      </c>
      <c r="BE95" s="746">
        <f>IF(PP!E95="","",PP!E95)</f>
        <v>5</v>
      </c>
      <c r="BF95" s="2" t="str">
        <f>IF(PP!F95="","",PP!F95)</f>
        <v/>
      </c>
      <c r="BG95" s="2" t="str">
        <f>IF(PP!G95="","",PP!G95)</f>
        <v/>
      </c>
      <c r="BH95" s="2" t="str">
        <f>IF(PP!H95="","",PP!H95)</f>
        <v/>
      </c>
      <c r="BI95" s="2" t="str">
        <f>IF(PP!I95="","",PP!I95)</f>
        <v/>
      </c>
      <c r="BJ95" s="2"/>
      <c r="BK95" s="2"/>
      <c r="BL95" s="2" t="str">
        <f>IF(PP!J95="","",PP!J95)</f>
        <v/>
      </c>
      <c r="BM95" s="5" t="str">
        <f>IF(PP!K95="","",PP!K95)</f>
        <v/>
      </c>
      <c r="BN95" s="2" t="str">
        <f>IF(PP!L95="","",PP!L95)</f>
        <v/>
      </c>
      <c r="BO95" s="5" t="str">
        <f>IF(PP!M95="","",PP!M95)</f>
        <v/>
      </c>
    </row>
    <row r="96" spans="54:68" ht="23.25">
      <c r="BB96" s="2" t="str">
        <f>IF(PP!B96="","",PP!B96)</f>
        <v/>
      </c>
      <c r="BC96" s="1" t="str">
        <f>IF(PP!C96="","",PP!C96)</f>
        <v/>
      </c>
      <c r="BD96" s="1" t="str">
        <f>IF(PP!D96="","",PP!D96)</f>
        <v/>
      </c>
      <c r="BE96" s="608" t="str">
        <f>IF(PP!E96="","",PP!E96)</f>
        <v/>
      </c>
      <c r="BF96" s="2" t="str">
        <f>IF(PP!F96="","",PP!F96)</f>
        <v/>
      </c>
      <c r="BG96" s="2" t="str">
        <f>IF(PP!G96="","",PP!G96)</f>
        <v/>
      </c>
      <c r="BH96" s="2" t="str">
        <f>IF(PP!H96="","",PP!H96)</f>
        <v/>
      </c>
      <c r="BI96" s="2" t="str">
        <f>IF(PP!I96="","",PP!I96)</f>
        <v/>
      </c>
      <c r="BJ96" s="2"/>
      <c r="BK96" s="2"/>
      <c r="BL96" s="2" t="str">
        <f>IF(PP!J96="","",PP!J96)</f>
        <v/>
      </c>
      <c r="BM96" s="5" t="str">
        <f>IF(PP!K96="","",PP!K96)</f>
        <v/>
      </c>
      <c r="BN96" s="2" t="str">
        <f>IF(PP!L96="","",PP!L96)</f>
        <v/>
      </c>
      <c r="BO96" s="5" t="str">
        <f>IF(PP!M96="","",PP!M96)</f>
        <v/>
      </c>
    </row>
    <row r="97" spans="54:67" ht="23.25">
      <c r="BB97" s="2" t="str">
        <f>IF(PP!B97="","",PP!B97)</f>
        <v/>
      </c>
      <c r="BC97" s="1" t="str">
        <f>IF(PP!C97="","",PP!C97)</f>
        <v/>
      </c>
      <c r="BD97" s="1" t="str">
        <f>IF(PP!D97="","",PP!D97)</f>
        <v/>
      </c>
      <c r="BE97" s="608" t="str">
        <f>IF(PP!E97="","",PP!E97)</f>
        <v/>
      </c>
      <c r="BF97" s="2" t="str">
        <f>IF(PP!F97="","",PP!F97)</f>
        <v/>
      </c>
      <c r="BG97" s="2" t="str">
        <f>IF(PP!G97="","",PP!G97)</f>
        <v/>
      </c>
      <c r="BH97" s="2" t="str">
        <f>IF(PP!H97="","",PP!H97)</f>
        <v/>
      </c>
      <c r="BI97" s="2" t="str">
        <f>IF(PP!I97="","",PP!I97)</f>
        <v/>
      </c>
      <c r="BJ97" s="2"/>
      <c r="BK97" s="2"/>
      <c r="BL97" s="2" t="str">
        <f>IF(PP!J97="","",PP!J97)</f>
        <v/>
      </c>
      <c r="BM97" s="5" t="str">
        <f>IF(PP!K97="","",PP!K97)</f>
        <v/>
      </c>
      <c r="BN97" s="2" t="str">
        <f>IF(PP!L97="","",PP!L97)</f>
        <v/>
      </c>
      <c r="BO97" s="5" t="str">
        <f>IF(PP!M97="","",PP!M97)</f>
        <v/>
      </c>
    </row>
    <row r="98" spans="54:67" ht="23.25">
      <c r="BB98" s="2" t="str">
        <f>IF(PP!B98="","",PP!B98)</f>
        <v/>
      </c>
      <c r="BC98" s="2" t="str">
        <f>IF(PP!C98="","",PP!C98)</f>
        <v/>
      </c>
      <c r="BD98" s="2" t="str">
        <f>IF(PP!D98="","",PP!D98)</f>
        <v/>
      </c>
      <c r="BE98" s="2" t="str">
        <f>IF(PP!E98="","",PP!E98)</f>
        <v/>
      </c>
      <c r="BF98" s="2" t="str">
        <f>IF(PP!F98="","",PP!F98)</f>
        <v/>
      </c>
      <c r="BG98" s="2" t="str">
        <f>IF(PP!G98="","",PP!G98)</f>
        <v/>
      </c>
      <c r="BH98" s="2" t="str">
        <f>IF(PP!H98="","",PP!H98)</f>
        <v/>
      </c>
      <c r="BI98" s="2" t="str">
        <f>IF(PP!I98="","",PP!I98)</f>
        <v/>
      </c>
      <c r="BJ98" s="2"/>
      <c r="BK98" s="2"/>
      <c r="BL98" s="2" t="str">
        <f>IF(PP!J98="","",PP!J98)</f>
        <v/>
      </c>
      <c r="BM98" s="5" t="str">
        <f>IF(PP!K98="","",PP!K98)</f>
        <v/>
      </c>
      <c r="BN98" s="2" t="str">
        <f>IF(PP!L98="","",PP!L98)</f>
        <v/>
      </c>
      <c r="BO98" s="5" t="str">
        <f>IF(PP!M98="","",PP!M98)</f>
        <v/>
      </c>
    </row>
    <row r="99" spans="54:67" ht="23.25">
      <c r="BB99" s="2" t="str">
        <f>IF(PP!B99="","",PP!B99)</f>
        <v/>
      </c>
      <c r="BC99" s="2" t="str">
        <f>IF(PP!C99="","",PP!C99)</f>
        <v/>
      </c>
      <c r="BD99" s="2" t="str">
        <f>IF(PP!D99="","",PP!D99)</f>
        <v/>
      </c>
      <c r="BE99" s="2" t="str">
        <f>IF(PP!E99="","",PP!E99)</f>
        <v/>
      </c>
      <c r="BF99" s="609" t="str">
        <f>IF(PP!F99="","",PP!F99)</f>
        <v/>
      </c>
      <c r="BG99" s="609" t="str">
        <f>IF(PP!G99="","",PP!G99)</f>
        <v/>
      </c>
      <c r="BH99" s="609" t="str">
        <f>IF(PP!H99="","",PP!H99)</f>
        <v/>
      </c>
      <c r="BI99" s="2" t="str">
        <f>IF(PP!I99="","",PP!I99)</f>
        <v/>
      </c>
      <c r="BJ99" s="2"/>
      <c r="BK99" s="2"/>
      <c r="BL99" s="2" t="str">
        <f>IF(PP!J99="","",PP!J99)</f>
        <v/>
      </c>
      <c r="BM99" s="5" t="str">
        <f>IF(PP!K99="","",PP!K99)</f>
        <v/>
      </c>
      <c r="BN99" s="2" t="str">
        <f>IF(PP!L99="","",PP!L99)</f>
        <v/>
      </c>
      <c r="BO99" s="5" t="str">
        <f>IF(PP!M99="","",PP!M99)</f>
        <v/>
      </c>
    </row>
    <row r="100" spans="54:67" ht="23.25">
      <c r="BB100" s="2"/>
      <c r="BC100" s="2"/>
      <c r="BD100" s="2"/>
      <c r="BE100" s="1"/>
      <c r="BF100" s="1"/>
      <c r="BG100" s="1"/>
      <c r="BH100" s="1" t="str">
        <f>IF(PP!H100="","",PP!H100)</f>
        <v/>
      </c>
      <c r="BI100" s="2" t="str">
        <f>IF(PP!I100="","",PP!I100)</f>
        <v/>
      </c>
      <c r="BJ100" s="2"/>
      <c r="BK100" s="2"/>
      <c r="BL100" s="2" t="str">
        <f>IF(PP!J100="","",PP!J100)</f>
        <v/>
      </c>
      <c r="BM100" s="5" t="str">
        <f>IF(PP!K100="","",PP!K100)</f>
        <v/>
      </c>
      <c r="BN100" s="2" t="str">
        <f>IF(PP!L100="","",PP!L100)</f>
        <v/>
      </c>
      <c r="BO100" s="5" t="str">
        <f>IF(PP!M100="","",PP!M100)</f>
        <v/>
      </c>
    </row>
    <row r="102" spans="54:67" ht="15.75">
      <c r="BB102" s="2884"/>
      <c r="BC102" s="2884"/>
      <c r="BD102" s="2884"/>
      <c r="BE102" s="2884"/>
      <c r="BF102" s="2884"/>
      <c r="BG102" s="2884"/>
    </row>
    <row r="103" spans="54:67" ht="15.75">
      <c r="BB103" s="610"/>
      <c r="BC103" s="611"/>
      <c r="BD103" s="610"/>
      <c r="BE103" s="610"/>
      <c r="BF103" s="611"/>
      <c r="BG103" s="610"/>
    </row>
    <row r="104" spans="54:67" ht="15.75">
      <c r="BB104" s="610"/>
      <c r="BC104" s="611"/>
      <c r="BD104" s="610"/>
      <c r="BE104" s="610"/>
      <c r="BF104" s="612"/>
      <c r="BG104" s="610"/>
    </row>
  </sheetData>
  <mergeCells count="80">
    <mergeCell ref="BB1:BL1"/>
    <mergeCell ref="BC92:BD92"/>
    <mergeCell ref="BC93:BD93"/>
    <mergeCell ref="BC3:BE4"/>
    <mergeCell ref="BB22:BC22"/>
    <mergeCell ref="BC87:BD87"/>
    <mergeCell ref="BC88:BD88"/>
    <mergeCell ref="BC89:BD89"/>
    <mergeCell ref="BC90:BD90"/>
    <mergeCell ref="BC91:BD91"/>
    <mergeCell ref="BC82:BD82"/>
    <mergeCell ref="BC83:BD83"/>
    <mergeCell ref="BC84:BD84"/>
    <mergeCell ref="BC85:BD85"/>
    <mergeCell ref="BC86:BD86"/>
    <mergeCell ref="BC77:BD77"/>
    <mergeCell ref="BC80:BD80"/>
    <mergeCell ref="BC81:BD81"/>
    <mergeCell ref="BC38:BD38"/>
    <mergeCell ref="BC43:BD43"/>
    <mergeCell ref="BC42:BD42"/>
    <mergeCell ref="BC41:BD41"/>
    <mergeCell ref="BC40:BD40"/>
    <mergeCell ref="BC39:BD39"/>
    <mergeCell ref="BC48:BD48"/>
    <mergeCell ref="BC47:BD47"/>
    <mergeCell ref="BC46:BD46"/>
    <mergeCell ref="BC45:BD45"/>
    <mergeCell ref="BC44:BD44"/>
    <mergeCell ref="BC64:BD64"/>
    <mergeCell ref="BC36:BD36"/>
    <mergeCell ref="BC78:BD78"/>
    <mergeCell ref="BC79:BD79"/>
    <mergeCell ref="BC63:BD63"/>
    <mergeCell ref="BC62:BD62"/>
    <mergeCell ref="BC61:BD61"/>
    <mergeCell ref="BC60:BD60"/>
    <mergeCell ref="BC59:BD59"/>
    <mergeCell ref="BC57:BD57"/>
    <mergeCell ref="BC58:BD58"/>
    <mergeCell ref="BB102:BG102"/>
    <mergeCell ref="BL6:BL7"/>
    <mergeCell ref="BC49:BD49"/>
    <mergeCell ref="BC50:BD50"/>
    <mergeCell ref="BC51:BD51"/>
    <mergeCell ref="BC52:BD52"/>
    <mergeCell ref="BC53:BD53"/>
    <mergeCell ref="BC54:BD54"/>
    <mergeCell ref="BC55:BD55"/>
    <mergeCell ref="BC56:BD56"/>
    <mergeCell ref="BC70:BD70"/>
    <mergeCell ref="BC69:BD69"/>
    <mergeCell ref="BC68:BD68"/>
    <mergeCell ref="BC67:BD67"/>
    <mergeCell ref="BC66:BD66"/>
    <mergeCell ref="BC65:BD65"/>
    <mergeCell ref="AG5:AV5"/>
    <mergeCell ref="AG57:AV57"/>
    <mergeCell ref="AA5:AE5"/>
    <mergeCell ref="BC37:BD37"/>
    <mergeCell ref="BC24:BD24"/>
    <mergeCell ref="BC25:BD25"/>
    <mergeCell ref="BC26:BD26"/>
    <mergeCell ref="BC27:BD27"/>
    <mergeCell ref="BC28:BD28"/>
    <mergeCell ref="BC29:BD29"/>
    <mergeCell ref="BC30:BD30"/>
    <mergeCell ref="BC31:BD31"/>
    <mergeCell ref="BC32:BD32"/>
    <mergeCell ref="BC33:BD33"/>
    <mergeCell ref="BC34:BD34"/>
    <mergeCell ref="BC35:BD35"/>
    <mergeCell ref="K5:N5"/>
    <mergeCell ref="A1:M1"/>
    <mergeCell ref="A4:M4"/>
    <mergeCell ref="F5:H5"/>
    <mergeCell ref="C5:E5"/>
    <mergeCell ref="A5:B5"/>
    <mergeCell ref="I5:J5"/>
    <mergeCell ref="A2:C2"/>
  </mergeCells>
  <conditionalFormatting sqref="K7:M55">
    <cfRule type="expression" dxfId="8" priority="6">
      <formula>$K7&gt;0</formula>
    </cfRule>
  </conditionalFormatting>
  <conditionalFormatting sqref="F7:H55">
    <cfRule type="expression" dxfId="7" priority="13">
      <formula>OR($F7&gt;0,$G7&gt;0)</formula>
    </cfRule>
  </conditionalFormatting>
  <conditionalFormatting sqref="C7:E55">
    <cfRule type="expression" dxfId="6" priority="18">
      <formula>OR($C7&gt;0,$D7&gt;0)</formula>
    </cfRule>
  </conditionalFormatting>
  <conditionalFormatting sqref="A7:B55">
    <cfRule type="expression" dxfId="5" priority="20">
      <formula>AND(OR($C7&gt;0,$D7&gt;0),NOT(OR($F7&gt;0,$G7&gt;0)))</formula>
    </cfRule>
  </conditionalFormatting>
  <conditionalFormatting sqref="A7:B55">
    <cfRule type="expression" dxfId="4" priority="21">
      <formula>AND(NOT(OR($C7&gt;0,$D7&gt;0)),OR($F7&gt;0,$G7&gt;0))</formula>
    </cfRule>
  </conditionalFormatting>
  <conditionalFormatting sqref="A7:B55">
    <cfRule type="expression" dxfId="3" priority="22">
      <formula>AND(OR($C7&gt;0,$D7&gt;0),OR($F7&gt;0,$G7&gt;0))</formula>
    </cfRule>
  </conditionalFormatting>
  <conditionalFormatting sqref="AI7:AU55">
    <cfRule type="expression" dxfId="2" priority="23">
      <formula>$AV7="SALDO SOBRANTE"</formula>
    </cfRule>
  </conditionalFormatting>
  <conditionalFormatting sqref="AV7:AV55">
    <cfRule type="expression" dxfId="1" priority="24">
      <formula>AV7="SALDO SOBRANTE"</formula>
    </cfRule>
  </conditionalFormatting>
  <conditionalFormatting sqref="BI24:BK72">
    <cfRule type="expression" dxfId="0" priority="25">
      <formula>BI24&gt;0</formula>
    </cfRule>
  </conditionalFormatting>
  <pageMargins left="0.7" right="0.7" top="0.75" bottom="0.75" header="0.3" footer="0.3"/>
  <pageSetup paperSize="9" scale="28" fitToHeight="0"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8563B-AC7B-4493-A54C-C765498B27B6}">
  <sheetPr codeName="Hoja20">
    <tabColor rgb="FFF2F56F"/>
  </sheetPr>
  <dimension ref="B1:P112"/>
  <sheetViews>
    <sheetView showGridLines="0" view="pageBreakPreview" zoomScale="55" zoomScaleNormal="55" zoomScaleSheetLayoutView="55" zoomScalePageLayoutView="42" workbookViewId="0">
      <selection activeCell="C32" sqref="C32"/>
    </sheetView>
  </sheetViews>
  <sheetFormatPr baseColWidth="10" defaultColWidth="14.42578125" defaultRowHeight="23.25"/>
  <cols>
    <col min="1" max="1" width="4.5703125" style="2" customWidth="1"/>
    <col min="2" max="2" width="10.7109375" style="2" bestFit="1" customWidth="1"/>
    <col min="3" max="3" width="46.7109375" style="2" bestFit="1" customWidth="1"/>
    <col min="4" max="4" width="22.28515625" style="2" bestFit="1" customWidth="1"/>
    <col min="5" max="5" width="12.140625" style="2" bestFit="1" customWidth="1"/>
    <col min="6" max="6" width="15" style="2" bestFit="1" customWidth="1"/>
    <col min="7" max="7" width="11.7109375" style="5" bestFit="1" customWidth="1"/>
    <col min="8" max="8" width="12" style="5" bestFit="1" customWidth="1"/>
    <col min="9" max="9" width="25.140625" style="5" bestFit="1" customWidth="1"/>
    <col min="10" max="10" width="27.140625" style="5" bestFit="1" customWidth="1"/>
    <col min="11" max="11" width="24.42578125" style="5" bestFit="1" customWidth="1"/>
    <col min="12" max="12" width="14.85546875" style="5" bestFit="1" customWidth="1"/>
    <col min="13" max="13" width="11.85546875" style="5" customWidth="1"/>
    <col min="14" max="14" width="17.28515625" style="2" customWidth="1"/>
    <col min="15" max="15" width="10.7109375" style="2" customWidth="1"/>
    <col min="16" max="16" width="16.42578125" style="2" customWidth="1"/>
    <col min="17" max="16384" width="14.42578125" style="2"/>
  </cols>
  <sheetData>
    <row r="1" spans="2:16" ht="30.75" customHeight="1">
      <c r="C1" s="2281" t="s">
        <v>77</v>
      </c>
      <c r="D1" s="2281"/>
      <c r="E1" s="2281"/>
      <c r="F1" s="2281"/>
      <c r="G1" s="2281"/>
      <c r="H1" s="2281"/>
      <c r="I1" s="2281"/>
      <c r="J1" s="2281"/>
      <c r="K1" s="2281"/>
      <c r="L1" s="3"/>
      <c r="M1" s="3"/>
      <c r="N1" s="1"/>
      <c r="O1" s="1"/>
    </row>
    <row r="2" spans="2:16" ht="30.75" customHeight="1">
      <c r="C2" s="2281"/>
      <c r="D2" s="2281"/>
      <c r="E2" s="2281"/>
      <c r="F2" s="2281"/>
      <c r="G2" s="2281"/>
      <c r="H2" s="2281"/>
      <c r="I2" s="2281"/>
      <c r="J2" s="2281"/>
      <c r="K2" s="2281"/>
      <c r="L2" s="6"/>
      <c r="M2" s="6"/>
      <c r="N2" s="1"/>
      <c r="O2" s="1"/>
    </row>
    <row r="3" spans="2:16" ht="15.75" customHeight="1">
      <c r="G3" s="6"/>
      <c r="H3" s="6"/>
      <c r="I3" s="6"/>
      <c r="J3" s="6"/>
      <c r="K3" s="6"/>
      <c r="L3" s="6"/>
      <c r="M3" s="6"/>
      <c r="N3" s="1"/>
      <c r="O3" s="1"/>
    </row>
    <row r="4" spans="2:16">
      <c r="C4" s="1"/>
      <c r="D4" s="4"/>
      <c r="E4" s="4"/>
      <c r="F4" s="1"/>
      <c r="G4" s="7"/>
      <c r="H4" s="7"/>
      <c r="I4" s="1055">
        <v>0.2</v>
      </c>
      <c r="J4" s="1055">
        <v>0.1</v>
      </c>
      <c r="K4" s="7"/>
      <c r="L4" s="7"/>
      <c r="M4" s="7"/>
      <c r="N4" s="1"/>
      <c r="O4" s="1"/>
    </row>
    <row r="5" spans="2:16" ht="34.5" customHeight="1">
      <c r="B5" s="1050" t="s">
        <v>134</v>
      </c>
      <c r="C5" s="1051" t="s">
        <v>6</v>
      </c>
      <c r="D5" s="1052" t="s">
        <v>25</v>
      </c>
      <c r="E5" s="1052" t="s">
        <v>8</v>
      </c>
      <c r="F5" s="1052" t="s">
        <v>135</v>
      </c>
      <c r="G5"/>
      <c r="H5" s="11"/>
      <c r="I5" s="1056" t="s">
        <v>136</v>
      </c>
      <c r="J5" s="1056" t="s">
        <v>137</v>
      </c>
      <c r="K5" s="11"/>
      <c r="L5" s="11"/>
      <c r="M5" s="11"/>
      <c r="N5" s="1"/>
      <c r="O5" s="1"/>
      <c r="P5" s="1"/>
    </row>
    <row r="6" spans="2:16">
      <c r="B6" s="1053" t="s">
        <v>134</v>
      </c>
      <c r="C6" s="1053" t="s">
        <v>415</v>
      </c>
      <c r="D6" s="1054" t="s">
        <v>9</v>
      </c>
      <c r="E6" s="1054" t="s">
        <v>8</v>
      </c>
      <c r="F6" s="1054" t="s">
        <v>575</v>
      </c>
      <c r="G6"/>
      <c r="H6" s="12"/>
      <c r="I6" s="74" t="e">
        <f>+((F6+F13+F37)+(F6+F13+F37)*0.25)</f>
        <v>#VALUE!</v>
      </c>
      <c r="J6" s="75" t="e">
        <f>+((F7+F14+F38)+(F7+F14+F38)*0.1)</f>
        <v>#VALUE!</v>
      </c>
      <c r="K6" s="12"/>
      <c r="L6" s="12"/>
      <c r="M6" s="12"/>
      <c r="N6" s="1"/>
      <c r="O6" s="1"/>
      <c r="P6" s="1"/>
    </row>
    <row r="7" spans="2:16">
      <c r="B7" s="1036">
        <v>1</v>
      </c>
      <c r="C7" s="1035" t="str">
        <f>IF(PP!C24="","",PP!C24)</f>
        <v>ANILLAS BLANCAS SM ST</v>
      </c>
      <c r="D7" s="1041">
        <f>+PP!E24</f>
        <v>0</v>
      </c>
      <c r="E7" s="1042">
        <f t="shared" ref="E7:E54" si="0">D7*20</f>
        <v>0</v>
      </c>
      <c r="F7" s="1042">
        <f t="shared" ref="F7:F54" si="1">IF(OR(ISNUMBER(SEARCH("ANILLAS BLANCAS",C7)),ISNUMBER(SEARCH("ANILLAS AMARILLAS",C7)),ISNUMBER(SEARCH("BOTON",C7)),ISNUMBER(SEARCH("RECORTE",C7))),IF(ISNUMBER(SEARCH("ANILLAS BLANCAS",C7)),E7*11.5/10,E7*11/10),"")</f>
        <v>0</v>
      </c>
      <c r="G7"/>
      <c r="H7" s="10"/>
      <c r="I7" s="72"/>
      <c r="J7" s="72"/>
      <c r="K7" s="10"/>
      <c r="L7" s="10"/>
      <c r="M7" s="10"/>
      <c r="N7" s="1"/>
      <c r="O7" s="1"/>
      <c r="P7" s="1"/>
    </row>
    <row r="8" spans="2:16">
      <c r="B8" s="1037">
        <v>2</v>
      </c>
      <c r="C8" s="1033" t="str">
        <f>IF(PP!C25="","",PP!C25)</f>
        <v>ANILLAS AMARILLAS SM ST</v>
      </c>
      <c r="D8" s="1041">
        <f>+PP!E25</f>
        <v>0</v>
      </c>
      <c r="E8" s="1043">
        <f t="shared" si="0"/>
        <v>0</v>
      </c>
      <c r="F8" s="1043">
        <f t="shared" si="1"/>
        <v>0</v>
      </c>
      <c r="G8"/>
      <c r="H8" s="13"/>
      <c r="I8"/>
      <c r="J8"/>
      <c r="K8"/>
      <c r="L8"/>
      <c r="M8"/>
      <c r="N8" s="1"/>
      <c r="O8" s="1"/>
    </row>
    <row r="9" spans="2:16">
      <c r="B9" s="1037">
        <v>3</v>
      </c>
      <c r="C9" s="1033" t="str">
        <f>IF(PP!C26="","",PP!C26)</f>
        <v>ANILLAS BLANCAS SM ST MEDIANA</v>
      </c>
      <c r="D9" s="1041">
        <f>+PP!E26</f>
        <v>0</v>
      </c>
      <c r="E9" s="1043">
        <f t="shared" si="0"/>
        <v>0</v>
      </c>
      <c r="F9" s="1043">
        <f t="shared" si="1"/>
        <v>0</v>
      </c>
      <c r="G9"/>
      <c r="H9" s="12"/>
      <c r="I9"/>
      <c r="J9"/>
      <c r="K9"/>
      <c r="L9"/>
      <c r="M9"/>
      <c r="N9" s="1"/>
      <c r="O9" s="1"/>
      <c r="P9" s="1"/>
    </row>
    <row r="10" spans="2:16">
      <c r="B10" s="1037">
        <v>4</v>
      </c>
      <c r="C10" s="1033" t="str">
        <f>IF(PP!C27="","",PP!C27)</f>
        <v>ALETA FRESCA CORTE CRUZ</v>
      </c>
      <c r="D10" s="1041">
        <f>+PP!E27</f>
        <v>0</v>
      </c>
      <c r="E10" s="1043">
        <f t="shared" si="0"/>
        <v>0</v>
      </c>
      <c r="F10" s="1043" t="str">
        <f t="shared" si="1"/>
        <v/>
      </c>
      <c r="G10"/>
      <c r="H10" s="12"/>
      <c r="I10"/>
      <c r="J10"/>
      <c r="K10"/>
      <c r="L10"/>
      <c r="M10"/>
      <c r="N10" s="1"/>
      <c r="O10" s="1"/>
      <c r="P10" s="1"/>
    </row>
    <row r="11" spans="2:16">
      <c r="B11" s="1037">
        <v>5</v>
      </c>
      <c r="C11" s="1033" t="str">
        <f>IF(PP!C28="","",PP!C28)</f>
        <v>ALETA ENTERA 100-500 g/pza</v>
      </c>
      <c r="D11" s="1041">
        <f>+PP!E28</f>
        <v>0</v>
      </c>
      <c r="E11" s="1043">
        <f t="shared" si="0"/>
        <v>0</v>
      </c>
      <c r="F11" s="1043" t="str">
        <f t="shared" si="1"/>
        <v/>
      </c>
      <c r="G11"/>
      <c r="H11" s="12"/>
      <c r="I11"/>
      <c r="J11"/>
      <c r="K11"/>
      <c r="L11"/>
      <c r="M11"/>
      <c r="N11" s="1"/>
      <c r="O11" s="1"/>
      <c r="P11" s="1"/>
    </row>
    <row r="12" spans="2:16">
      <c r="B12" s="1037">
        <v>6</v>
      </c>
      <c r="C12" s="1033" t="str">
        <f>IF(PP!C29="","",PP!C29)</f>
        <v>ALETA ENTERA 500-1000 g/pza</v>
      </c>
      <c r="D12" s="1041">
        <f>+PP!E29</f>
        <v>0</v>
      </c>
      <c r="E12" s="1043">
        <f t="shared" si="0"/>
        <v>0</v>
      </c>
      <c r="F12" s="1043" t="str">
        <f t="shared" si="1"/>
        <v/>
      </c>
      <c r="G12"/>
      <c r="H12" s="12"/>
      <c r="I12"/>
      <c r="J12"/>
      <c r="K12"/>
      <c r="L12"/>
      <c r="M12"/>
      <c r="N12" s="1"/>
      <c r="O12" s="1"/>
      <c r="P12" s="1"/>
    </row>
    <row r="13" spans="2:16">
      <c r="B13" s="1038">
        <v>7</v>
      </c>
      <c r="C13" s="1034" t="str">
        <f>IF(PP!C30="","",PP!C30)</f>
        <v>ALETA ENTERA 1.0-2.0 kg/pza</v>
      </c>
      <c r="D13" s="1041">
        <f>+PP!E30</f>
        <v>0</v>
      </c>
      <c r="E13" s="1044">
        <f t="shared" si="0"/>
        <v>0</v>
      </c>
      <c r="F13" s="1044" t="str">
        <f t="shared" si="1"/>
        <v/>
      </c>
      <c r="G13"/>
      <c r="H13" s="12"/>
      <c r="I13"/>
      <c r="J13"/>
      <c r="K13"/>
      <c r="L13"/>
      <c r="M13"/>
      <c r="N13" s="1"/>
      <c r="O13" s="1"/>
      <c r="P13" s="1"/>
    </row>
    <row r="14" spans="2:16">
      <c r="B14" s="1036">
        <v>8</v>
      </c>
      <c r="C14" s="1035" t="str">
        <f>IF(PP!C31="","",PP!C31)</f>
        <v>ALETA FRESCA PARTIDA 2.0-4.0 kg/pza</v>
      </c>
      <c r="D14" s="1041">
        <f>+PP!E31</f>
        <v>0</v>
      </c>
      <c r="E14" s="1042">
        <f t="shared" si="0"/>
        <v>0</v>
      </c>
      <c r="F14" s="1042" t="str">
        <f t="shared" si="1"/>
        <v/>
      </c>
      <c r="G14"/>
      <c r="H14" s="12"/>
      <c r="I14"/>
      <c r="J14"/>
      <c r="K14"/>
      <c r="L14"/>
      <c r="M14"/>
      <c r="N14" s="1"/>
      <c r="O14" s="1"/>
      <c r="P14" s="1"/>
    </row>
    <row r="15" spans="2:16">
      <c r="B15" s="1037">
        <v>9</v>
      </c>
      <c r="C15" s="1033" t="str">
        <f>IF(PP!C32="","",PP!C32)</f>
        <v>ALETA PRECOCIDA ENTERA 300-UP g/pza</v>
      </c>
      <c r="D15" s="1041">
        <f>+PP!E32</f>
        <v>0</v>
      </c>
      <c r="E15" s="1043">
        <f t="shared" si="0"/>
        <v>0</v>
      </c>
      <c r="F15" s="1043" t="str">
        <f t="shared" si="1"/>
        <v/>
      </c>
      <c r="G15"/>
      <c r="H15" s="12"/>
      <c r="I15"/>
      <c r="J15"/>
      <c r="K15"/>
      <c r="L15"/>
      <c r="M15"/>
      <c r="N15" s="1"/>
      <c r="O15" s="1"/>
      <c r="P15" s="1"/>
    </row>
    <row r="16" spans="2:16">
      <c r="B16" s="1037">
        <v>10</v>
      </c>
      <c r="C16" s="1033" t="str">
        <f>IF(PP!C33="","",PP!C33)</f>
        <v>ALETA PRECOCIDA PARTIDA 300-UP g/pza</v>
      </c>
      <c r="D16" s="1041">
        <f>+PP!E33</f>
        <v>0</v>
      </c>
      <c r="E16" s="1043">
        <f t="shared" si="0"/>
        <v>0</v>
      </c>
      <c r="F16" s="1043" t="str">
        <f t="shared" si="1"/>
        <v/>
      </c>
      <c r="G16"/>
      <c r="H16" s="12"/>
      <c r="I16"/>
      <c r="J16"/>
      <c r="K16"/>
      <c r="L16"/>
      <c r="M16"/>
      <c r="N16" s="1"/>
      <c r="O16" s="1"/>
      <c r="P16" s="1"/>
    </row>
    <row r="17" spans="2:16">
      <c r="B17" s="1037">
        <v>11</v>
      </c>
      <c r="C17" s="1033" t="str">
        <f>IF(PP!C34="","",PP!C34)</f>
        <v>BOTON BLANCO SM ST</v>
      </c>
      <c r="D17" s="1041">
        <f>+PP!E34</f>
        <v>0</v>
      </c>
      <c r="E17" s="1043">
        <f t="shared" si="0"/>
        <v>0</v>
      </c>
      <c r="F17" s="1043">
        <f t="shared" si="1"/>
        <v>0</v>
      </c>
      <c r="G17"/>
      <c r="H17" s="8"/>
      <c r="I17" s="8"/>
      <c r="J17" s="8"/>
      <c r="K17" s="8"/>
      <c r="L17" s="8"/>
      <c r="M17" s="8"/>
      <c r="N17" s="1"/>
      <c r="O17" s="1"/>
      <c r="P17" s="1"/>
    </row>
    <row r="18" spans="2:16">
      <c r="B18" s="1037">
        <v>12</v>
      </c>
      <c r="C18" s="1033" t="str">
        <f>IF(PP!C35="","",PP!C35)</f>
        <v>BOTON AMARILLO SM ST</v>
      </c>
      <c r="D18" s="1041">
        <f>+PP!E35</f>
        <v>0</v>
      </c>
      <c r="E18" s="1043">
        <f t="shared" si="0"/>
        <v>0</v>
      </c>
      <c r="F18" s="1043">
        <f t="shared" si="1"/>
        <v>0</v>
      </c>
      <c r="G18"/>
      <c r="H18" s="8"/>
      <c r="I18" s="8"/>
      <c r="J18" s="8"/>
      <c r="K18" s="8"/>
      <c r="L18" s="8"/>
      <c r="M18" s="8"/>
      <c r="N18" s="1"/>
      <c r="O18" s="1"/>
      <c r="P18" s="1"/>
    </row>
    <row r="19" spans="2:16">
      <c r="B19" s="1037">
        <v>13</v>
      </c>
      <c r="C19" s="1033" t="str">
        <f>IF(PP!C36="","",PP!C36)</f>
        <v>CONOS DE POTA</v>
      </c>
      <c r="D19" s="1041">
        <f>+PP!E36</f>
        <v>0</v>
      </c>
      <c r="E19" s="1043">
        <f t="shared" si="0"/>
        <v>0</v>
      </c>
      <c r="F19" s="1043" t="str">
        <f t="shared" si="1"/>
        <v/>
      </c>
      <c r="G19"/>
      <c r="H19" s="11"/>
      <c r="I19" s="73" t="s">
        <v>174</v>
      </c>
      <c r="J19" s="73" t="s">
        <v>174</v>
      </c>
      <c r="K19" s="11"/>
      <c r="L19" s="11"/>
      <c r="M19" s="11"/>
      <c r="N19" s="1"/>
      <c r="O19" s="1"/>
      <c r="P19" s="1"/>
    </row>
    <row r="20" spans="2:16">
      <c r="B20" s="1037">
        <v>14</v>
      </c>
      <c r="C20" s="1033" t="str">
        <f>IF(PP!C37="","",PP!C37)</f>
        <v>FILETE C/TT DARUMA</v>
      </c>
      <c r="D20" s="1041">
        <f>+PP!E37</f>
        <v>0</v>
      </c>
      <c r="E20" s="1043">
        <f t="shared" si="0"/>
        <v>0</v>
      </c>
      <c r="F20" s="1043" t="str">
        <f t="shared" si="1"/>
        <v/>
      </c>
      <c r="G20"/>
      <c r="H20" s="8"/>
      <c r="I20" s="77">
        <f>SUM(E21:E23)</f>
        <v>0</v>
      </c>
      <c r="J20" s="77"/>
      <c r="K20" s="8"/>
      <c r="L20" s="8"/>
      <c r="M20" s="8"/>
      <c r="N20" s="1"/>
      <c r="O20" s="1"/>
      <c r="P20" s="1"/>
    </row>
    <row r="21" spans="2:16">
      <c r="B21" s="1037">
        <v>15</v>
      </c>
      <c r="C21" s="1033" t="str">
        <f>IF(PP!C38="","",PP!C38)</f>
        <v>FILETE C/M C/T TRES PIELES 1.0-2.0 kg/pza</v>
      </c>
      <c r="D21" s="1041">
        <f>+PP!E38</f>
        <v>0</v>
      </c>
      <c r="E21" s="1043">
        <f t="shared" si="0"/>
        <v>0</v>
      </c>
      <c r="F21" s="1043" t="str">
        <f t="shared" si="1"/>
        <v/>
      </c>
      <c r="G21"/>
      <c r="H21" s="8"/>
      <c r="I21" s="77"/>
      <c r="J21" s="77"/>
      <c r="K21" s="8"/>
      <c r="L21" s="8"/>
      <c r="M21" s="8"/>
      <c r="N21" s="1"/>
      <c r="O21" s="1"/>
      <c r="P21" s="1"/>
    </row>
    <row r="22" spans="2:16">
      <c r="B22" s="1037">
        <v>16</v>
      </c>
      <c r="C22" s="1033" t="str">
        <f>IF(PP!C39="","",PP!C39)</f>
        <v>FILETE C/M C/T TRES PIELES 2.0-4.0 kg/pza</v>
      </c>
      <c r="D22" s="1041">
        <f>+PP!E39</f>
        <v>0</v>
      </c>
      <c r="E22" s="1043">
        <f t="shared" si="0"/>
        <v>0</v>
      </c>
      <c r="F22" s="1043" t="str">
        <f t="shared" si="1"/>
        <v/>
      </c>
      <c r="G22"/>
      <c r="H22" s="12"/>
      <c r="I22" s="12"/>
      <c r="J22" s="12"/>
      <c r="K22" s="12"/>
      <c r="L22" s="12"/>
      <c r="M22" s="12"/>
      <c r="N22" s="1"/>
      <c r="O22" s="1"/>
      <c r="P22" s="1"/>
    </row>
    <row r="23" spans="2:16">
      <c r="B23" s="1037">
        <v>17</v>
      </c>
      <c r="C23" s="1033" t="str">
        <f>IF(PP!C40="","",PP!C40)</f>
        <v>FILETE C/M C/T ENTERO BLANCO 1.0-2.0 kg/pza</v>
      </c>
      <c r="D23" s="1041">
        <f>+PP!E40</f>
        <v>0</v>
      </c>
      <c r="E23" s="1043">
        <f t="shared" si="0"/>
        <v>0</v>
      </c>
      <c r="F23" s="1043" t="str">
        <f t="shared" si="1"/>
        <v/>
      </c>
      <c r="G23"/>
      <c r="H23" s="8"/>
      <c r="I23" s="8"/>
      <c r="J23" s="8"/>
      <c r="K23" s="8"/>
      <c r="L23" s="8"/>
      <c r="M23" s="8"/>
      <c r="N23" s="1"/>
      <c r="O23" s="1"/>
      <c r="P23" s="1"/>
    </row>
    <row r="24" spans="2:16">
      <c r="B24" s="1037">
        <v>18</v>
      </c>
      <c r="C24" s="1033" t="str">
        <f>IF(PP!C41="","",PP!C41)</f>
        <v>FILETE C/M C/T ENTERO BLANCO 2.0-4.0 kg/pza</v>
      </c>
      <c r="D24" s="1041">
        <f>+PP!E41</f>
        <v>0</v>
      </c>
      <c r="E24" s="1043">
        <f t="shared" si="0"/>
        <v>0</v>
      </c>
      <c r="F24" s="1043" t="str">
        <f t="shared" si="1"/>
        <v/>
      </c>
      <c r="G24"/>
      <c r="H24" s="8"/>
      <c r="I24" s="8"/>
      <c r="J24" s="8"/>
      <c r="K24" s="8"/>
      <c r="L24" s="8"/>
      <c r="M24" s="8"/>
      <c r="N24" s="1"/>
      <c r="O24" s="1"/>
      <c r="P24" s="1"/>
    </row>
    <row r="25" spans="2:16">
      <c r="B25" s="1037">
        <v>19</v>
      </c>
      <c r="C25" s="1033" t="str">
        <f>IF(PP!C42="","",PP!C42)</f>
        <v>FILETE LP C/M C/T ENTERO 2.0-4.0 kg/pza</v>
      </c>
      <c r="D25" s="1041">
        <f>+PP!E42</f>
        <v>0</v>
      </c>
      <c r="E25" s="1043">
        <f t="shared" si="0"/>
        <v>0</v>
      </c>
      <c r="F25" s="1043" t="str">
        <f t="shared" si="1"/>
        <v/>
      </c>
      <c r="G25"/>
      <c r="H25" s="8"/>
      <c r="I25" s="8"/>
      <c r="J25" s="8"/>
      <c r="K25" s="8"/>
      <c r="L25" s="8"/>
      <c r="M25" s="8"/>
      <c r="N25" s="1"/>
      <c r="O25" s="1"/>
      <c r="P25" s="1"/>
    </row>
    <row r="26" spans="2:16">
      <c r="B26" s="1037">
        <v>20</v>
      </c>
      <c r="C26" s="1033" t="str">
        <f>IF(PP!C43="","",PP!C43)</f>
        <v>MANTO BLANCO C/M C/T 500-1000 g/pza</v>
      </c>
      <c r="D26" s="1041">
        <f>+PP!E43</f>
        <v>0</v>
      </c>
      <c r="E26" s="1043">
        <f t="shared" si="0"/>
        <v>0</v>
      </c>
      <c r="F26" s="1043" t="str">
        <f t="shared" si="1"/>
        <v/>
      </c>
      <c r="G26"/>
      <c r="H26" s="8"/>
      <c r="I26" s="8"/>
      <c r="J26" s="8"/>
      <c r="K26" s="8"/>
      <c r="L26" s="8"/>
      <c r="M26" s="8"/>
      <c r="N26" s="1"/>
      <c r="O26" s="1"/>
      <c r="P26" s="1"/>
    </row>
    <row r="27" spans="2:16">
      <c r="B27" s="1037">
        <v>21</v>
      </c>
      <c r="C27" s="1033" t="str">
        <f>IF(PP!C44="","",PP!C44)</f>
        <v>MANTO BLANCO C/M C/T 1.0-2.0 kg/pza</v>
      </c>
      <c r="D27" s="1041">
        <f>+PP!E44</f>
        <v>0</v>
      </c>
      <c r="E27" s="1043">
        <f t="shared" si="0"/>
        <v>0</v>
      </c>
      <c r="F27" s="1043" t="str">
        <f t="shared" si="1"/>
        <v/>
      </c>
      <c r="G27"/>
      <c r="H27" s="8"/>
      <c r="I27" s="8"/>
      <c r="J27" s="8"/>
      <c r="K27" s="8"/>
      <c r="L27" s="8"/>
      <c r="M27" s="8"/>
      <c r="N27" s="1"/>
      <c r="O27" s="1"/>
      <c r="P27" s="1"/>
    </row>
    <row r="28" spans="2:16">
      <c r="B28" s="1037">
        <v>22</v>
      </c>
      <c r="C28" s="1033" t="str">
        <f>IF(PP!C45="","",PP!C45)</f>
        <v>MANTO BLANCO C/M C/T 2.0-4.0 kg/pza</v>
      </c>
      <c r="D28" s="1041">
        <f>+PP!E45</f>
        <v>0</v>
      </c>
      <c r="E28" s="1043">
        <f t="shared" si="0"/>
        <v>0</v>
      </c>
      <c r="F28" s="1043" t="str">
        <f t="shared" si="1"/>
        <v/>
      </c>
      <c r="G28"/>
      <c r="H28" s="12"/>
      <c r="I28" s="12"/>
      <c r="J28" s="12"/>
      <c r="K28" s="12"/>
      <c r="L28" s="12"/>
      <c r="M28" s="12"/>
      <c r="N28" s="1"/>
      <c r="O28" s="1"/>
      <c r="P28" s="1"/>
    </row>
    <row r="29" spans="2:16">
      <c r="B29" s="1037">
        <v>23</v>
      </c>
      <c r="C29" s="1033" t="str">
        <f>IF(PP!C46="","",PP!C46)</f>
        <v>MANTO LP C/M C/T 500-1000 g/pza</v>
      </c>
      <c r="D29" s="1041">
        <f>+PP!E46</f>
        <v>0</v>
      </c>
      <c r="E29" s="1043">
        <f t="shared" si="0"/>
        <v>0</v>
      </c>
      <c r="F29" s="1043" t="str">
        <f t="shared" si="1"/>
        <v/>
      </c>
      <c r="G29"/>
      <c r="H29" s="12"/>
      <c r="I29" s="12"/>
      <c r="J29" s="12"/>
      <c r="K29" s="12"/>
      <c r="L29" s="12"/>
      <c r="M29" s="12"/>
      <c r="N29" s="1"/>
      <c r="O29" s="1"/>
      <c r="P29" s="1"/>
    </row>
    <row r="30" spans="2:16">
      <c r="B30" s="1037">
        <v>24</v>
      </c>
      <c r="C30" s="1033" t="str">
        <f>IF(PP!C47="","",PP!C47)</f>
        <v>MANTO LP C/M C/T 1.0-2.0 Kg/pza</v>
      </c>
      <c r="D30" s="1041">
        <f>+PP!E47</f>
        <v>0</v>
      </c>
      <c r="E30" s="1043">
        <f t="shared" si="0"/>
        <v>0</v>
      </c>
      <c r="F30" s="1043" t="str">
        <f t="shared" si="1"/>
        <v/>
      </c>
      <c r="G30"/>
      <c r="H30" s="8"/>
      <c r="I30" s="8"/>
      <c r="J30" s="8"/>
      <c r="K30" s="8"/>
      <c r="L30" s="8"/>
      <c r="M30" s="8"/>
      <c r="N30" s="1"/>
      <c r="O30" s="1"/>
      <c r="P30" s="1"/>
    </row>
    <row r="31" spans="2:16">
      <c r="B31" s="1037">
        <v>25</v>
      </c>
      <c r="C31" s="1033" t="str">
        <f>IF(PP!C48="","",PP!C48)</f>
        <v>MANTO LP C/M C/T 2.0-4.0 Kg/pza</v>
      </c>
      <c r="D31" s="1041">
        <f>+PP!E48</f>
        <v>0</v>
      </c>
      <c r="E31" s="1043">
        <f t="shared" si="0"/>
        <v>0</v>
      </c>
      <c r="F31" s="1043" t="str">
        <f t="shared" si="1"/>
        <v/>
      </c>
      <c r="G31"/>
      <c r="H31" s="14"/>
      <c r="I31" s="73" t="s">
        <v>139</v>
      </c>
      <c r="J31" s="73" t="s">
        <v>139</v>
      </c>
      <c r="K31" s="14"/>
      <c r="L31" s="14"/>
      <c r="M31" s="14"/>
      <c r="N31" s="1"/>
      <c r="O31" s="1"/>
      <c r="P31" s="1"/>
    </row>
    <row r="32" spans="2:16">
      <c r="B32" s="1037">
        <v>26</v>
      </c>
      <c r="C32" s="1033" t="str">
        <f>IF(PP!C49="","",PP!C49)</f>
        <v>NUCA C/C CERRADO 0-100 g/pza</v>
      </c>
      <c r="D32" s="1041">
        <f>+PP!E49</f>
        <v>0</v>
      </c>
      <c r="E32" s="1043">
        <f t="shared" si="0"/>
        <v>0</v>
      </c>
      <c r="F32" s="1043" t="str">
        <f t="shared" si="1"/>
        <v/>
      </c>
      <c r="G32"/>
      <c r="H32" s="12"/>
      <c r="I32" s="77" t="s">
        <v>140</v>
      </c>
      <c r="J32" s="77" t="s">
        <v>138</v>
      </c>
      <c r="K32" s="12"/>
      <c r="L32" s="12"/>
      <c r="M32" s="12"/>
      <c r="N32" s="1"/>
      <c r="O32" s="1"/>
      <c r="P32" s="1"/>
    </row>
    <row r="33" spans="2:16">
      <c r="B33" s="1037">
        <v>27</v>
      </c>
      <c r="C33" s="1033" t="str">
        <f>IF(PP!C50="","",PP!C50)</f>
        <v>NUCA C/C ABIERTO 100-300 g/pza</v>
      </c>
      <c r="D33" s="1041">
        <f>+PP!E50</f>
        <v>0</v>
      </c>
      <c r="E33" s="1043">
        <f t="shared" si="0"/>
        <v>0</v>
      </c>
      <c r="F33" s="1043" t="str">
        <f t="shared" si="1"/>
        <v/>
      </c>
      <c r="G33"/>
      <c r="H33" s="12"/>
      <c r="I33" s="77">
        <v>430.9</v>
      </c>
      <c r="J33" s="77">
        <v>251.5</v>
      </c>
      <c r="K33" s="12"/>
      <c r="L33" s="12"/>
      <c r="M33" s="12"/>
      <c r="N33" s="1"/>
      <c r="P33" s="1"/>
    </row>
    <row r="34" spans="2:16">
      <c r="B34" s="1037">
        <v>28</v>
      </c>
      <c r="C34" s="1033" t="str">
        <f>IF(PP!C51="","",PP!C51)</f>
        <v>NUCA C/C ABIERTO 300-500 g/pza</v>
      </c>
      <c r="D34" s="1041">
        <f>+PP!E51</f>
        <v>0</v>
      </c>
      <c r="E34" s="1043">
        <f t="shared" si="0"/>
        <v>0</v>
      </c>
      <c r="F34" s="1043" t="str">
        <f t="shared" si="1"/>
        <v/>
      </c>
      <c r="G34"/>
      <c r="H34" s="12"/>
      <c r="I34" s="12"/>
      <c r="J34" s="12"/>
      <c r="K34" s="12"/>
      <c r="L34" s="12"/>
      <c r="M34" s="12"/>
      <c r="N34" s="1"/>
      <c r="O34" s="1"/>
      <c r="P34" s="1"/>
    </row>
    <row r="35" spans="2:16">
      <c r="B35" s="1037">
        <v>29</v>
      </c>
      <c r="C35" s="1033" t="str">
        <f>IF(PP!C52="","",PP!C52)</f>
        <v>NUCA C/C ABIERTO 500-1000 g/pza</v>
      </c>
      <c r="D35" s="1041">
        <f>+PP!E52</f>
        <v>0</v>
      </c>
      <c r="E35" s="1043">
        <f t="shared" si="0"/>
        <v>0</v>
      </c>
      <c r="F35" s="1043" t="str">
        <f t="shared" si="1"/>
        <v/>
      </c>
      <c r="G35"/>
      <c r="H35" s="8"/>
      <c r="I35" s="8"/>
      <c r="J35" s="8"/>
      <c r="K35" s="8"/>
      <c r="L35" s="8"/>
      <c r="M35" s="8"/>
      <c r="N35" s="1"/>
      <c r="O35" s="1"/>
      <c r="P35" s="1"/>
    </row>
    <row r="36" spans="2:16">
      <c r="B36" s="1037">
        <v>30</v>
      </c>
      <c r="C36" s="1033" t="str">
        <f>IF(PP!C53="","",PP!C53)</f>
        <v>NUCA C/C ABIERTO 1.0 - UP kg/pza</v>
      </c>
      <c r="D36" s="1041">
        <f>+PP!E53</f>
        <v>0</v>
      </c>
      <c r="E36" s="1043">
        <f t="shared" si="0"/>
        <v>0</v>
      </c>
      <c r="F36" s="1043" t="str">
        <f t="shared" si="1"/>
        <v/>
      </c>
      <c r="G36"/>
      <c r="H36" s="9"/>
      <c r="I36" s="73" t="s">
        <v>141</v>
      </c>
      <c r="J36" s="9"/>
      <c r="K36" s="9"/>
      <c r="L36" s="9"/>
      <c r="M36" s="9"/>
      <c r="N36" s="1"/>
      <c r="O36" s="1"/>
      <c r="P36" s="1"/>
    </row>
    <row r="37" spans="2:16">
      <c r="B37" s="1038">
        <v>31</v>
      </c>
      <c r="C37" s="1034" t="str">
        <f>IF(PP!C54="","",PP!C54)</f>
        <v>RECORTE BLANCO SM ST</v>
      </c>
      <c r="D37" s="1041">
        <f>+PP!E54</f>
        <v>0</v>
      </c>
      <c r="E37" s="1044">
        <f t="shared" si="0"/>
        <v>0</v>
      </c>
      <c r="F37" s="1044">
        <f t="shared" si="1"/>
        <v>0</v>
      </c>
      <c r="G37"/>
      <c r="H37" s="12"/>
      <c r="I37" s="77" t="s">
        <v>142</v>
      </c>
      <c r="J37" s="12"/>
      <c r="K37" s="12"/>
      <c r="L37" s="12"/>
      <c r="M37" s="12"/>
      <c r="N37" s="1"/>
      <c r="O37" s="1"/>
      <c r="P37" s="1"/>
    </row>
    <row r="38" spans="2:16">
      <c r="B38" s="1036">
        <v>32</v>
      </c>
      <c r="C38" s="1035" t="str">
        <f>IF(PP!C55="","",PP!C55)</f>
        <v>RECORTE AMARILLO SM ST</v>
      </c>
      <c r="D38" s="1041">
        <f>+PP!E55</f>
        <v>0</v>
      </c>
      <c r="E38" s="1042">
        <f t="shared" si="0"/>
        <v>0</v>
      </c>
      <c r="F38" s="1042">
        <f t="shared" si="1"/>
        <v>0</v>
      </c>
      <c r="G38"/>
      <c r="H38" s="9"/>
      <c r="I38" s="77">
        <v>430.9</v>
      </c>
      <c r="J38" s="9"/>
      <c r="K38" s="9"/>
      <c r="L38" s="9"/>
      <c r="M38" s="12"/>
      <c r="N38" s="1"/>
      <c r="O38" s="1"/>
      <c r="P38" s="1"/>
    </row>
    <row r="39" spans="2:16">
      <c r="B39" s="1037">
        <v>33</v>
      </c>
      <c r="C39" s="1033" t="str">
        <f>IF(PP!C56="","",PP!C56)</f>
        <v>RECORTE PRECOCIDO</v>
      </c>
      <c r="D39" s="1041">
        <f>+PP!E56</f>
        <v>0</v>
      </c>
      <c r="E39" s="1043">
        <f t="shared" si="0"/>
        <v>0</v>
      </c>
      <c r="F39" s="1043">
        <f t="shared" si="1"/>
        <v>0</v>
      </c>
      <c r="G39"/>
      <c r="H39" s="12"/>
      <c r="I39" s="12"/>
      <c r="J39" s="12"/>
      <c r="K39" s="12"/>
      <c r="L39" s="12"/>
      <c r="M39" s="12"/>
      <c r="N39" s="1"/>
      <c r="O39" s="1"/>
      <c r="P39" s="1"/>
    </row>
    <row r="40" spans="2:16">
      <c r="B40" s="1037">
        <v>34</v>
      </c>
      <c r="C40" s="1033" t="str">
        <f>IF(PP!C57="","",PP!C57)</f>
        <v>REPRODUCTORES SV, PEQUEÑO</v>
      </c>
      <c r="D40" s="1041">
        <f>+PP!E57</f>
        <v>0</v>
      </c>
      <c r="E40" s="1043">
        <f t="shared" si="0"/>
        <v>0</v>
      </c>
      <c r="F40" s="1043" t="str">
        <f t="shared" si="1"/>
        <v/>
      </c>
      <c r="G40"/>
      <c r="H40" s="12"/>
      <c r="I40" s="12"/>
      <c r="J40" s="12"/>
      <c r="K40" s="12"/>
      <c r="L40" s="12"/>
      <c r="M40" s="12"/>
      <c r="N40" s="1"/>
      <c r="O40" s="1"/>
      <c r="P40" s="1"/>
    </row>
    <row r="41" spans="2:16">
      <c r="B41" s="1037">
        <v>35</v>
      </c>
      <c r="C41" s="1033" t="str">
        <f>IF(PP!C58="","",PP!C58)</f>
        <v>REPRODUCTOR SV GRANDE</v>
      </c>
      <c r="D41" s="1041">
        <f>+PP!E58</f>
        <v>0</v>
      </c>
      <c r="E41" s="1043">
        <f t="shared" si="0"/>
        <v>0</v>
      </c>
      <c r="F41" s="1043" t="str">
        <f t="shared" si="1"/>
        <v/>
      </c>
      <c r="G41"/>
      <c r="H41" s="12"/>
      <c r="I41" s="12"/>
      <c r="J41" s="12"/>
      <c r="K41" s="12"/>
      <c r="L41" s="12"/>
      <c r="M41" s="12"/>
      <c r="N41" s="1"/>
      <c r="O41" s="1"/>
      <c r="P41" s="1"/>
    </row>
    <row r="42" spans="2:16">
      <c r="B42" s="1037">
        <v>36</v>
      </c>
      <c r="C42" s="1033" t="str">
        <f>IF(PP!C59="","",PP!C59)</f>
        <v>TUBO ALETA 1.0-2.0 Kg/pza</v>
      </c>
      <c r="D42" s="1041">
        <f>+PP!E59</f>
        <v>0</v>
      </c>
      <c r="E42" s="1043">
        <f t="shared" si="0"/>
        <v>0</v>
      </c>
      <c r="F42" s="1043" t="str">
        <f t="shared" si="1"/>
        <v/>
      </c>
      <c r="G42"/>
      <c r="H42" s="12"/>
      <c r="I42" s="12"/>
      <c r="J42" s="12"/>
      <c r="K42" s="12"/>
      <c r="L42" s="12"/>
      <c r="M42" s="12"/>
      <c r="N42" s="1"/>
      <c r="O42" s="1"/>
      <c r="P42" s="1"/>
    </row>
    <row r="43" spans="2:16">
      <c r="B43" s="1037">
        <v>37</v>
      </c>
      <c r="C43" s="1033" t="str">
        <f>IF(PP!C60="","",PP!C60)</f>
        <v>TENTACULO C/B C/V SR 100-300 g/pza (SUCIO)</v>
      </c>
      <c r="D43" s="1041">
        <f>+PP!E60</f>
        <v>0</v>
      </c>
      <c r="E43" s="1043">
        <f t="shared" si="0"/>
        <v>0</v>
      </c>
      <c r="F43" s="1043" t="str">
        <f t="shared" si="1"/>
        <v/>
      </c>
      <c r="G43"/>
      <c r="H43" s="12"/>
      <c r="I43" s="12"/>
      <c r="J43" s="12"/>
      <c r="K43" s="12"/>
      <c r="L43" s="12"/>
      <c r="M43" s="12"/>
      <c r="N43" s="1"/>
      <c r="O43" s="1"/>
      <c r="P43" s="1"/>
    </row>
    <row r="44" spans="2:16">
      <c r="B44" s="1037">
        <v>38</v>
      </c>
      <c r="C44" s="1033" t="str">
        <f>IF(PP!C61="","",PP!C61)</f>
        <v>TENTACULO C/B C/V SR 300-500 g/pza (SUCIO)</v>
      </c>
      <c r="D44" s="1041">
        <f>+PP!E61</f>
        <v>0</v>
      </c>
      <c r="E44" s="1043">
        <f t="shared" si="0"/>
        <v>0</v>
      </c>
      <c r="F44" s="1043" t="str">
        <f t="shared" si="1"/>
        <v/>
      </c>
      <c r="G44"/>
      <c r="H44" s="12"/>
      <c r="I44" s="12"/>
      <c r="J44" s="12"/>
      <c r="K44" s="12"/>
      <c r="L44" s="12"/>
      <c r="M44" s="12"/>
      <c r="N44" s="1"/>
      <c r="O44" s="1"/>
      <c r="P44" s="1"/>
    </row>
    <row r="45" spans="2:16">
      <c r="B45" s="1037">
        <v>39</v>
      </c>
      <c r="C45" s="1033" t="str">
        <f>IF(PP!C62="","",PP!C62)</f>
        <v>TENTACULO C/B S/V SR 100-300 g/pza</v>
      </c>
      <c r="D45" s="1041">
        <f>+PP!E62</f>
        <v>0</v>
      </c>
      <c r="E45" s="1043">
        <f t="shared" si="0"/>
        <v>0</v>
      </c>
      <c r="F45" s="1043" t="str">
        <f t="shared" si="1"/>
        <v/>
      </c>
      <c r="G45"/>
      <c r="H45" s="12"/>
      <c r="I45" s="12"/>
      <c r="J45" s="12"/>
      <c r="K45" s="12"/>
      <c r="L45" s="12"/>
      <c r="M45" s="12"/>
      <c r="N45" s="1"/>
      <c r="O45" s="1"/>
      <c r="P45" s="1"/>
    </row>
    <row r="46" spans="2:16">
      <c r="B46" s="1037">
        <v>40</v>
      </c>
      <c r="C46" s="1033" t="str">
        <f>IF(PP!C63="","",PP!C63)</f>
        <v>TENTACULO C/B C/V SR 100-500 g/pza (SUCIO)</v>
      </c>
      <c r="D46" s="1041">
        <f>+PP!E63</f>
        <v>0</v>
      </c>
      <c r="E46" s="1043">
        <f t="shared" si="0"/>
        <v>0</v>
      </c>
      <c r="F46" s="1043" t="str">
        <f t="shared" si="1"/>
        <v/>
      </c>
      <c r="G46"/>
      <c r="H46" s="12"/>
      <c r="I46" s="12"/>
      <c r="J46" s="12"/>
      <c r="K46" s="12"/>
      <c r="L46" s="12"/>
      <c r="M46" s="12"/>
      <c r="N46" s="1"/>
      <c r="O46" s="1"/>
      <c r="P46" s="1"/>
    </row>
    <row r="47" spans="2:16">
      <c r="B47" s="1037">
        <v>41</v>
      </c>
      <c r="C47" s="1033" t="str">
        <f>IF(PP!C64="","",PP!C64)</f>
        <v>TENTACULO C/B S/V SR 100-500 g/pza</v>
      </c>
      <c r="D47" s="1041">
        <f>+PP!E64</f>
        <v>0</v>
      </c>
      <c r="E47" s="1043">
        <f t="shared" si="0"/>
        <v>0</v>
      </c>
      <c r="F47" s="1043" t="str">
        <f t="shared" si="1"/>
        <v/>
      </c>
      <c r="G47"/>
      <c r="H47" s="12"/>
      <c r="I47" s="12"/>
      <c r="J47" s="12"/>
      <c r="K47" s="12"/>
      <c r="L47" s="12"/>
      <c r="M47" s="12"/>
      <c r="N47" s="1"/>
      <c r="O47" s="1"/>
      <c r="P47" s="1"/>
    </row>
    <row r="48" spans="2:16">
      <c r="B48" s="1037">
        <v>42</v>
      </c>
      <c r="C48" s="1033" t="str">
        <f>IF(PP!C65="","",PP!C65)</f>
        <v>TENTACULO C/B S/V SR 300-500 g/pza</v>
      </c>
      <c r="D48" s="1041">
        <f>+PP!E65</f>
        <v>0</v>
      </c>
      <c r="E48" s="1043">
        <f t="shared" si="0"/>
        <v>0</v>
      </c>
      <c r="F48" s="1043" t="str">
        <f t="shared" si="1"/>
        <v/>
      </c>
      <c r="G48"/>
      <c r="H48" s="12"/>
      <c r="I48" s="12"/>
      <c r="J48" s="12"/>
      <c r="K48" s="12"/>
      <c r="L48" s="12"/>
      <c r="M48" s="12"/>
      <c r="N48" s="1"/>
      <c r="O48" s="1"/>
      <c r="P48" s="1"/>
    </row>
    <row r="49" spans="2:16">
      <c r="B49" s="1037">
        <v>43</v>
      </c>
      <c r="C49" s="1033" t="str">
        <f>IF(PP!C66="","",PP!C66)</f>
        <v>TENTACULO C/B C/V SR 500-1000 g/pza (SUCIO)</v>
      </c>
      <c r="D49" s="1041">
        <f>+PP!E66</f>
        <v>0</v>
      </c>
      <c r="E49" s="1043">
        <f t="shared" si="0"/>
        <v>0</v>
      </c>
      <c r="F49" s="1043" t="str">
        <f t="shared" si="1"/>
        <v/>
      </c>
      <c r="G49"/>
      <c r="H49" s="12"/>
      <c r="I49" s="12"/>
      <c r="J49" s="12"/>
      <c r="K49" s="12"/>
      <c r="L49" s="12"/>
      <c r="M49" s="12"/>
      <c r="N49" s="1"/>
      <c r="O49" s="1"/>
      <c r="P49" s="1"/>
    </row>
    <row r="50" spans="2:16">
      <c r="B50" s="1037">
        <v>44</v>
      </c>
      <c r="C50" s="1033" t="str">
        <f>IF(PP!C67="","",PP!C67)</f>
        <v>TENTACULO C/B S/V SR 500-1000 g/pza</v>
      </c>
      <c r="D50" s="1041">
        <f>+PP!E67</f>
        <v>0</v>
      </c>
      <c r="E50" s="1043">
        <f t="shared" si="0"/>
        <v>0</v>
      </c>
      <c r="F50" s="1043" t="str">
        <f t="shared" si="1"/>
        <v/>
      </c>
      <c r="G50"/>
      <c r="H50" s="12"/>
      <c r="I50" s="12"/>
      <c r="J50" s="12"/>
      <c r="K50" s="12"/>
      <c r="L50" s="12"/>
      <c r="M50" s="12"/>
      <c r="N50" s="1"/>
      <c r="O50" s="1"/>
      <c r="P50" s="1"/>
    </row>
    <row r="51" spans="2:16">
      <c r="B51" s="1037">
        <v>45</v>
      </c>
      <c r="C51" s="1033" t="str">
        <f>IF(PP!C68="","",PP!C68)</f>
        <v>TENTACULO C/B C/V SR 1.0-2.0 Kg/pza (SUCIO)</v>
      </c>
      <c r="D51" s="1041">
        <f>+PP!E68</f>
        <v>0</v>
      </c>
      <c r="E51" s="1043">
        <f t="shared" si="0"/>
        <v>0</v>
      </c>
      <c r="F51" s="1043" t="str">
        <f t="shared" si="1"/>
        <v/>
      </c>
      <c r="G51"/>
      <c r="H51" s="12"/>
      <c r="I51" s="12"/>
      <c r="J51" s="12"/>
      <c r="K51" s="12"/>
      <c r="L51" s="12"/>
      <c r="M51" s="12"/>
      <c r="N51" s="1"/>
      <c r="O51" s="1"/>
      <c r="P51" s="1"/>
    </row>
    <row r="52" spans="2:16">
      <c r="B52" s="1037">
        <v>46</v>
      </c>
      <c r="C52" s="1033" t="str">
        <f>IF(PP!C69="","",PP!C69)</f>
        <v>TENTACULO C/B S/V SR 1.0-2.0 Kg/pza</v>
      </c>
      <c r="D52" s="1041">
        <f>+PP!E69</f>
        <v>0</v>
      </c>
      <c r="E52" s="1043">
        <f t="shared" si="0"/>
        <v>0</v>
      </c>
      <c r="F52" s="1043" t="str">
        <f t="shared" si="1"/>
        <v/>
      </c>
      <c r="G52"/>
      <c r="H52" s="12"/>
      <c r="I52" s="12"/>
      <c r="J52" s="12"/>
      <c r="K52" s="12"/>
      <c r="L52" s="12"/>
      <c r="M52" s="12"/>
      <c r="N52" s="1"/>
      <c r="O52" s="1"/>
      <c r="P52" s="1"/>
    </row>
    <row r="53" spans="2:16">
      <c r="B53" s="1037">
        <v>47</v>
      </c>
      <c r="C53" s="1033" t="str">
        <f>IF(PP!C70="","",PP!C70)</f>
        <v>TENTACULO C/B S/V SR 2 UP Kg/pza</v>
      </c>
      <c r="D53" s="1041">
        <f>+PP!E70</f>
        <v>0</v>
      </c>
      <c r="E53" s="1043">
        <f t="shared" si="0"/>
        <v>0</v>
      </c>
      <c r="F53" s="1043" t="str">
        <f t="shared" si="1"/>
        <v/>
      </c>
      <c r="G53"/>
      <c r="H53" s="12"/>
      <c r="I53" s="12"/>
      <c r="J53" s="12"/>
      <c r="K53" s="12"/>
      <c r="L53" s="12"/>
      <c r="M53" s="12"/>
      <c r="N53" s="1"/>
      <c r="O53" s="1"/>
      <c r="P53" s="1"/>
    </row>
    <row r="54" spans="2:16">
      <c r="B54" s="1039">
        <v>48</v>
      </c>
      <c r="C54" s="1040" t="str">
        <f>IF(PP!C71="","",PP!C71)</f>
        <v>TUBO ALETA 500-1000 g/pza</v>
      </c>
      <c r="D54" s="1045">
        <f>+PP!E71</f>
        <v>0</v>
      </c>
      <c r="E54" s="1046">
        <f t="shared" si="0"/>
        <v>0</v>
      </c>
      <c r="F54" s="1046" t="str">
        <f t="shared" si="1"/>
        <v/>
      </c>
      <c r="G54"/>
      <c r="H54" s="12"/>
      <c r="I54" s="12"/>
      <c r="J54" s="12"/>
      <c r="K54" s="12"/>
      <c r="L54" s="12"/>
      <c r="M54" s="12"/>
      <c r="N54" s="1"/>
      <c r="O54" s="1"/>
      <c r="P54" s="1"/>
    </row>
    <row r="55" spans="2:16">
      <c r="B55" s="701" t="s">
        <v>3</v>
      </c>
      <c r="C55" s="1"/>
      <c r="D55" s="1048">
        <f>SUM(D7:D54)</f>
        <v>0</v>
      </c>
      <c r="E55" s="1049">
        <f>SUM(E7:E54)</f>
        <v>0</v>
      </c>
      <c r="F55" s="1049">
        <f>SUM(F7:F54)</f>
        <v>0</v>
      </c>
      <c r="G55"/>
    </row>
    <row r="57" spans="2:16">
      <c r="C57"/>
      <c r="D57"/>
      <c r="E57"/>
      <c r="F57"/>
    </row>
    <row r="58" spans="2:16">
      <c r="C58"/>
      <c r="D58"/>
      <c r="E58"/>
      <c r="F58"/>
    </row>
    <row r="59" spans="2:16">
      <c r="C59"/>
      <c r="D59"/>
      <c r="E59"/>
      <c r="F59"/>
    </row>
    <row r="60" spans="2:16">
      <c r="C60"/>
      <c r="D60"/>
      <c r="E60"/>
      <c r="F60"/>
    </row>
    <row r="61" spans="2:16">
      <c r="C61"/>
      <c r="D61"/>
      <c r="E61"/>
      <c r="F61"/>
    </row>
    <row r="62" spans="2:16">
      <c r="C62"/>
      <c r="D62"/>
      <c r="E62"/>
      <c r="F62"/>
      <c r="G62" s="3"/>
      <c r="H62" s="3"/>
      <c r="I62" s="3"/>
      <c r="J62" s="3"/>
      <c r="K62" s="3"/>
      <c r="L62" s="3"/>
      <c r="M62" s="3"/>
      <c r="N62" s="1"/>
      <c r="O62" s="1"/>
    </row>
    <row r="63" spans="2:16">
      <c r="C63"/>
      <c r="D63"/>
      <c r="E63"/>
      <c r="F63"/>
      <c r="G63" s="3"/>
      <c r="H63" s="3"/>
      <c r="I63" s="3"/>
      <c r="J63" s="3"/>
      <c r="K63" s="3"/>
      <c r="L63" s="3"/>
      <c r="M63" s="3"/>
      <c r="N63" s="1"/>
      <c r="O63" s="1"/>
    </row>
    <row r="64" spans="2:16">
      <c r="C64"/>
      <c r="D64"/>
      <c r="E64"/>
      <c r="F64"/>
      <c r="G64" s="3"/>
      <c r="H64" s="3"/>
      <c r="I64" s="3"/>
      <c r="J64" s="3"/>
      <c r="K64" s="3"/>
      <c r="L64" s="3"/>
      <c r="M64" s="3"/>
      <c r="N64" s="1"/>
      <c r="O64" s="1"/>
    </row>
    <row r="65" spans="3:15">
      <c r="C65"/>
      <c r="D65"/>
      <c r="E65"/>
      <c r="F65"/>
      <c r="G65" s="3"/>
      <c r="H65" s="3"/>
      <c r="I65" s="3"/>
      <c r="J65" s="3"/>
      <c r="K65" s="3"/>
      <c r="L65" s="3"/>
      <c r="M65" s="3"/>
      <c r="N65" s="1"/>
      <c r="O65" s="1"/>
    </row>
    <row r="66" spans="3:15">
      <c r="C66" s="1"/>
      <c r="D66" s="1"/>
      <c r="E66" s="1"/>
      <c r="F66" s="1"/>
      <c r="G66" s="3"/>
      <c r="H66" s="3"/>
      <c r="I66" s="3"/>
      <c r="J66" s="3"/>
      <c r="K66" s="3"/>
      <c r="L66" s="3"/>
      <c r="M66" s="3"/>
      <c r="N66" s="1"/>
      <c r="O66" s="1"/>
    </row>
    <row r="67" spans="3:15">
      <c r="C67" s="1"/>
      <c r="D67" s="1"/>
      <c r="E67" s="1"/>
      <c r="F67" s="1"/>
      <c r="G67" s="3"/>
      <c r="H67" s="3"/>
      <c r="I67" s="3"/>
      <c r="J67" s="3"/>
      <c r="K67" s="3"/>
      <c r="L67" s="3"/>
      <c r="M67" s="3"/>
      <c r="N67" s="1"/>
      <c r="O67" s="1"/>
    </row>
    <row r="68" spans="3:15">
      <c r="C68" s="1"/>
      <c r="D68" s="1"/>
      <c r="E68" s="1"/>
      <c r="F68" s="1"/>
      <c r="G68" s="3"/>
      <c r="H68" s="3"/>
      <c r="I68" s="3"/>
      <c r="J68" s="3"/>
      <c r="K68" s="3"/>
      <c r="L68" s="3"/>
      <c r="M68" s="3"/>
      <c r="N68" s="1"/>
      <c r="O68" s="1"/>
    </row>
    <row r="69" spans="3:15">
      <c r="C69" s="1"/>
      <c r="D69" s="1"/>
      <c r="E69" s="1"/>
      <c r="F69" s="1"/>
      <c r="G69" s="3"/>
      <c r="H69" s="3"/>
      <c r="I69" s="3"/>
      <c r="J69" s="3"/>
      <c r="K69" s="3"/>
      <c r="L69" s="3"/>
      <c r="M69" s="3"/>
      <c r="N69" s="1"/>
      <c r="O69" s="1"/>
    </row>
    <row r="70" spans="3:15">
      <c r="C70" s="1"/>
      <c r="D70" s="1"/>
      <c r="E70" s="1"/>
      <c r="F70" s="1"/>
      <c r="G70" s="3"/>
      <c r="H70" s="3"/>
      <c r="I70" s="3"/>
      <c r="J70" s="3"/>
      <c r="K70" s="3"/>
      <c r="L70" s="3"/>
      <c r="M70" s="3"/>
      <c r="N70" s="1"/>
      <c r="O70" s="1"/>
    </row>
    <row r="71" spans="3:15">
      <c r="C71" s="1"/>
      <c r="D71" s="1"/>
      <c r="E71" s="1"/>
      <c r="F71" s="1"/>
      <c r="G71" s="3"/>
      <c r="H71" s="3"/>
      <c r="I71" s="3"/>
      <c r="J71" s="3"/>
      <c r="K71" s="3"/>
      <c r="L71" s="3"/>
      <c r="M71" s="3"/>
      <c r="N71" s="1"/>
      <c r="O71" s="1"/>
    </row>
    <row r="72" spans="3:15">
      <c r="C72" s="1"/>
      <c r="D72" s="1"/>
      <c r="E72" s="1"/>
      <c r="F72" s="1"/>
      <c r="G72" s="3"/>
      <c r="H72" s="3"/>
      <c r="I72" s="3"/>
      <c r="J72" s="3"/>
      <c r="K72" s="3"/>
      <c r="L72" s="3"/>
      <c r="M72" s="3"/>
      <c r="N72" s="1"/>
      <c r="O72" s="1"/>
    </row>
    <row r="73" spans="3:15">
      <c r="C73" s="1"/>
      <c r="D73" s="1"/>
      <c r="E73" s="1"/>
      <c r="F73" s="1"/>
      <c r="G73" s="3"/>
      <c r="H73" s="3"/>
      <c r="I73" s="3"/>
      <c r="J73" s="3"/>
      <c r="K73" s="3"/>
      <c r="L73" s="3"/>
      <c r="M73" s="3"/>
      <c r="N73" s="1"/>
      <c r="O73" s="1"/>
    </row>
    <row r="74" spans="3:15">
      <c r="C74" s="1"/>
      <c r="D74" s="1"/>
      <c r="E74" s="1"/>
      <c r="F74" s="1"/>
      <c r="G74" s="3"/>
      <c r="H74" s="3"/>
      <c r="I74" s="3"/>
      <c r="J74" s="3"/>
      <c r="K74" s="3"/>
      <c r="L74" s="3"/>
      <c r="M74" s="3"/>
      <c r="N74" s="1"/>
      <c r="O74" s="1"/>
    </row>
    <row r="75" spans="3:15">
      <c r="C75" s="1"/>
      <c r="D75" s="1"/>
      <c r="E75" s="1"/>
      <c r="F75" s="1"/>
      <c r="G75" s="3"/>
      <c r="H75" s="3"/>
      <c r="I75" s="3"/>
      <c r="J75" s="3"/>
      <c r="K75" s="3"/>
      <c r="L75" s="3"/>
      <c r="M75" s="3"/>
      <c r="N75" s="1"/>
      <c r="O75" s="1"/>
    </row>
    <row r="76" spans="3:15">
      <c r="C76" s="1"/>
      <c r="D76" s="1"/>
      <c r="E76" s="1"/>
      <c r="F76" s="1"/>
      <c r="G76" s="3"/>
      <c r="H76" s="3"/>
      <c r="I76" s="3"/>
      <c r="J76" s="3"/>
      <c r="K76" s="3"/>
      <c r="L76" s="3"/>
      <c r="M76" s="3"/>
      <c r="N76" s="1"/>
      <c r="O76" s="1"/>
    </row>
    <row r="77" spans="3:15">
      <c r="C77" s="1"/>
      <c r="D77" s="1"/>
      <c r="E77" s="1"/>
      <c r="F77" s="1"/>
      <c r="G77" s="3"/>
      <c r="H77" s="3"/>
      <c r="I77" s="3"/>
      <c r="J77" s="3"/>
      <c r="K77" s="3"/>
      <c r="L77" s="3"/>
      <c r="M77" s="3"/>
      <c r="N77" s="1"/>
      <c r="O77" s="1"/>
    </row>
    <row r="78" spans="3:15">
      <c r="C78" s="1"/>
      <c r="D78" s="1"/>
      <c r="E78" s="1"/>
      <c r="F78" s="1"/>
      <c r="G78" s="3"/>
      <c r="H78" s="3"/>
      <c r="I78" s="3"/>
      <c r="J78" s="3"/>
      <c r="K78" s="3"/>
      <c r="L78" s="3"/>
      <c r="M78" s="3"/>
      <c r="N78" s="1"/>
      <c r="O78" s="1"/>
    </row>
    <row r="79" spans="3:15">
      <c r="C79" s="1"/>
      <c r="D79" s="1"/>
      <c r="E79" s="1"/>
      <c r="F79" s="1"/>
      <c r="G79" s="3"/>
      <c r="H79" s="3"/>
      <c r="I79" s="3"/>
      <c r="J79" s="3"/>
      <c r="K79" s="3"/>
      <c r="L79" s="3"/>
      <c r="M79" s="3"/>
      <c r="N79" s="1"/>
      <c r="O79" s="1"/>
    </row>
    <row r="80" spans="3:15">
      <c r="C80" s="1"/>
      <c r="D80" s="1"/>
      <c r="E80" s="1"/>
      <c r="F80" s="1"/>
      <c r="G80" s="3"/>
      <c r="H80" s="3"/>
      <c r="I80" s="3"/>
      <c r="J80" s="3"/>
      <c r="K80" s="3"/>
      <c r="L80" s="3"/>
      <c r="M80" s="3"/>
      <c r="N80" s="1"/>
      <c r="O80" s="1"/>
    </row>
    <row r="81" spans="3:15">
      <c r="C81" s="1"/>
      <c r="D81" s="1"/>
      <c r="E81" s="1"/>
      <c r="F81" s="1"/>
      <c r="G81" s="3"/>
      <c r="H81" s="3"/>
      <c r="I81" s="3"/>
      <c r="J81" s="3"/>
      <c r="K81" s="3"/>
      <c r="L81" s="3"/>
      <c r="M81" s="3"/>
      <c r="N81" s="1"/>
      <c r="O81" s="1"/>
    </row>
    <row r="82" spans="3:15">
      <c r="C82" s="1"/>
      <c r="D82" s="1"/>
      <c r="E82" s="1"/>
      <c r="F82" s="1"/>
      <c r="G82" s="3"/>
      <c r="H82" s="3"/>
      <c r="I82" s="3"/>
      <c r="J82" s="3"/>
      <c r="K82" s="3"/>
      <c r="L82" s="3"/>
      <c r="M82" s="3"/>
      <c r="N82" s="1"/>
      <c r="O82" s="1"/>
    </row>
    <row r="83" spans="3:15">
      <c r="C83" s="1"/>
      <c r="D83" s="1"/>
      <c r="E83" s="1"/>
      <c r="F83" s="1"/>
      <c r="G83" s="3"/>
      <c r="H83" s="3"/>
      <c r="I83" s="3"/>
      <c r="J83" s="3"/>
      <c r="K83" s="3"/>
      <c r="L83" s="3"/>
      <c r="M83" s="3"/>
      <c r="N83" s="1"/>
      <c r="O83" s="1"/>
    </row>
    <row r="84" spans="3:15">
      <c r="C84" s="1"/>
      <c r="D84" s="1"/>
      <c r="E84" s="1"/>
      <c r="F84" s="1"/>
      <c r="G84" s="3"/>
      <c r="H84" s="3"/>
      <c r="I84" s="3"/>
      <c r="J84" s="3"/>
      <c r="K84" s="3"/>
      <c r="L84" s="3"/>
      <c r="M84" s="3"/>
      <c r="N84" s="1"/>
      <c r="O84" s="1"/>
    </row>
    <row r="85" spans="3:15">
      <c r="C85" s="1"/>
      <c r="D85" s="1"/>
      <c r="E85" s="1"/>
      <c r="F85" s="1"/>
      <c r="G85" s="3"/>
      <c r="H85" s="3"/>
      <c r="I85" s="3"/>
      <c r="J85" s="3"/>
      <c r="K85" s="3"/>
      <c r="L85" s="3"/>
      <c r="M85" s="3"/>
      <c r="N85" s="1"/>
      <c r="O85" s="1"/>
    </row>
    <row r="86" spans="3:15">
      <c r="C86" s="1"/>
      <c r="D86" s="1"/>
      <c r="E86" s="1"/>
      <c r="F86" s="1"/>
      <c r="G86" s="3"/>
      <c r="H86" s="3"/>
      <c r="I86" s="3"/>
      <c r="J86" s="3"/>
      <c r="K86" s="3"/>
      <c r="L86" s="3"/>
      <c r="M86" s="3"/>
      <c r="N86" s="1"/>
      <c r="O86" s="1"/>
    </row>
    <row r="87" spans="3:15">
      <c r="C87" s="1"/>
      <c r="D87" s="1"/>
      <c r="E87" s="1"/>
      <c r="F87" s="1"/>
      <c r="G87" s="3"/>
      <c r="H87" s="3"/>
      <c r="I87" s="3"/>
      <c r="J87" s="3"/>
      <c r="K87" s="3"/>
      <c r="L87" s="3"/>
      <c r="M87" s="3"/>
      <c r="N87" s="1"/>
      <c r="O87" s="1"/>
    </row>
    <row r="88" spans="3:15">
      <c r="C88" s="1"/>
      <c r="D88" s="1"/>
      <c r="E88" s="1"/>
      <c r="F88" s="1"/>
      <c r="G88" s="3"/>
      <c r="H88" s="3"/>
      <c r="I88" s="3"/>
      <c r="J88" s="3"/>
      <c r="K88" s="3"/>
      <c r="L88" s="3"/>
      <c r="M88" s="3"/>
      <c r="N88" s="1"/>
      <c r="O88" s="1"/>
    </row>
    <row r="89" spans="3:15">
      <c r="C89" s="1"/>
      <c r="D89" s="1"/>
      <c r="E89" s="1"/>
      <c r="F89" s="1"/>
      <c r="G89" s="3"/>
      <c r="H89" s="3"/>
      <c r="I89" s="3"/>
      <c r="J89" s="3"/>
      <c r="K89" s="3"/>
      <c r="L89" s="3"/>
      <c r="M89" s="3"/>
      <c r="N89" s="1"/>
      <c r="O89" s="1"/>
    </row>
    <row r="90" spans="3:15">
      <c r="C90" s="1"/>
      <c r="D90" s="1"/>
      <c r="E90" s="1"/>
      <c r="F90" s="1"/>
      <c r="G90" s="3"/>
      <c r="H90" s="3"/>
      <c r="I90" s="3"/>
      <c r="J90" s="3"/>
      <c r="K90" s="3"/>
      <c r="L90" s="3"/>
      <c r="M90" s="3"/>
      <c r="N90" s="1"/>
      <c r="O90" s="1"/>
    </row>
    <row r="91" spans="3:15">
      <c r="C91" s="1"/>
      <c r="D91" s="1"/>
      <c r="E91" s="1"/>
      <c r="F91" s="1"/>
      <c r="G91" s="3"/>
      <c r="H91" s="3"/>
      <c r="I91" s="3"/>
      <c r="J91" s="3"/>
      <c r="K91" s="3"/>
      <c r="L91" s="3"/>
      <c r="M91" s="3"/>
      <c r="N91" s="1"/>
      <c r="O91" s="1"/>
    </row>
    <row r="92" spans="3:15">
      <c r="C92" s="1"/>
      <c r="D92" s="1"/>
      <c r="E92" s="1"/>
      <c r="F92" s="1"/>
      <c r="G92" s="3"/>
      <c r="H92" s="3"/>
      <c r="I92" s="3"/>
      <c r="J92" s="3"/>
      <c r="K92" s="3"/>
      <c r="L92" s="3"/>
      <c r="M92" s="3"/>
      <c r="N92" s="1"/>
      <c r="O92" s="1"/>
    </row>
    <row r="93" spans="3:15">
      <c r="C93" s="1"/>
      <c r="D93" s="1"/>
      <c r="E93" s="1"/>
      <c r="F93" s="1"/>
      <c r="G93" s="3"/>
      <c r="H93" s="3"/>
      <c r="I93" s="3"/>
      <c r="J93" s="3"/>
      <c r="K93" s="3"/>
      <c r="L93" s="3"/>
      <c r="M93" s="3"/>
      <c r="N93" s="1"/>
      <c r="O93" s="1"/>
    </row>
    <row r="94" spans="3:15">
      <c r="C94" s="1"/>
      <c r="D94" s="1"/>
      <c r="E94" s="1"/>
      <c r="F94" s="1"/>
      <c r="G94" s="3"/>
      <c r="H94" s="3"/>
      <c r="I94" s="3"/>
      <c r="J94" s="3"/>
      <c r="K94" s="3"/>
      <c r="L94" s="3"/>
      <c r="M94" s="3"/>
      <c r="N94" s="1"/>
      <c r="O94" s="1"/>
    </row>
    <row r="95" spans="3:15">
      <c r="C95" s="1"/>
      <c r="D95" s="1"/>
      <c r="E95" s="1"/>
      <c r="F95" s="1"/>
      <c r="G95" s="3"/>
      <c r="H95" s="3"/>
      <c r="I95" s="3"/>
      <c r="J95" s="3"/>
      <c r="K95" s="3"/>
      <c r="L95" s="3"/>
      <c r="M95" s="3"/>
      <c r="N95" s="1"/>
      <c r="O95" s="1"/>
    </row>
    <row r="96" spans="3:15">
      <c r="C96" s="1"/>
      <c r="D96" s="1"/>
      <c r="E96" s="1"/>
      <c r="F96" s="1"/>
      <c r="G96" s="3"/>
      <c r="H96" s="3"/>
      <c r="I96" s="3"/>
      <c r="J96" s="3"/>
      <c r="K96" s="3"/>
      <c r="L96" s="3"/>
      <c r="M96" s="3"/>
      <c r="N96" s="1"/>
      <c r="O96" s="1"/>
    </row>
    <row r="97" spans="3:15">
      <c r="C97" s="1"/>
      <c r="D97" s="1"/>
      <c r="E97" s="1"/>
      <c r="F97" s="1"/>
      <c r="G97" s="3"/>
      <c r="H97" s="3"/>
      <c r="I97" s="3"/>
      <c r="J97" s="3"/>
      <c r="K97" s="3"/>
      <c r="L97" s="3"/>
      <c r="M97" s="3"/>
      <c r="N97" s="1"/>
      <c r="O97" s="1"/>
    </row>
    <row r="98" spans="3:15">
      <c r="C98" s="1"/>
      <c r="D98" s="1"/>
      <c r="E98" s="1"/>
      <c r="F98" s="1"/>
      <c r="G98" s="3"/>
      <c r="H98" s="3"/>
      <c r="I98" s="3"/>
      <c r="J98" s="3"/>
      <c r="K98" s="3"/>
      <c r="L98" s="3"/>
      <c r="M98" s="3"/>
      <c r="N98" s="1"/>
      <c r="O98" s="1"/>
    </row>
    <row r="99" spans="3:15">
      <c r="C99" s="1"/>
      <c r="D99" s="1"/>
      <c r="E99" s="1"/>
      <c r="F99" s="1"/>
      <c r="G99" s="3"/>
      <c r="H99" s="3"/>
      <c r="I99" s="3"/>
      <c r="J99" s="3"/>
      <c r="K99" s="3"/>
      <c r="L99" s="3"/>
      <c r="M99" s="3"/>
      <c r="N99" s="1"/>
      <c r="O99" s="1"/>
    </row>
    <row r="100" spans="3:15">
      <c r="C100" s="1"/>
      <c r="D100" s="1"/>
      <c r="E100" s="1"/>
      <c r="F100" s="1"/>
      <c r="G100" s="3"/>
      <c r="H100" s="3"/>
      <c r="I100" s="3"/>
      <c r="J100" s="3"/>
      <c r="K100" s="3"/>
      <c r="L100" s="3"/>
      <c r="M100" s="3"/>
      <c r="N100" s="1"/>
      <c r="O100" s="1"/>
    </row>
    <row r="101" spans="3:15">
      <c r="C101" s="1"/>
      <c r="D101" s="1"/>
      <c r="E101" s="1"/>
      <c r="F101" s="1"/>
      <c r="G101" s="3"/>
      <c r="H101" s="3"/>
      <c r="I101" s="3"/>
      <c r="J101" s="3"/>
      <c r="K101" s="3"/>
      <c r="L101" s="3"/>
      <c r="M101" s="3"/>
      <c r="N101" s="1"/>
      <c r="O101" s="1"/>
    </row>
    <row r="102" spans="3:15">
      <c r="C102" s="1"/>
      <c r="D102" s="1"/>
      <c r="E102" s="1"/>
      <c r="F102" s="1"/>
      <c r="G102" s="3"/>
      <c r="H102" s="3"/>
      <c r="I102" s="3"/>
      <c r="J102" s="3"/>
      <c r="K102" s="3"/>
      <c r="L102" s="3"/>
      <c r="M102" s="3"/>
      <c r="N102" s="1"/>
      <c r="O102" s="1"/>
    </row>
    <row r="103" spans="3:15">
      <c r="C103" s="1"/>
      <c r="D103" s="1"/>
      <c r="E103" s="1"/>
      <c r="F103" s="1"/>
      <c r="G103" s="3"/>
      <c r="H103" s="3"/>
      <c r="I103" s="3"/>
      <c r="J103" s="3"/>
      <c r="K103" s="3"/>
      <c r="L103" s="3"/>
      <c r="M103" s="3"/>
      <c r="N103" s="1"/>
      <c r="O103" s="1"/>
    </row>
    <row r="104" spans="3:15">
      <c r="C104" s="1"/>
      <c r="D104" s="1"/>
      <c r="E104" s="1"/>
      <c r="F104" s="1"/>
      <c r="G104" s="3"/>
      <c r="H104" s="3"/>
      <c r="I104" s="3"/>
      <c r="J104" s="3"/>
      <c r="K104" s="3"/>
      <c r="L104" s="3"/>
      <c r="M104" s="3"/>
      <c r="N104" s="1"/>
      <c r="O104" s="1"/>
    </row>
    <row r="105" spans="3:15">
      <c r="C105" s="1"/>
      <c r="D105" s="1"/>
      <c r="E105" s="1"/>
      <c r="F105" s="1"/>
      <c r="G105" s="3"/>
      <c r="H105" s="3"/>
      <c r="I105" s="3"/>
      <c r="J105" s="3"/>
      <c r="K105" s="3"/>
      <c r="L105" s="3"/>
      <c r="M105" s="3"/>
      <c r="N105" s="1"/>
      <c r="O105" s="1"/>
    </row>
    <row r="106" spans="3:15">
      <c r="C106" s="1"/>
      <c r="D106" s="1"/>
      <c r="E106" s="1"/>
      <c r="F106" s="1"/>
      <c r="G106" s="3"/>
      <c r="H106" s="3"/>
      <c r="I106" s="3"/>
      <c r="J106" s="3"/>
      <c r="K106" s="3"/>
      <c r="L106" s="3"/>
      <c r="M106" s="3"/>
      <c r="N106" s="1"/>
      <c r="O106" s="1"/>
    </row>
    <row r="107" spans="3:15">
      <c r="C107" s="1"/>
      <c r="D107" s="1"/>
      <c r="E107" s="1"/>
      <c r="F107" s="1"/>
      <c r="G107" s="3"/>
      <c r="H107" s="3"/>
      <c r="I107" s="3"/>
      <c r="J107" s="3"/>
      <c r="K107" s="3"/>
      <c r="L107" s="3"/>
      <c r="M107" s="3"/>
      <c r="N107" s="1"/>
      <c r="O107" s="1"/>
    </row>
    <row r="108" spans="3:15">
      <c r="C108" s="1"/>
      <c r="D108" s="1"/>
      <c r="E108" s="1"/>
      <c r="F108" s="1"/>
      <c r="G108" s="3"/>
      <c r="H108" s="3"/>
      <c r="I108" s="3"/>
      <c r="J108" s="3"/>
      <c r="K108" s="3"/>
      <c r="L108" s="3"/>
      <c r="M108" s="3"/>
      <c r="N108" s="1"/>
      <c r="O108" s="1"/>
    </row>
    <row r="109" spans="3:15">
      <c r="C109" s="1"/>
      <c r="D109" s="1"/>
      <c r="E109" s="1"/>
      <c r="F109" s="1"/>
      <c r="G109" s="3"/>
      <c r="H109" s="3"/>
      <c r="I109" s="3"/>
      <c r="J109" s="3"/>
      <c r="K109" s="3"/>
      <c r="L109" s="3"/>
      <c r="M109" s="3"/>
      <c r="N109" s="1"/>
      <c r="O109" s="1"/>
    </row>
    <row r="110" spans="3:15">
      <c r="C110" s="1"/>
      <c r="D110" s="1"/>
      <c r="E110" s="1"/>
      <c r="F110" s="1"/>
      <c r="G110" s="3"/>
      <c r="H110" s="3"/>
      <c r="I110" s="3"/>
      <c r="J110" s="3"/>
      <c r="K110" s="3"/>
      <c r="L110" s="3"/>
      <c r="M110" s="3"/>
      <c r="N110" s="1"/>
      <c r="O110" s="1"/>
    </row>
    <row r="111" spans="3:15">
      <c r="C111" s="1"/>
      <c r="D111" s="1"/>
      <c r="E111" s="1"/>
      <c r="F111" s="1"/>
      <c r="G111" s="3"/>
      <c r="H111" s="3"/>
      <c r="I111" s="3"/>
      <c r="J111" s="3"/>
      <c r="K111" s="3"/>
      <c r="L111" s="3"/>
      <c r="M111" s="3"/>
      <c r="N111" s="1"/>
      <c r="O111" s="1"/>
    </row>
    <row r="112" spans="3:15">
      <c r="C112" s="1"/>
      <c r="D112" s="1"/>
      <c r="E112" s="1"/>
      <c r="F112" s="1"/>
      <c r="G112" s="3"/>
      <c r="H112" s="3"/>
      <c r="I112" s="3"/>
      <c r="J112" s="3"/>
      <c r="K112" s="3"/>
      <c r="L112" s="3"/>
      <c r="M112" s="3"/>
      <c r="N112" s="1"/>
      <c r="O112" s="1"/>
    </row>
  </sheetData>
  <mergeCells count="1">
    <mergeCell ref="C1:K2"/>
  </mergeCells>
  <pageMargins left="0.31496062992125984" right="0.11811023622047245" top="0.31496062992125984" bottom="0.31496062992125984" header="0.31496062992125984" footer="0.31496062992125984"/>
  <pageSetup paperSize="9" scale="40" fitToHeight="0" orientation="portrait" horizontalDpi="4294967293" verticalDpi="36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28</vt:i4>
      </vt:variant>
      <vt:variant>
        <vt:lpstr>Rangos con nombre</vt:lpstr>
      </vt:variant>
      <vt:variant>
        <vt:i4>15</vt:i4>
      </vt:variant>
    </vt:vector>
  </HeadingPairs>
  <TitlesOfParts>
    <vt:vector size="43" baseType="lpstr">
      <vt:lpstr>PP</vt:lpstr>
      <vt:lpstr>RE-COS</vt:lpstr>
      <vt:lpstr>NUQUERAS</vt:lpstr>
      <vt:lpstr>NUQUERAS (2)</vt:lpstr>
      <vt:lpstr>R.M</vt:lpstr>
      <vt:lpstr>RECEPCION (2)</vt:lpstr>
      <vt:lpstr>T.EMV</vt:lpstr>
      <vt:lpstr>T1</vt:lpstr>
      <vt:lpstr>T1 (2)</vt:lpstr>
      <vt:lpstr>T2</vt:lpstr>
      <vt:lpstr>T2 (2)</vt:lpstr>
      <vt:lpstr>T3</vt:lpstr>
      <vt:lpstr>T3 (2)</vt:lpstr>
      <vt:lpstr>T4</vt:lpstr>
      <vt:lpstr>T4 (2)</vt:lpstr>
      <vt:lpstr>T5</vt:lpstr>
      <vt:lpstr>T5 (2)</vt:lpstr>
      <vt:lpstr>T6</vt:lpstr>
      <vt:lpstr>T6 (2)</vt:lpstr>
      <vt:lpstr>RES-EN</vt:lpstr>
      <vt:lpstr>ENV. PLACAS</vt:lpstr>
      <vt:lpstr>EM-PLA</vt:lpstr>
      <vt:lpstr>EM-TUN</vt:lpstr>
      <vt:lpstr>COLORES</vt:lpstr>
      <vt:lpstr>R-G</vt:lpstr>
      <vt:lpstr>EMPAQUE (RESUMEN)</vt:lpstr>
      <vt:lpstr>PROYECTADO</vt:lpstr>
      <vt:lpstr>RENDIMIENTO</vt:lpstr>
      <vt:lpstr>COLORES!Área_de_impresión</vt:lpstr>
      <vt:lpstr>'EMPAQUE (RESUMEN)'!Área_de_impresión</vt:lpstr>
      <vt:lpstr>'EM-TUN'!Área_de_impresión</vt:lpstr>
      <vt:lpstr>'ENV. PLACAS'!Área_de_impresión</vt:lpstr>
      <vt:lpstr>NUQUERAS!Área_de_impresión</vt:lpstr>
      <vt:lpstr>'NUQUERAS (2)'!Área_de_impresión</vt:lpstr>
      <vt:lpstr>PP!Área_de_impresión</vt:lpstr>
      <vt:lpstr>PROYECTADO!Área_de_impresión</vt:lpstr>
      <vt:lpstr>R.M!Área_de_impresión</vt:lpstr>
      <vt:lpstr>'RECEPCION (2)'!Área_de_impresión</vt:lpstr>
      <vt:lpstr>'RE-COS'!Área_de_impresión</vt:lpstr>
      <vt:lpstr>RENDIMIENTO!Área_de_impresión</vt:lpstr>
      <vt:lpstr>'R-G'!Área_de_impresión</vt:lpstr>
      <vt:lpstr>T.EMV!Área_de_impresión</vt:lpstr>
      <vt:lpstr>CODIGOS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CRISTHIAN CRUZADO</cp:lastModifiedBy>
  <cp:lastPrinted>2026-06-30T18:55:32Z</cp:lastPrinted>
  <dcterms:created xsi:type="dcterms:W3CDTF">2024-02-28T00:28:58Z</dcterms:created>
  <dcterms:modified xsi:type="dcterms:W3CDTF">2026-07-13T17:59:07Z</dcterms:modified>
</cp:coreProperties>
</file>